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<sst xmlns="http://schemas.openxmlformats.org/spreadsheetml/2006/main" count="375" uniqueCount="375">
  <si>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</si>
  <si>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</si>
  <si>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</si>
  <si>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</si>
  <si>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</si>
  <si>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</si>
  <si>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</si>
  <si>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</si>
  <si>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</si>
  <si>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</si>
  <si>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</si>
  <si>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</si>
  <si>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</si>
  <si>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</si>
  <si>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</si>
  <si>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</si>
  <si>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</si>
  <si>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</si>
  <si>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</si>
  <si>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</si>
  <si>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</si>
  <si>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</si>
  <si>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</si>
  <si>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MACY02</t>
  </si>
  <si>
    <t>OVERSTOCK01</t>
  </si>
  <si>
    <t>NRTPORT</t>
  </si>
  <si>
    <t>AMAZON</t>
  </si>
  <si>
    <t>JCPENNEY01</t>
  </si>
  <si>
    <t>TGTDVS</t>
  </si>
  <si>
    <t>KOHLDSN</t>
  </si>
  <si>
    <t>CSNSTORES</t>
  </si>
  <si>
    <t>BLK01</t>
  </si>
  <si>
    <t>OLLIIX</t>
  </si>
  <si>
    <t>AMAZONDS</t>
  </si>
  <si>
    <t>NORDSTRACKDS</t>
  </si>
  <si>
    <t>FINGERHUTDS</t>
  </si>
  <si>
    <t>WALMARTDS</t>
  </si>
  <si>
    <t>HDDS</t>
  </si>
  <si>
    <t>DESINC</t>
  </si>
  <si>
    <t>HSNDS</t>
  </si>
  <si>
    <t>ZOLA</t>
  </si>
  <si>
    <t>BEALLSDS</t>
  </si>
  <si>
    <t>KIRKLANDDS</t>
  </si>
  <si>
    <t>BIGLOTSDS</t>
  </si>
  <si>
    <t>OVERSCONSIGN</t>
  </si>
  <si>
    <t>DLCROSCILL</t>
  </si>
  <si>
    <t>AAFESDS</t>
  </si>
  <si>
    <t>HOUZZ</t>
  </si>
  <si>
    <t>BBBDROP</t>
  </si>
  <si>
    <t>Zulily</t>
  </si>
  <si>
    <t>NEBFUR01</t>
  </si>
  <si>
    <t>AMERSIGNDS</t>
  </si>
  <si>
    <t>ASHFURNDS</t>
  </si>
  <si>
    <t>BLOOM02</t>
  </si>
  <si>
    <t>BRANDX</t>
  </si>
  <si>
    <t>COSTCO01</t>
  </si>
  <si>
    <t>HAYNEEDLEDS</t>
  </si>
  <si>
    <t>LAMPDS</t>
  </si>
  <si>
    <t>LOWESDS</t>
  </si>
  <si>
    <t>MACY</t>
  </si>
  <si>
    <t>MACY02F</t>
  </si>
  <si>
    <t>MACY03DS</t>
  </si>
  <si>
    <t>ROOMECOM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</si>
  <si>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</si>
  <si>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</si>
  <si>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</si>
  <si>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</si>
  <si>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</si>
  <si>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</si>
  <si>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</si>
  <si>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</si>
  <si>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</si>
  <si>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</si>
  <si>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</si>
  <si>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</si>
  <si>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</si>
  <si>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</si>
  <si>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</si>
  <si>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</si>
  <si>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</si>
  <si>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</si>
  <si>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</si>
  <si>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</si>
  <si>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</si>
  <si>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</si>
  <si>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</si>
  <si>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</si>
  <si>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</si>
  <si>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</si>
  <si>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</si>
  <si>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</si>
  <si>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</si>
  <si>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</si>
  <si>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</si>
  <si>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</si>
  <si>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</si>
  <si>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</si>
  <si>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</si>
  <si>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03/27/2024</t>
  </si>
  <si>
    <t>03/29/2024</t>
  </si>
  <si>
    <t>03/30/2024</t>
  </si>
  <si>
    <t>04/01/2024</t>
  </si>
  <si>
    <t>04/09/2024</t>
  </si>
  <si>
    <t>04/13/2024</t>
  </si>
  <si>
    <t>04/14/2024</t>
  </si>
  <si>
    <t>04/17/2024</t>
  </si>
  <si>
    <t>05/03/2024</t>
  </si>
  <si>
    <t>05/04/2024</t>
  </si>
  <si>
    <t>05/08/2024</t>
  </si>
  <si>
    <t>05/14/2024</t>
  </si>
  <si>
    <t>05/15/2024</t>
  </si>
  <si>
    <t>05/16/2024</t>
  </si>
  <si>
    <t>05/17/2024</t>
  </si>
  <si>
    <t>05/18/2024</t>
  </si>
  <si>
    <t>05/23/2024</t>
  </si>
  <si>
    <t>05/24/2024</t>
  </si>
  <si>
    <t>05/25/2024</t>
  </si>
  <si>
    <t>05/27/2024</t>
  </si>
  <si>
    <t>05/29/2024</t>
  </si>
  <si>
    <t>05/31/2024</t>
  </si>
  <si>
    <t>06/05/2024</t>
  </si>
  <si>
    <t>06/08/2024</t>
  </si>
  <si>
    <t>06/12/2024</t>
  </si>
  <si>
    <t>06/15/2024</t>
  </si>
  <si>
    <t>06/17/2024</t>
  </si>
  <si>
    <t>06/21/2024</t>
  </si>
  <si>
    <t>06/26/2024</t>
  </si>
  <si>
    <t>07/03/2024</t>
  </si>
  <si>
    <t>07/08/2024</t>
  </si>
  <si>
    <t>07/10/2024</t>
  </si>
  <si>
    <t>07/17/2024</t>
  </si>
  <si>
    <t>07/20/2024</t>
  </si>
  <si>
    <t>07/24/2024</t>
  </si>
  <si>
    <t>08/07/2024</t>
  </si>
  <si>
    <t>08/09/2024</t>
  </si>
  <si>
    <t>08/14/2024</t>
  </si>
  <si>
    <t>SHET</t>
  </si>
  <si>
    <t>Madison Park</t>
  </si>
  <si>
    <t>SHEET/SHEET SET</t>
  </si>
  <si>
    <t>Sheet/Sheet Set</t>
  </si>
  <si>
    <t>800 Thread Count</t>
  </si>
  <si>
    <t>CVC</t>
  </si>
  <si>
    <t>600 Thread Count</t>
  </si>
  <si>
    <t>Cotton</t>
  </si>
  <si>
    <t>1500 Thread Count</t>
  </si>
  <si>
    <t>3M Microcell</t>
  </si>
  <si>
    <t>Microfiber</t>
  </si>
  <si>
    <t>Peached Percale</t>
  </si>
  <si>
    <t>525 Thread Count</t>
  </si>
  <si>
    <t>300 Thread Count Organic Cotton</t>
  </si>
  <si>
    <t>Linen Blend</t>
  </si>
  <si>
    <t>Linen</t>
  </si>
  <si>
    <t>Embroidered Microfiber</t>
  </si>
  <si>
    <t>500 Thread Count Egyptian Cotton</t>
  </si>
  <si>
    <t>3M Microcell Print</t>
  </si>
  <si>
    <t>PILLOWCASE</t>
  </si>
  <si>
    <t>Pillowcase</t>
  </si>
  <si>
    <t>Silk</t>
  </si>
  <si>
    <t>Madison Park Essentials</t>
  </si>
  <si>
    <t>Satin</t>
  </si>
  <si>
    <t>Printed Satin</t>
  </si>
  <si>
    <t>200 Thread Count Printed Cotton</t>
  </si>
  <si>
    <t>Chevron</t>
  </si>
  <si>
    <t>Micro Splendor</t>
  </si>
  <si>
    <t>Beautyrest</t>
  </si>
  <si>
    <t>1000 Thread Count</t>
  </si>
  <si>
    <t>Oversized Cotton Flannel</t>
  </si>
  <si>
    <t>Flannel</t>
  </si>
  <si>
    <t>700 Thread Count</t>
  </si>
  <si>
    <t>400 Thread Count</t>
  </si>
  <si>
    <t>Tencel Polyester Blend</t>
  </si>
  <si>
    <t>Tencel</t>
  </si>
  <si>
    <t>True North by Sleep Philosophy</t>
  </si>
  <si>
    <t>Cozy Cotton Flannel</t>
  </si>
  <si>
    <t>Micro Fleece</t>
  </si>
  <si>
    <t>Fleece</t>
  </si>
  <si>
    <t>Soloft Plush</t>
  </si>
  <si>
    <t>Plush</t>
  </si>
  <si>
    <t>DUVET&amp;DUVET SET</t>
  </si>
  <si>
    <t>Duvet Mini Set</t>
  </si>
  <si>
    <t>Cozy Flannel</t>
  </si>
  <si>
    <t xml:space="preserve">Intelligent Design </t>
  </si>
  <si>
    <t>Cotton Blend Jersey Knit</t>
  </si>
  <si>
    <t>Jersey</t>
  </si>
  <si>
    <t>Metallic Dot</t>
  </si>
  <si>
    <t>Cozy Soft</t>
  </si>
  <si>
    <t>Novelty</t>
  </si>
  <si>
    <t>Printed Microfiber</t>
  </si>
  <si>
    <t/>
  </si>
  <si>
    <t>Ruffled</t>
  </si>
  <si>
    <t>BED SKIRT&amp;SHAM</t>
  </si>
  <si>
    <t>Bedskirt</t>
  </si>
  <si>
    <t>Extended</t>
  </si>
  <si>
    <t>Sleep Philosophy</t>
  </si>
  <si>
    <t>Smart Cool Microfiber</t>
  </si>
  <si>
    <t>Coolmax</t>
  </si>
  <si>
    <t>Rayon from Bamboo</t>
  </si>
  <si>
    <t>Bamboo</t>
  </si>
  <si>
    <t>300TC Liquid Cotton</t>
  </si>
  <si>
    <t>Mi Zone</t>
  </si>
  <si>
    <t>Polka Dot</t>
  </si>
  <si>
    <t>Printed</t>
  </si>
  <si>
    <t>Croscill</t>
  </si>
  <si>
    <t>Luxury Egyptian</t>
  </si>
  <si>
    <t>Signature Hem</t>
  </si>
  <si>
    <t>Woolrich</t>
  </si>
  <si>
    <t>Cotton Flannel</t>
  </si>
  <si>
    <t>Tasha</t>
  </si>
  <si>
    <t>Peak Performance</t>
  </si>
  <si>
    <t>3M Scotchgard Micro Fleece</t>
  </si>
  <si>
    <t>Urban Habitat</t>
  </si>
  <si>
    <t>Comfort Cool Jersey Knit</t>
  </si>
  <si>
    <t>Heathered</t>
  </si>
  <si>
    <t>Space Dyed</t>
  </si>
  <si>
    <t>COMFORTER (SET)</t>
  </si>
  <si>
    <t>Comforter Mini Set</t>
  </si>
  <si>
    <t>Clean Spaces</t>
  </si>
  <si>
    <t>300TC BCI Cotton</t>
  </si>
  <si>
    <t>Allergen Barrier</t>
  </si>
  <si>
    <t>Charcoal Infused</t>
  </si>
  <si>
    <t>INK+IVY</t>
  </si>
  <si>
    <t>Cotton Jersey Knit</t>
  </si>
  <si>
    <t>Grand Total</t>
  </si>
  <si>
    <t>Color</t>
  </si>
  <si>
    <t>Dominant Class Code</t>
  </si>
  <si>
    <t>Khaki</t>
  </si>
  <si>
    <t>B+</t>
  </si>
  <si>
    <t>White</t>
  </si>
  <si>
    <t>B</t>
  </si>
  <si>
    <t>Ivory</t>
  </si>
  <si>
    <t>Grey</t>
  </si>
  <si>
    <t>Charcoal</t>
  </si>
  <si>
    <t>Purple</t>
  </si>
  <si>
    <t>Teal</t>
  </si>
  <si>
    <t>Aqua</t>
  </si>
  <si>
    <t>Light Grey</t>
  </si>
  <si>
    <t>Sand</t>
  </si>
  <si>
    <t>Gold</t>
  </si>
  <si>
    <t>Navy</t>
  </si>
  <si>
    <t>Rose Gold</t>
  </si>
  <si>
    <t>Blue</t>
  </si>
  <si>
    <t>C</t>
  </si>
  <si>
    <t>A+</t>
  </si>
  <si>
    <t>A</t>
  </si>
  <si>
    <t>Seafoam</t>
  </si>
  <si>
    <t>Blush</t>
  </si>
  <si>
    <t>Brown</t>
  </si>
  <si>
    <t>Sage</t>
  </si>
  <si>
    <t>Taupe</t>
  </si>
  <si>
    <t>Warm Taupe</t>
  </si>
  <si>
    <t>Gray</t>
  </si>
  <si>
    <t>Blue Blossom</t>
  </si>
  <si>
    <t>Green Vine Leaves</t>
  </si>
  <si>
    <t>Teal Medallion</t>
  </si>
  <si>
    <t>Taupe Geo</t>
  </si>
  <si>
    <t>Lilac</t>
  </si>
  <si>
    <t>Tan</t>
  </si>
  <si>
    <t>Black</t>
  </si>
  <si>
    <t>Pink</t>
  </si>
  <si>
    <t>A++</t>
  </si>
  <si>
    <t>Red</t>
  </si>
  <si>
    <t>Chocolate</t>
  </si>
  <si>
    <t>Taupe Leopard</t>
  </si>
  <si>
    <t>Gray Leopard</t>
  </si>
  <si>
    <t>Blue Marble</t>
  </si>
  <si>
    <t>Green Leaves</t>
  </si>
  <si>
    <t>Tan Leaves</t>
  </si>
  <si>
    <t>Blue Stripe</t>
  </si>
  <si>
    <t>Grey Stripe</t>
  </si>
  <si>
    <t>White Tossed Botanical</t>
  </si>
  <si>
    <t>Beige/White Stripes</t>
  </si>
  <si>
    <t>Beige Windowpane</t>
  </si>
  <si>
    <t>Grey Windowpane</t>
  </si>
  <si>
    <t>Ivory Solid</t>
  </si>
  <si>
    <t>Grey Solid</t>
  </si>
  <si>
    <t>Seafoam Solid</t>
  </si>
  <si>
    <t>Grey Petals</t>
  </si>
  <si>
    <t>Gray/Taupe Nordic</t>
  </si>
  <si>
    <t>Blush Dots</t>
  </si>
  <si>
    <t>Gray Skiers</t>
  </si>
  <si>
    <t>Blue Geo</t>
  </si>
  <si>
    <t>Grey Penguins</t>
  </si>
  <si>
    <t>Blue Plaid</t>
  </si>
  <si>
    <t>Grey Dots</t>
  </si>
  <si>
    <t>Red Plaid</t>
  </si>
  <si>
    <t>Multi Leaves</t>
  </si>
  <si>
    <t>Pink Plaid</t>
  </si>
  <si>
    <t>Aqua French Bulldog</t>
  </si>
  <si>
    <t>Blue Polar Bears</t>
  </si>
  <si>
    <t>Seafoam Llama</t>
  </si>
  <si>
    <t>Bear</t>
  </si>
  <si>
    <t>Tan Plaid</t>
  </si>
  <si>
    <t>Blue Cars</t>
  </si>
  <si>
    <t>Multi Sloth</t>
  </si>
  <si>
    <t>Aqua Dots</t>
  </si>
  <si>
    <t>Tan Solid</t>
  </si>
  <si>
    <t>Grey Geo</t>
  </si>
  <si>
    <t>Pink French Bulldog</t>
  </si>
  <si>
    <t>Aqua Geo</t>
  </si>
  <si>
    <t>Tan/Blue Snowflakes</t>
  </si>
  <si>
    <t>Reindeer</t>
  </si>
  <si>
    <t>Pink/Grey Snowflakes</t>
  </si>
  <si>
    <t>Blue Solid</t>
  </si>
  <si>
    <t>Grey Dogs</t>
  </si>
  <si>
    <t>Black Dogs</t>
  </si>
  <si>
    <t>Blue Fair Isle</t>
  </si>
  <si>
    <t>Blue Forest</t>
  </si>
  <si>
    <t>Blue Snowmen</t>
  </si>
  <si>
    <t>Multi Forest Animals</t>
  </si>
  <si>
    <t>Sand Owls</t>
  </si>
  <si>
    <t>Green</t>
  </si>
  <si>
    <t>Grey Snowflake</t>
  </si>
  <si>
    <t>Lavender</t>
  </si>
  <si>
    <t>Blue Diamond</t>
  </si>
  <si>
    <t>Brown Diamond</t>
  </si>
  <si>
    <t>Grey Diamond</t>
  </si>
  <si>
    <t>Blue Snowflake</t>
  </si>
  <si>
    <t>Grey Plaid</t>
  </si>
  <si>
    <t>Purple Ogee</t>
  </si>
  <si>
    <t>Aqua Penguins</t>
  </si>
  <si>
    <t>Olivia Dog</t>
  </si>
  <si>
    <t>Woodland Creatures</t>
  </si>
  <si>
    <t>Dark Grey</t>
  </si>
  <si>
    <t>White/Gold</t>
  </si>
  <si>
    <t>Blush/Gold</t>
  </si>
  <si>
    <t>Grey/Silver</t>
  </si>
  <si>
    <t>Aqua/Silver</t>
  </si>
  <si>
    <t>Aqua Llama Face</t>
  </si>
  <si>
    <t>Grey Stars</t>
  </si>
  <si>
    <t>Pink Llamas</t>
  </si>
  <si>
    <t>Green Cactus</t>
  </si>
  <si>
    <t>Blue Penguins</t>
  </si>
  <si>
    <t>Grey Sloths</t>
  </si>
  <si>
    <t>Grey/Pink Dots</t>
  </si>
  <si>
    <t>Blue Stars</t>
  </si>
  <si>
    <t>Pink/Grey Hedgehogs</t>
  </si>
  <si>
    <t>Grey/Pink Cats</t>
  </si>
  <si>
    <t>Teal Dogs</t>
  </si>
  <si>
    <t>Seafoam Foxes</t>
  </si>
  <si>
    <t>Grey Foxes</t>
  </si>
  <si>
    <t>Grey/Blue Road Trip</t>
  </si>
  <si>
    <t>Aqua Dogs</t>
  </si>
  <si>
    <t>Pink Cats</t>
  </si>
  <si>
    <t>Grey Llamas</t>
  </si>
  <si>
    <t>Black Floral</t>
  </si>
  <si>
    <t>Blue Chevron</t>
  </si>
  <si>
    <t>Yellow</t>
  </si>
  <si>
    <t>Silver</t>
  </si>
  <si>
    <t>Dark Pink</t>
  </si>
  <si>
    <t>Navy Stars</t>
  </si>
  <si>
    <t>Blue Whales</t>
  </si>
  <si>
    <t>Rainbow</t>
  </si>
  <si>
    <t>Space Rocket</t>
  </si>
  <si>
    <t>Black/White Scottie Dogs</t>
  </si>
  <si>
    <t>Tan Dog</t>
  </si>
  <si>
    <t>Blue Winter Frost</t>
  </si>
  <si>
    <t>Black Pine Trees</t>
  </si>
  <si>
    <t>Tan Cars</t>
  </si>
  <si>
    <t>Blue Dog</t>
  </si>
  <si>
    <t>Red/Black Buffalo Check</t>
  </si>
  <si>
    <t>Green Tree Trip</t>
  </si>
  <si>
    <t>Blue Sheep</t>
  </si>
  <si>
    <t>Green Plaid</t>
  </si>
  <si>
    <t>Blue Buffalo Check</t>
  </si>
  <si>
    <t>Brown Plaid</t>
  </si>
  <si>
    <t>Grey Moose</t>
  </si>
  <si>
    <t>Grey Winter Frost</t>
  </si>
  <si>
    <t>Tan Snowflake</t>
  </si>
  <si>
    <t>Tan Winter Frost</t>
  </si>
  <si>
    <t>Black/Red</t>
  </si>
  <si>
    <t>Black/Tan</t>
  </si>
  <si>
    <t>Mink</t>
  </si>
  <si>
    <t>Indigo</t>
  </si>
  <si>
    <t>Light Gray</t>
  </si>
  <si>
    <t>Natural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</si>
</sst>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K68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58</v>
      </c>
      <c r="HZ3" s="2" t="s">
        <v>58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59</v>
      </c>
      <c r="IF3" s="2" t="s">
        <v>59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60</v>
      </c>
      <c r="IL3" s="2" t="s">
        <v>60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61</v>
      </c>
      <c r="IR3" s="2" t="s">
        <v>61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62</v>
      </c>
      <c r="IX3" s="2" t="s">
        <v>62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63</v>
      </c>
      <c r="JD3" s="2" t="s">
        <v>63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64</v>
      </c>
      <c r="JJ3" s="2" t="s">
        <v>64</v>
      </c>
      <c r="JK3" s="2" t="s">
        <v>64</v>
      </c>
      <c r="JL3" s="2" t="s">
        <v>64</v>
      </c>
      <c r="JM3" s="2" t="s">
        <v>64</v>
      </c>
      <c r="JN3" s="2" t="s">
        <v>64</v>
      </c>
      <c r="JO3" s="2" t="s">
        <v>64</v>
      </c>
      <c r="JP3" s="2" t="s">
        <v>64</v>
      </c>
      <c r="JQ3" s="2" t="s">
        <v>64</v>
      </c>
      <c r="JR3" s="2" t="s">
        <v>64</v>
      </c>
      <c r="JS3" s="2" t="s">
        <v>64</v>
      </c>
      <c r="JT3" s="2" t="s">
        <v>64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65</v>
      </c>
      <c r="JZ3" s="2" t="s">
        <v>65</v>
      </c>
      <c r="KA3" s="2" t="s">
        <v>65</v>
      </c>
      <c r="KB3" s="2" t="s">
        <v>65</v>
      </c>
      <c r="KC3" s="2" t="s">
        <v>65</v>
      </c>
      <c r="KD3" s="2" t="s">
        <v>65</v>
      </c>
      <c r="KE3" s="2" t="s">
        <v>65</v>
      </c>
      <c r="KF3" s="2" t="s">
        <v>65</v>
      </c>
      <c r="KG3" s="2" t="s">
        <v>65</v>
      </c>
      <c r="KH3" s="2" t="s">
        <v>65</v>
      </c>
      <c r="KI3" s="2" t="s">
        <v>65</v>
      </c>
      <c r="KJ3" s="2" t="s">
        <v>65</v>
      </c>
      <c r="KK3" s="2" t="s">
        <v>65</v>
      </c>
      <c r="KL3" s="2" t="s">
        <v>65</v>
      </c>
      <c r="KM3" s="2" t="s">
        <v>65</v>
      </c>
      <c r="KN3" s="2" t="s">
        <v>65</v>
      </c>
      <c r="KO3" s="2" t="s">
        <v>65</v>
      </c>
      <c r="KP3" s="2" t="s">
        <v>65</v>
      </c>
      <c r="KQ3" s="2" t="s">
        <v>65</v>
      </c>
      <c r="KR3" s="2" t="s">
        <v>65</v>
      </c>
      <c r="KS3" s="2" t="s">
        <v>65</v>
      </c>
      <c r="KT3" s="2" t="s">
        <v>65</v>
      </c>
      <c r="KU3" s="2" t="s">
        <v>65</v>
      </c>
      <c r="KV3" s="2" t="s">
        <v>65</v>
      </c>
      <c r="KW3" s="2" t="s">
        <v>65</v>
      </c>
      <c r="KX3" s="2" t="s">
        <v>65</v>
      </c>
      <c r="KY3" s="2" t="s">
        <v>65</v>
      </c>
      <c r="KZ3" s="2" t="s">
        <v>65</v>
      </c>
      <c r="LA3" s="2" t="s">
        <v>65</v>
      </c>
      <c r="LB3" s="2" t="s">
        <v>65</v>
      </c>
      <c r="LC3" s="2" t="s">
        <v>65</v>
      </c>
      <c r="LD3" s="2" t="s">
        <v>65</v>
      </c>
      <c r="LE3" s="2" t="s">
        <v>65</v>
      </c>
      <c r="LF3" s="2" t="s">
        <v>65</v>
      </c>
      <c r="LG3" s="2" t="s">
        <v>65</v>
      </c>
      <c r="LH3" s="2" t="s">
        <v>65</v>
      </c>
      <c r="LI3" s="2" t="s">
        <v>65</v>
      </c>
      <c r="LJ3" s="2" t="s">
        <v>65</v>
      </c>
      <c r="LK3" s="2" t="s">
        <v>65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66</v>
      </c>
      <c r="R4" s="2" t="s">
        <v>66</v>
      </c>
      <c r="S4" s="2" t="s">
        <v>67</v>
      </c>
      <c r="T4" s="2" t="s">
        <v>67</v>
      </c>
      <c r="U4" s="2" t="s">
        <v>68</v>
      </c>
      <c r="V4" s="2" t="s">
        <v>69</v>
      </c>
      <c r="W4" s="2" t="s">
        <v>66</v>
      </c>
      <c r="X4" s="2" t="s">
        <v>66</v>
      </c>
      <c r="Y4" s="2" t="s">
        <v>67</v>
      </c>
      <c r="Z4" s="2" t="s">
        <v>67</v>
      </c>
      <c r="AA4" s="2" t="s">
        <v>68</v>
      </c>
      <c r="AB4" s="2" t="s">
        <v>69</v>
      </c>
      <c r="AC4" s="2" t="s">
        <v>66</v>
      </c>
      <c r="AD4" s="2" t="s">
        <v>66</v>
      </c>
      <c r="AE4" s="2" t="s">
        <v>67</v>
      </c>
      <c r="AF4" s="2" t="s">
        <v>67</v>
      </c>
      <c r="AG4" s="2" t="s">
        <v>68</v>
      </c>
      <c r="AH4" s="2" t="s">
        <v>69</v>
      </c>
      <c r="AI4" s="2" t="s">
        <v>66</v>
      </c>
      <c r="AJ4" s="2" t="s">
        <v>66</v>
      </c>
      <c r="AK4" s="2" t="s">
        <v>67</v>
      </c>
      <c r="AL4" s="2" t="s">
        <v>67</v>
      </c>
      <c r="AM4" s="2" t="s">
        <v>68</v>
      </c>
      <c r="AN4" s="2" t="s">
        <v>69</v>
      </c>
      <c r="AO4" s="2" t="s">
        <v>66</v>
      </c>
      <c r="AP4" s="2" t="s">
        <v>66</v>
      </c>
      <c r="AQ4" s="2" t="s">
        <v>67</v>
      </c>
      <c r="AR4" s="2" t="s">
        <v>67</v>
      </c>
      <c r="AS4" s="2" t="s">
        <v>68</v>
      </c>
      <c r="AT4" s="2" t="s">
        <v>69</v>
      </c>
      <c r="AU4" s="2" t="s">
        <v>66</v>
      </c>
      <c r="AV4" s="2" t="s">
        <v>66</v>
      </c>
      <c r="AW4" s="2" t="s">
        <v>67</v>
      </c>
      <c r="AX4" s="2" t="s">
        <v>67</v>
      </c>
      <c r="AY4" s="2" t="s">
        <v>68</v>
      </c>
      <c r="AZ4" s="2" t="s">
        <v>69</v>
      </c>
      <c r="BA4" s="2" t="s">
        <v>66</v>
      </c>
      <c r="BB4" s="2" t="s">
        <v>66</v>
      </c>
      <c r="BC4" s="2" t="s">
        <v>67</v>
      </c>
      <c r="BD4" s="2" t="s">
        <v>67</v>
      </c>
      <c r="BE4" s="2" t="s">
        <v>68</v>
      </c>
      <c r="BF4" s="2" t="s">
        <v>69</v>
      </c>
      <c r="BG4" s="2" t="s">
        <v>66</v>
      </c>
      <c r="BH4" s="2" t="s">
        <v>66</v>
      </c>
      <c r="BI4" s="2" t="s">
        <v>67</v>
      </c>
      <c r="BJ4" s="2" t="s">
        <v>67</v>
      </c>
      <c r="BK4" s="2" t="s">
        <v>68</v>
      </c>
      <c r="BL4" s="2" t="s">
        <v>69</v>
      </c>
      <c r="BM4" s="2" t="s">
        <v>66</v>
      </c>
      <c r="BN4" s="2" t="s">
        <v>66</v>
      </c>
      <c r="BO4" s="2" t="s">
        <v>67</v>
      </c>
      <c r="BP4" s="2" t="s">
        <v>67</v>
      </c>
      <c r="BQ4" s="2" t="s">
        <v>68</v>
      </c>
      <c r="BR4" s="2" t="s">
        <v>69</v>
      </c>
      <c r="BS4" s="2" t="s">
        <v>66</v>
      </c>
      <c r="BT4" s="2" t="s">
        <v>66</v>
      </c>
      <c r="BU4" s="2" t="s">
        <v>67</v>
      </c>
      <c r="BV4" s="2" t="s">
        <v>67</v>
      </c>
      <c r="BW4" s="2" t="s">
        <v>68</v>
      </c>
      <c r="BX4" s="2" t="s">
        <v>69</v>
      </c>
      <c r="BY4" s="2" t="s">
        <v>66</v>
      </c>
      <c r="BZ4" s="2" t="s">
        <v>66</v>
      </c>
      <c r="CA4" s="2" t="s">
        <v>67</v>
      </c>
      <c r="CB4" s="2" t="s">
        <v>67</v>
      </c>
      <c r="CC4" s="2" t="s">
        <v>68</v>
      </c>
      <c r="CD4" s="2" t="s">
        <v>69</v>
      </c>
      <c r="CE4" s="2" t="s">
        <v>66</v>
      </c>
      <c r="CF4" s="2" t="s">
        <v>66</v>
      </c>
      <c r="CG4" s="2" t="s">
        <v>67</v>
      </c>
      <c r="CH4" s="2" t="s">
        <v>67</v>
      </c>
      <c r="CI4" s="2" t="s">
        <v>68</v>
      </c>
      <c r="CJ4" s="2" t="s">
        <v>69</v>
      </c>
      <c r="CK4" s="2" t="s">
        <v>66</v>
      </c>
      <c r="CL4" s="2" t="s">
        <v>66</v>
      </c>
      <c r="CM4" s="2" t="s">
        <v>67</v>
      </c>
      <c r="CN4" s="2" t="s">
        <v>67</v>
      </c>
      <c r="CO4" s="2" t="s">
        <v>68</v>
      </c>
      <c r="CP4" s="2" t="s">
        <v>69</v>
      </c>
      <c r="CQ4" s="2" t="s">
        <v>66</v>
      </c>
      <c r="CR4" s="2" t="s">
        <v>66</v>
      </c>
      <c r="CS4" s="2" t="s">
        <v>67</v>
      </c>
      <c r="CT4" s="2" t="s">
        <v>67</v>
      </c>
      <c r="CU4" s="2" t="s">
        <v>68</v>
      </c>
      <c r="CV4" s="2" t="s">
        <v>69</v>
      </c>
      <c r="CW4" s="2" t="s">
        <v>66</v>
      </c>
      <c r="CX4" s="2" t="s">
        <v>66</v>
      </c>
      <c r="CY4" s="2" t="s">
        <v>67</v>
      </c>
      <c r="CZ4" s="2" t="s">
        <v>67</v>
      </c>
      <c r="DA4" s="2" t="s">
        <v>68</v>
      </c>
      <c r="DB4" s="2" t="s">
        <v>69</v>
      </c>
      <c r="DC4" s="2" t="s">
        <v>66</v>
      </c>
      <c r="DD4" s="2" t="s">
        <v>66</v>
      </c>
      <c r="DE4" s="2" t="s">
        <v>67</v>
      </c>
      <c r="DF4" s="2" t="s">
        <v>67</v>
      </c>
      <c r="DG4" s="2" t="s">
        <v>68</v>
      </c>
      <c r="DH4" s="2" t="s">
        <v>69</v>
      </c>
      <c r="DI4" s="2" t="s">
        <v>66</v>
      </c>
      <c r="DJ4" s="2" t="s">
        <v>66</v>
      </c>
      <c r="DK4" s="2" t="s">
        <v>67</v>
      </c>
      <c r="DL4" s="2" t="s">
        <v>67</v>
      </c>
      <c r="DM4" s="2" t="s">
        <v>68</v>
      </c>
      <c r="DN4" s="2" t="s">
        <v>69</v>
      </c>
      <c r="DO4" s="2" t="s">
        <v>66</v>
      </c>
      <c r="DP4" s="2" t="s">
        <v>66</v>
      </c>
      <c r="DQ4" s="2" t="s">
        <v>67</v>
      </c>
      <c r="DR4" s="2" t="s">
        <v>67</v>
      </c>
      <c r="DS4" s="2" t="s">
        <v>68</v>
      </c>
      <c r="DT4" s="2" t="s">
        <v>69</v>
      </c>
      <c r="DU4" s="2" t="s">
        <v>66</v>
      </c>
      <c r="DV4" s="2" t="s">
        <v>66</v>
      </c>
      <c r="DW4" s="2" t="s">
        <v>67</v>
      </c>
      <c r="DX4" s="2" t="s">
        <v>67</v>
      </c>
      <c r="DY4" s="2" t="s">
        <v>68</v>
      </c>
      <c r="DZ4" s="2" t="s">
        <v>69</v>
      </c>
      <c r="EA4" s="2" t="s">
        <v>66</v>
      </c>
      <c r="EB4" s="2" t="s">
        <v>66</v>
      </c>
      <c r="EC4" s="2" t="s">
        <v>67</v>
      </c>
      <c r="ED4" s="2" t="s">
        <v>67</v>
      </c>
      <c r="EE4" s="2" t="s">
        <v>68</v>
      </c>
      <c r="EF4" s="2" t="s">
        <v>69</v>
      </c>
      <c r="EG4" s="2" t="s">
        <v>66</v>
      </c>
      <c r="EH4" s="2" t="s">
        <v>66</v>
      </c>
      <c r="EI4" s="2" t="s">
        <v>67</v>
      </c>
      <c r="EJ4" s="2" t="s">
        <v>67</v>
      </c>
      <c r="EK4" s="2" t="s">
        <v>68</v>
      </c>
      <c r="EL4" s="2" t="s">
        <v>69</v>
      </c>
      <c r="EM4" s="2" t="s">
        <v>66</v>
      </c>
      <c r="EN4" s="2" t="s">
        <v>66</v>
      </c>
      <c r="EO4" s="2" t="s">
        <v>67</v>
      </c>
      <c r="EP4" s="2" t="s">
        <v>67</v>
      </c>
      <c r="EQ4" s="2" t="s">
        <v>68</v>
      </c>
      <c r="ER4" s="2" t="s">
        <v>69</v>
      </c>
      <c r="ES4" s="2" t="s">
        <v>66</v>
      </c>
      <c r="ET4" s="2" t="s">
        <v>66</v>
      </c>
      <c r="EU4" s="2" t="s">
        <v>67</v>
      </c>
      <c r="EV4" s="2" t="s">
        <v>67</v>
      </c>
      <c r="EW4" s="2" t="s">
        <v>68</v>
      </c>
      <c r="EX4" s="2" t="s">
        <v>69</v>
      </c>
      <c r="EY4" s="2" t="s">
        <v>66</v>
      </c>
      <c r="EZ4" s="2" t="s">
        <v>66</v>
      </c>
      <c r="FA4" s="2" t="s">
        <v>67</v>
      </c>
      <c r="FB4" s="2" t="s">
        <v>67</v>
      </c>
      <c r="FC4" s="2" t="s">
        <v>68</v>
      </c>
      <c r="FD4" s="2" t="s">
        <v>69</v>
      </c>
      <c r="FE4" s="2" t="s">
        <v>66</v>
      </c>
      <c r="FF4" s="2" t="s">
        <v>66</v>
      </c>
      <c r="FG4" s="2" t="s">
        <v>67</v>
      </c>
      <c r="FH4" s="2" t="s">
        <v>67</v>
      </c>
      <c r="FI4" s="2" t="s">
        <v>68</v>
      </c>
      <c r="FJ4" s="2" t="s">
        <v>69</v>
      </c>
      <c r="FK4" s="2" t="s">
        <v>66</v>
      </c>
      <c r="FL4" s="2" t="s">
        <v>66</v>
      </c>
      <c r="FM4" s="2" t="s">
        <v>67</v>
      </c>
      <c r="FN4" s="2" t="s">
        <v>67</v>
      </c>
      <c r="FO4" s="2" t="s">
        <v>68</v>
      </c>
      <c r="FP4" s="2" t="s">
        <v>69</v>
      </c>
      <c r="FQ4" s="2" t="s">
        <v>66</v>
      </c>
      <c r="FR4" s="2" t="s">
        <v>66</v>
      </c>
      <c r="FS4" s="2" t="s">
        <v>67</v>
      </c>
      <c r="FT4" s="2" t="s">
        <v>67</v>
      </c>
      <c r="FU4" s="2" t="s">
        <v>68</v>
      </c>
      <c r="FV4" s="2" t="s">
        <v>69</v>
      </c>
      <c r="FW4" s="2" t="s">
        <v>66</v>
      </c>
      <c r="FX4" s="2" t="s">
        <v>66</v>
      </c>
      <c r="FY4" s="2" t="s">
        <v>67</v>
      </c>
      <c r="FZ4" s="2" t="s">
        <v>67</v>
      </c>
      <c r="GA4" s="2" t="s">
        <v>68</v>
      </c>
      <c r="GB4" s="2" t="s">
        <v>69</v>
      </c>
      <c r="GC4" s="2" t="s">
        <v>66</v>
      </c>
      <c r="GD4" s="2" t="s">
        <v>66</v>
      </c>
      <c r="GE4" s="2" t="s">
        <v>67</v>
      </c>
      <c r="GF4" s="2" t="s">
        <v>67</v>
      </c>
      <c r="GG4" s="2" t="s">
        <v>68</v>
      </c>
      <c r="GH4" s="2" t="s">
        <v>69</v>
      </c>
      <c r="GI4" s="2" t="s">
        <v>66</v>
      </c>
      <c r="GJ4" s="2" t="s">
        <v>66</v>
      </c>
      <c r="GK4" s="2" t="s">
        <v>67</v>
      </c>
      <c r="GL4" s="2" t="s">
        <v>67</v>
      </c>
      <c r="GM4" s="2" t="s">
        <v>68</v>
      </c>
      <c r="GN4" s="2" t="s">
        <v>69</v>
      </c>
      <c r="GO4" s="2" t="s">
        <v>66</v>
      </c>
      <c r="GP4" s="2" t="s">
        <v>66</v>
      </c>
      <c r="GQ4" s="2" t="s">
        <v>67</v>
      </c>
      <c r="GR4" s="2" t="s">
        <v>67</v>
      </c>
      <c r="GS4" s="2" t="s">
        <v>68</v>
      </c>
      <c r="GT4" s="2" t="s">
        <v>69</v>
      </c>
      <c r="GU4" s="2" t="s">
        <v>66</v>
      </c>
      <c r="GV4" s="2" t="s">
        <v>66</v>
      </c>
      <c r="GW4" s="2" t="s">
        <v>67</v>
      </c>
      <c r="GX4" s="2" t="s">
        <v>67</v>
      </c>
      <c r="GY4" s="2" t="s">
        <v>68</v>
      </c>
      <c r="GZ4" s="2" t="s">
        <v>69</v>
      </c>
      <c r="HA4" s="2" t="s">
        <v>66</v>
      </c>
      <c r="HB4" s="2" t="s">
        <v>66</v>
      </c>
      <c r="HC4" s="2" t="s">
        <v>67</v>
      </c>
      <c r="HD4" s="2" t="s">
        <v>67</v>
      </c>
      <c r="HE4" s="2" t="s">
        <v>68</v>
      </c>
      <c r="HF4" s="2" t="s">
        <v>69</v>
      </c>
      <c r="HG4" s="2" t="s">
        <v>66</v>
      </c>
      <c r="HH4" s="2" t="s">
        <v>66</v>
      </c>
      <c r="HI4" s="2" t="s">
        <v>67</v>
      </c>
      <c r="HJ4" s="2" t="s">
        <v>67</v>
      </c>
      <c r="HK4" s="2" t="s">
        <v>68</v>
      </c>
      <c r="HL4" s="2" t="s">
        <v>69</v>
      </c>
      <c r="HM4" s="2" t="s">
        <v>66</v>
      </c>
      <c r="HN4" s="2" t="s">
        <v>66</v>
      </c>
      <c r="HO4" s="2" t="s">
        <v>67</v>
      </c>
      <c r="HP4" s="2" t="s">
        <v>67</v>
      </c>
      <c r="HQ4" s="2" t="s">
        <v>68</v>
      </c>
      <c r="HR4" s="2" t="s">
        <v>69</v>
      </c>
      <c r="HS4" s="2" t="s">
        <v>66</v>
      </c>
      <c r="HT4" s="2" t="s">
        <v>66</v>
      </c>
      <c r="HU4" s="2" t="s">
        <v>67</v>
      </c>
      <c r="HV4" s="2" t="s">
        <v>67</v>
      </c>
      <c r="HW4" s="2" t="s">
        <v>68</v>
      </c>
      <c r="HX4" s="2" t="s">
        <v>69</v>
      </c>
      <c r="HY4" s="2" t="s">
        <v>66</v>
      </c>
      <c r="HZ4" s="2" t="s">
        <v>66</v>
      </c>
      <c r="IA4" s="2" t="s">
        <v>67</v>
      </c>
      <c r="IB4" s="2" t="s">
        <v>67</v>
      </c>
      <c r="IC4" s="2" t="s">
        <v>68</v>
      </c>
      <c r="ID4" s="2" t="s">
        <v>69</v>
      </c>
      <c r="IE4" s="2" t="s">
        <v>66</v>
      </c>
      <c r="IF4" s="2" t="s">
        <v>66</v>
      </c>
      <c r="IG4" s="2" t="s">
        <v>67</v>
      </c>
      <c r="IH4" s="2" t="s">
        <v>67</v>
      </c>
      <c r="II4" s="2" t="s">
        <v>68</v>
      </c>
      <c r="IJ4" s="2" t="s">
        <v>69</v>
      </c>
      <c r="IK4" s="2" t="s">
        <v>66</v>
      </c>
      <c r="IL4" s="2" t="s">
        <v>66</v>
      </c>
      <c r="IM4" s="2" t="s">
        <v>67</v>
      </c>
      <c r="IN4" s="2" t="s">
        <v>67</v>
      </c>
      <c r="IO4" s="2" t="s">
        <v>68</v>
      </c>
      <c r="IP4" s="2" t="s">
        <v>69</v>
      </c>
      <c r="IQ4" s="2" t="s">
        <v>66</v>
      </c>
      <c r="IR4" s="2" t="s">
        <v>66</v>
      </c>
      <c r="IS4" s="2" t="s">
        <v>67</v>
      </c>
      <c r="IT4" s="2" t="s">
        <v>67</v>
      </c>
      <c r="IU4" s="2" t="s">
        <v>68</v>
      </c>
      <c r="IV4" s="2" t="s">
        <v>69</v>
      </c>
      <c r="IW4" s="2" t="s">
        <v>66</v>
      </c>
      <c r="IX4" s="2" t="s">
        <v>66</v>
      </c>
      <c r="IY4" s="2" t="s">
        <v>67</v>
      </c>
      <c r="IZ4" s="2" t="s">
        <v>67</v>
      </c>
      <c r="JA4" s="2" t="s">
        <v>68</v>
      </c>
      <c r="JB4" s="2" t="s">
        <v>69</v>
      </c>
      <c r="JC4" s="2" t="s">
        <v>66</v>
      </c>
      <c r="JD4" s="2" t="s">
        <v>66</v>
      </c>
      <c r="JE4" s="2" t="s">
        <v>67</v>
      </c>
      <c r="JF4" s="2" t="s">
        <v>67</v>
      </c>
      <c r="JG4" s="2" t="s">
        <v>68</v>
      </c>
      <c r="JH4" s="2" t="s">
        <v>69</v>
      </c>
      <c r="JI4" s="2" t="s">
        <v>64</v>
      </c>
      <c r="JJ4" s="2" t="s">
        <v>64</v>
      </c>
      <c r="JK4" s="2" t="s">
        <v>64</v>
      </c>
      <c r="JL4" s="2" t="s">
        <v>64</v>
      </c>
      <c r="JM4" s="2" t="s">
        <v>64</v>
      </c>
      <c r="JN4" s="2" t="s">
        <v>64</v>
      </c>
      <c r="JO4" s="2" t="s">
        <v>64</v>
      </c>
      <c r="JP4" s="2" t="s">
        <v>64</v>
      </c>
      <c r="JQ4" s="2" t="s">
        <v>64</v>
      </c>
      <c r="JR4" s="2" t="s">
        <v>64</v>
      </c>
      <c r="JS4" s="2" t="s">
        <v>64</v>
      </c>
      <c r="JT4" s="2" t="s">
        <v>64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65</v>
      </c>
      <c r="JZ4" s="2" t="s">
        <v>65</v>
      </c>
      <c r="KA4" s="2" t="s">
        <v>65</v>
      </c>
      <c r="KB4" s="2" t="s">
        <v>65</v>
      </c>
      <c r="KC4" s="2" t="s">
        <v>65</v>
      </c>
      <c r="KD4" s="2" t="s">
        <v>65</v>
      </c>
      <c r="KE4" s="2" t="s">
        <v>65</v>
      </c>
      <c r="KF4" s="2" t="s">
        <v>65</v>
      </c>
      <c r="KG4" s="2" t="s">
        <v>65</v>
      </c>
      <c r="KH4" s="2" t="s">
        <v>65</v>
      </c>
      <c r="KI4" s="2" t="s">
        <v>65</v>
      </c>
      <c r="KJ4" s="2" t="s">
        <v>65</v>
      </c>
      <c r="KK4" s="2" t="s">
        <v>65</v>
      </c>
      <c r="KL4" s="2" t="s">
        <v>65</v>
      </c>
      <c r="KM4" s="2" t="s">
        <v>65</v>
      </c>
      <c r="KN4" s="2" t="s">
        <v>65</v>
      </c>
      <c r="KO4" s="2" t="s">
        <v>65</v>
      </c>
      <c r="KP4" s="2" t="s">
        <v>65</v>
      </c>
      <c r="KQ4" s="2" t="s">
        <v>65</v>
      </c>
      <c r="KR4" s="2" t="s">
        <v>65</v>
      </c>
      <c r="KS4" s="2" t="s">
        <v>65</v>
      </c>
      <c r="KT4" s="2" t="s">
        <v>65</v>
      </c>
      <c r="KU4" s="2" t="s">
        <v>65</v>
      </c>
      <c r="KV4" s="2" t="s">
        <v>65</v>
      </c>
      <c r="KW4" s="2" t="s">
        <v>65</v>
      </c>
      <c r="KX4" s="2" t="s">
        <v>65</v>
      </c>
      <c r="KY4" s="2" t="s">
        <v>65</v>
      </c>
      <c r="KZ4" s="2" t="s">
        <v>65</v>
      </c>
      <c r="LA4" s="2" t="s">
        <v>65</v>
      </c>
      <c r="LB4" s="2" t="s">
        <v>65</v>
      </c>
      <c r="LC4" s="2" t="s">
        <v>65</v>
      </c>
      <c r="LD4" s="2" t="s">
        <v>65</v>
      </c>
      <c r="LE4" s="2" t="s">
        <v>65</v>
      </c>
      <c r="LF4" s="2" t="s">
        <v>65</v>
      </c>
      <c r="LG4" s="2" t="s">
        <v>65</v>
      </c>
      <c r="LH4" s="2" t="s">
        <v>65</v>
      </c>
      <c r="LI4" s="2" t="s">
        <v>65</v>
      </c>
      <c r="LJ4" s="2" t="s">
        <v>65</v>
      </c>
      <c r="LK4" s="2" t="s">
        <v>65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70</v>
      </c>
      <c r="J5" s="2" t="s">
        <v>71</v>
      </c>
      <c r="K5" s="2" t="s">
        <v>72</v>
      </c>
      <c r="L5" s="2" t="s">
        <v>73</v>
      </c>
      <c r="M5" s="2" t="s">
        <v>74</v>
      </c>
      <c r="N5" s="2" t="s">
        <v>75</v>
      </c>
      <c r="O5" s="2" t="s">
        <v>76</v>
      </c>
      <c r="P5" s="2" t="s">
        <v>77</v>
      </c>
      <c r="Q5" s="2" t="s">
        <v>78</v>
      </c>
      <c r="R5" s="2" t="s">
        <v>79</v>
      </c>
      <c r="S5" s="2" t="s">
        <v>78</v>
      </c>
      <c r="T5" s="2" t="s">
        <v>79</v>
      </c>
      <c r="U5" s="2" t="s">
        <v>68</v>
      </c>
      <c r="V5" s="2" t="s">
        <v>69</v>
      </c>
      <c r="W5" s="2" t="s">
        <v>80</v>
      </c>
      <c r="X5" s="2" t="s">
        <v>81</v>
      </c>
      <c r="Y5" s="2" t="s">
        <v>80</v>
      </c>
      <c r="Z5" s="2" t="s">
        <v>81</v>
      </c>
      <c r="AA5" s="2" t="s">
        <v>68</v>
      </c>
      <c r="AB5" s="2" t="s">
        <v>69</v>
      </c>
      <c r="AC5" s="2" t="s">
        <v>80</v>
      </c>
      <c r="AD5" s="2" t="s">
        <v>81</v>
      </c>
      <c r="AE5" s="2" t="s">
        <v>80</v>
      </c>
      <c r="AF5" s="2" t="s">
        <v>81</v>
      </c>
      <c r="AG5" s="2" t="s">
        <v>68</v>
      </c>
      <c r="AH5" s="2" t="s">
        <v>69</v>
      </c>
      <c r="AI5" s="2" t="s">
        <v>80</v>
      </c>
      <c r="AJ5" s="2" t="s">
        <v>81</v>
      </c>
      <c r="AK5" s="2" t="s">
        <v>80</v>
      </c>
      <c r="AL5" s="2" t="s">
        <v>81</v>
      </c>
      <c r="AM5" s="2" t="s">
        <v>68</v>
      </c>
      <c r="AN5" s="2" t="s">
        <v>69</v>
      </c>
      <c r="AO5" s="2" t="s">
        <v>80</v>
      </c>
      <c r="AP5" s="2" t="s">
        <v>81</v>
      </c>
      <c r="AQ5" s="2" t="s">
        <v>80</v>
      </c>
      <c r="AR5" s="2" t="s">
        <v>81</v>
      </c>
      <c r="AS5" s="2" t="s">
        <v>68</v>
      </c>
      <c r="AT5" s="2" t="s">
        <v>69</v>
      </c>
      <c r="AU5" s="2" t="s">
        <v>80</v>
      </c>
      <c r="AV5" s="2" t="s">
        <v>81</v>
      </c>
      <c r="AW5" s="2" t="s">
        <v>80</v>
      </c>
      <c r="AX5" s="2" t="s">
        <v>81</v>
      </c>
      <c r="AY5" s="2" t="s">
        <v>68</v>
      </c>
      <c r="AZ5" s="2" t="s">
        <v>69</v>
      </c>
      <c r="BA5" s="2" t="s">
        <v>80</v>
      </c>
      <c r="BB5" s="2" t="s">
        <v>81</v>
      </c>
      <c r="BC5" s="2" t="s">
        <v>80</v>
      </c>
      <c r="BD5" s="2" t="s">
        <v>81</v>
      </c>
      <c r="BE5" s="2" t="s">
        <v>68</v>
      </c>
      <c r="BF5" s="2" t="s">
        <v>69</v>
      </c>
      <c r="BG5" s="2" t="s">
        <v>80</v>
      </c>
      <c r="BH5" s="2" t="s">
        <v>81</v>
      </c>
      <c r="BI5" s="2" t="s">
        <v>80</v>
      </c>
      <c r="BJ5" s="2" t="s">
        <v>81</v>
      </c>
      <c r="BK5" s="2" t="s">
        <v>68</v>
      </c>
      <c r="BL5" s="2" t="s">
        <v>69</v>
      </c>
      <c r="BM5" s="2" t="s">
        <v>80</v>
      </c>
      <c r="BN5" s="2" t="s">
        <v>81</v>
      </c>
      <c r="BO5" s="2" t="s">
        <v>80</v>
      </c>
      <c r="BP5" s="2" t="s">
        <v>81</v>
      </c>
      <c r="BQ5" s="2" t="s">
        <v>68</v>
      </c>
      <c r="BR5" s="2" t="s">
        <v>69</v>
      </c>
      <c r="BS5" s="2" t="s">
        <v>80</v>
      </c>
      <c r="BT5" s="2" t="s">
        <v>81</v>
      </c>
      <c r="BU5" s="2" t="s">
        <v>80</v>
      </c>
      <c r="BV5" s="2" t="s">
        <v>81</v>
      </c>
      <c r="BW5" s="2" t="s">
        <v>68</v>
      </c>
      <c r="BX5" s="2" t="s">
        <v>69</v>
      </c>
      <c r="BY5" s="2" t="s">
        <v>80</v>
      </c>
      <c r="BZ5" s="2" t="s">
        <v>81</v>
      </c>
      <c r="CA5" s="2" t="s">
        <v>80</v>
      </c>
      <c r="CB5" s="2" t="s">
        <v>81</v>
      </c>
      <c r="CC5" s="2" t="s">
        <v>68</v>
      </c>
      <c r="CD5" s="2" t="s">
        <v>69</v>
      </c>
      <c r="CE5" s="2" t="s">
        <v>80</v>
      </c>
      <c r="CF5" s="2" t="s">
        <v>81</v>
      </c>
      <c r="CG5" s="2" t="s">
        <v>80</v>
      </c>
      <c r="CH5" s="2" t="s">
        <v>81</v>
      </c>
      <c r="CI5" s="2" t="s">
        <v>68</v>
      </c>
      <c r="CJ5" s="2" t="s">
        <v>69</v>
      </c>
      <c r="CK5" s="2" t="s">
        <v>80</v>
      </c>
      <c r="CL5" s="2" t="s">
        <v>81</v>
      </c>
      <c r="CM5" s="2" t="s">
        <v>80</v>
      </c>
      <c r="CN5" s="2" t="s">
        <v>81</v>
      </c>
      <c r="CO5" s="2" t="s">
        <v>68</v>
      </c>
      <c r="CP5" s="2" t="s">
        <v>69</v>
      </c>
      <c r="CQ5" s="2" t="s">
        <v>80</v>
      </c>
      <c r="CR5" s="2" t="s">
        <v>81</v>
      </c>
      <c r="CS5" s="2" t="s">
        <v>80</v>
      </c>
      <c r="CT5" s="2" t="s">
        <v>81</v>
      </c>
      <c r="CU5" s="2" t="s">
        <v>68</v>
      </c>
      <c r="CV5" s="2" t="s">
        <v>69</v>
      </c>
      <c r="CW5" s="2" t="s">
        <v>80</v>
      </c>
      <c r="CX5" s="2" t="s">
        <v>81</v>
      </c>
      <c r="CY5" s="2" t="s">
        <v>80</v>
      </c>
      <c r="CZ5" s="2" t="s">
        <v>81</v>
      </c>
      <c r="DA5" s="2" t="s">
        <v>68</v>
      </c>
      <c r="DB5" s="2" t="s">
        <v>69</v>
      </c>
      <c r="DC5" s="2" t="s">
        <v>80</v>
      </c>
      <c r="DD5" s="2" t="s">
        <v>81</v>
      </c>
      <c r="DE5" s="2" t="s">
        <v>80</v>
      </c>
      <c r="DF5" s="2" t="s">
        <v>81</v>
      </c>
      <c r="DG5" s="2" t="s">
        <v>68</v>
      </c>
      <c r="DH5" s="2" t="s">
        <v>69</v>
      </c>
      <c r="DI5" s="2" t="s">
        <v>80</v>
      </c>
      <c r="DJ5" s="2" t="s">
        <v>81</v>
      </c>
      <c r="DK5" s="2" t="s">
        <v>80</v>
      </c>
      <c r="DL5" s="2" t="s">
        <v>81</v>
      </c>
      <c r="DM5" s="2" t="s">
        <v>68</v>
      </c>
      <c r="DN5" s="2" t="s">
        <v>69</v>
      </c>
      <c r="DO5" s="2" t="s">
        <v>80</v>
      </c>
      <c r="DP5" s="2" t="s">
        <v>81</v>
      </c>
      <c r="DQ5" s="2" t="s">
        <v>80</v>
      </c>
      <c r="DR5" s="2" t="s">
        <v>81</v>
      </c>
      <c r="DS5" s="2" t="s">
        <v>68</v>
      </c>
      <c r="DT5" s="2" t="s">
        <v>69</v>
      </c>
      <c r="DU5" s="2" t="s">
        <v>80</v>
      </c>
      <c r="DV5" s="2" t="s">
        <v>81</v>
      </c>
      <c r="DW5" s="2" t="s">
        <v>80</v>
      </c>
      <c r="DX5" s="2" t="s">
        <v>81</v>
      </c>
      <c r="DY5" s="2" t="s">
        <v>68</v>
      </c>
      <c r="DZ5" s="2" t="s">
        <v>69</v>
      </c>
      <c r="EA5" s="2" t="s">
        <v>80</v>
      </c>
      <c r="EB5" s="2" t="s">
        <v>81</v>
      </c>
      <c r="EC5" s="2" t="s">
        <v>80</v>
      </c>
      <c r="ED5" s="2" t="s">
        <v>81</v>
      </c>
      <c r="EE5" s="2" t="s">
        <v>68</v>
      </c>
      <c r="EF5" s="2" t="s">
        <v>69</v>
      </c>
      <c r="EG5" s="2" t="s">
        <v>80</v>
      </c>
      <c r="EH5" s="2" t="s">
        <v>81</v>
      </c>
      <c r="EI5" s="2" t="s">
        <v>80</v>
      </c>
      <c r="EJ5" s="2" t="s">
        <v>81</v>
      </c>
      <c r="EK5" s="2" t="s">
        <v>68</v>
      </c>
      <c r="EL5" s="2" t="s">
        <v>69</v>
      </c>
      <c r="EM5" s="2" t="s">
        <v>80</v>
      </c>
      <c r="EN5" s="2" t="s">
        <v>81</v>
      </c>
      <c r="EO5" s="2" t="s">
        <v>80</v>
      </c>
      <c r="EP5" s="2" t="s">
        <v>81</v>
      </c>
      <c r="EQ5" s="2" t="s">
        <v>68</v>
      </c>
      <c r="ER5" s="2" t="s">
        <v>69</v>
      </c>
      <c r="ES5" s="2" t="s">
        <v>80</v>
      </c>
      <c r="ET5" s="2" t="s">
        <v>81</v>
      </c>
      <c r="EU5" s="2" t="s">
        <v>80</v>
      </c>
      <c r="EV5" s="2" t="s">
        <v>81</v>
      </c>
      <c r="EW5" s="2" t="s">
        <v>68</v>
      </c>
      <c r="EX5" s="2" t="s">
        <v>69</v>
      </c>
      <c r="EY5" s="2" t="s">
        <v>80</v>
      </c>
      <c r="EZ5" s="2" t="s">
        <v>81</v>
      </c>
      <c r="FA5" s="2" t="s">
        <v>80</v>
      </c>
      <c r="FB5" s="2" t="s">
        <v>81</v>
      </c>
      <c r="FC5" s="2" t="s">
        <v>68</v>
      </c>
      <c r="FD5" s="2" t="s">
        <v>69</v>
      </c>
      <c r="FE5" s="2" t="s">
        <v>80</v>
      </c>
      <c r="FF5" s="2" t="s">
        <v>81</v>
      </c>
      <c r="FG5" s="2" t="s">
        <v>80</v>
      </c>
      <c r="FH5" s="2" t="s">
        <v>81</v>
      </c>
      <c r="FI5" s="2" t="s">
        <v>68</v>
      </c>
      <c r="FJ5" s="2" t="s">
        <v>69</v>
      </c>
      <c r="FK5" s="2" t="s">
        <v>80</v>
      </c>
      <c r="FL5" s="2" t="s">
        <v>81</v>
      </c>
      <c r="FM5" s="2" t="s">
        <v>80</v>
      </c>
      <c r="FN5" s="2" t="s">
        <v>81</v>
      </c>
      <c r="FO5" s="2" t="s">
        <v>68</v>
      </c>
      <c r="FP5" s="2" t="s">
        <v>69</v>
      </c>
      <c r="FQ5" s="2" t="s">
        <v>80</v>
      </c>
      <c r="FR5" s="2" t="s">
        <v>81</v>
      </c>
      <c r="FS5" s="2" t="s">
        <v>80</v>
      </c>
      <c r="FT5" s="2" t="s">
        <v>81</v>
      </c>
      <c r="FU5" s="2" t="s">
        <v>68</v>
      </c>
      <c r="FV5" s="2" t="s">
        <v>69</v>
      </c>
      <c r="FW5" s="2" t="s">
        <v>80</v>
      </c>
      <c r="FX5" s="2" t="s">
        <v>81</v>
      </c>
      <c r="FY5" s="2" t="s">
        <v>80</v>
      </c>
      <c r="FZ5" s="2" t="s">
        <v>81</v>
      </c>
      <c r="GA5" s="2" t="s">
        <v>68</v>
      </c>
      <c r="GB5" s="2" t="s">
        <v>69</v>
      </c>
      <c r="GC5" s="2" t="s">
        <v>80</v>
      </c>
      <c r="GD5" s="2" t="s">
        <v>81</v>
      </c>
      <c r="GE5" s="2" t="s">
        <v>80</v>
      </c>
      <c r="GF5" s="2" t="s">
        <v>81</v>
      </c>
      <c r="GG5" s="2" t="s">
        <v>68</v>
      </c>
      <c r="GH5" s="2" t="s">
        <v>69</v>
      </c>
      <c r="GI5" s="2" t="s">
        <v>80</v>
      </c>
      <c r="GJ5" s="2" t="s">
        <v>81</v>
      </c>
      <c r="GK5" s="2" t="s">
        <v>80</v>
      </c>
      <c r="GL5" s="2" t="s">
        <v>81</v>
      </c>
      <c r="GM5" s="2" t="s">
        <v>68</v>
      </c>
      <c r="GN5" s="2" t="s">
        <v>69</v>
      </c>
      <c r="GO5" s="2" t="s">
        <v>80</v>
      </c>
      <c r="GP5" s="2" t="s">
        <v>81</v>
      </c>
      <c r="GQ5" s="2" t="s">
        <v>80</v>
      </c>
      <c r="GR5" s="2" t="s">
        <v>81</v>
      </c>
      <c r="GS5" s="2" t="s">
        <v>68</v>
      </c>
      <c r="GT5" s="2" t="s">
        <v>69</v>
      </c>
      <c r="GU5" s="2" t="s">
        <v>80</v>
      </c>
      <c r="GV5" s="2" t="s">
        <v>81</v>
      </c>
      <c r="GW5" s="2" t="s">
        <v>80</v>
      </c>
      <c r="GX5" s="2" t="s">
        <v>81</v>
      </c>
      <c r="GY5" s="2" t="s">
        <v>68</v>
      </c>
      <c r="GZ5" s="2" t="s">
        <v>69</v>
      </c>
      <c r="HA5" s="2" t="s">
        <v>80</v>
      </c>
      <c r="HB5" s="2" t="s">
        <v>81</v>
      </c>
      <c r="HC5" s="2" t="s">
        <v>80</v>
      </c>
      <c r="HD5" s="2" t="s">
        <v>81</v>
      </c>
      <c r="HE5" s="2" t="s">
        <v>68</v>
      </c>
      <c r="HF5" s="2" t="s">
        <v>69</v>
      </c>
      <c r="HG5" s="2" t="s">
        <v>80</v>
      </c>
      <c r="HH5" s="2" t="s">
        <v>81</v>
      </c>
      <c r="HI5" s="2" t="s">
        <v>80</v>
      </c>
      <c r="HJ5" s="2" t="s">
        <v>81</v>
      </c>
      <c r="HK5" s="2" t="s">
        <v>68</v>
      </c>
      <c r="HL5" s="2" t="s">
        <v>69</v>
      </c>
      <c r="HM5" s="2" t="s">
        <v>80</v>
      </c>
      <c r="HN5" s="2" t="s">
        <v>81</v>
      </c>
      <c r="HO5" s="2" t="s">
        <v>80</v>
      </c>
      <c r="HP5" s="2" t="s">
        <v>81</v>
      </c>
      <c r="HQ5" s="2" t="s">
        <v>68</v>
      </c>
      <c r="HR5" s="2" t="s">
        <v>69</v>
      </c>
      <c r="HS5" s="2" t="s">
        <v>80</v>
      </c>
      <c r="HT5" s="2" t="s">
        <v>81</v>
      </c>
      <c r="HU5" s="2" t="s">
        <v>80</v>
      </c>
      <c r="HV5" s="2" t="s">
        <v>81</v>
      </c>
      <c r="HW5" s="2" t="s">
        <v>68</v>
      </c>
      <c r="HX5" s="2" t="s">
        <v>69</v>
      </c>
      <c r="HY5" s="2" t="s">
        <v>80</v>
      </c>
      <c r="HZ5" s="2" t="s">
        <v>81</v>
      </c>
      <c r="IA5" s="2" t="s">
        <v>80</v>
      </c>
      <c r="IB5" s="2" t="s">
        <v>81</v>
      </c>
      <c r="IC5" s="2" t="s">
        <v>68</v>
      </c>
      <c r="ID5" s="2" t="s">
        <v>69</v>
      </c>
      <c r="IE5" s="2" t="s">
        <v>80</v>
      </c>
      <c r="IF5" s="2" t="s">
        <v>81</v>
      </c>
      <c r="IG5" s="2" t="s">
        <v>80</v>
      </c>
      <c r="IH5" s="2" t="s">
        <v>81</v>
      </c>
      <c r="II5" s="2" t="s">
        <v>68</v>
      </c>
      <c r="IJ5" s="2" t="s">
        <v>69</v>
      </c>
      <c r="IK5" s="2" t="s">
        <v>80</v>
      </c>
      <c r="IL5" s="2" t="s">
        <v>81</v>
      </c>
      <c r="IM5" s="2" t="s">
        <v>80</v>
      </c>
      <c r="IN5" s="2" t="s">
        <v>81</v>
      </c>
      <c r="IO5" s="2" t="s">
        <v>68</v>
      </c>
      <c r="IP5" s="2" t="s">
        <v>69</v>
      </c>
      <c r="IQ5" s="2" t="s">
        <v>80</v>
      </c>
      <c r="IR5" s="2" t="s">
        <v>81</v>
      </c>
      <c r="IS5" s="2" t="s">
        <v>80</v>
      </c>
      <c r="IT5" s="2" t="s">
        <v>81</v>
      </c>
      <c r="IU5" s="2" t="s">
        <v>68</v>
      </c>
      <c r="IV5" s="2" t="s">
        <v>69</v>
      </c>
      <c r="IW5" s="2" t="s">
        <v>80</v>
      </c>
      <c r="IX5" s="2" t="s">
        <v>81</v>
      </c>
      <c r="IY5" s="2" t="s">
        <v>80</v>
      </c>
      <c r="IZ5" s="2" t="s">
        <v>81</v>
      </c>
      <c r="JA5" s="2" t="s">
        <v>68</v>
      </c>
      <c r="JB5" s="2" t="s">
        <v>69</v>
      </c>
      <c r="JC5" s="2" t="s">
        <v>80</v>
      </c>
      <c r="JD5" s="2" t="s">
        <v>81</v>
      </c>
      <c r="JE5" s="2" t="s">
        <v>80</v>
      </c>
      <c r="JF5" s="2" t="s">
        <v>81</v>
      </c>
      <c r="JG5" s="2" t="s">
        <v>68</v>
      </c>
      <c r="JH5" s="2" t="s">
        <v>69</v>
      </c>
      <c r="JI5" s="2" t="s">
        <v>82</v>
      </c>
      <c r="JJ5" s="2" t="s">
        <v>83</v>
      </c>
      <c r="JK5" s="2" t="s">
        <v>84</v>
      </c>
      <c r="JL5" s="2" t="s">
        <v>85</v>
      </c>
      <c r="JM5" s="2" t="s">
        <v>86</v>
      </c>
      <c r="JN5" s="2" t="s">
        <v>87</v>
      </c>
      <c r="JO5" s="2" t="s">
        <v>88</v>
      </c>
      <c r="JP5" s="2" t="s">
        <v>89</v>
      </c>
      <c r="JQ5" s="2" t="s">
        <v>90</v>
      </c>
      <c r="JR5" s="2" t="s">
        <v>91</v>
      </c>
      <c r="JS5" s="2" t="s">
        <v>92</v>
      </c>
      <c r="JT5" s="2" t="s">
        <v>93</v>
      </c>
      <c r="JU5" s="2" t="s">
        <v>94</v>
      </c>
      <c r="JV5" s="2" t="s">
        <v>95</v>
      </c>
      <c r="JW5" s="2" t="s">
        <v>96</v>
      </c>
      <c r="JX5" s="2" t="s">
        <v>97</v>
      </c>
      <c r="JY5" s="2" t="s">
        <v>98</v>
      </c>
      <c r="JZ5" s="2" t="s">
        <v>99</v>
      </c>
      <c r="KA5" s="2" t="s">
        <v>100</v>
      </c>
      <c r="KB5" s="2" t="s">
        <v>101</v>
      </c>
      <c r="KC5" s="2" t="s">
        <v>7</v>
      </c>
      <c r="KD5" s="2" t="s">
        <v>102</v>
      </c>
      <c r="KE5" s="2" t="s">
        <v>103</v>
      </c>
      <c r="KF5" s="2" t="s">
        <v>104</v>
      </c>
      <c r="KG5" s="2" t="s">
        <v>105</v>
      </c>
      <c r="KH5" s="2" t="s">
        <v>106</v>
      </c>
      <c r="KI5" s="2" t="s">
        <v>107</v>
      </c>
      <c r="KJ5" s="2" t="s">
        <v>108</v>
      </c>
      <c r="KK5" s="2" t="s">
        <v>109</v>
      </c>
      <c r="KL5" s="2" t="s">
        <v>110</v>
      </c>
      <c r="KM5" s="2" t="s">
        <v>111</v>
      </c>
      <c r="KN5" s="2" t="s">
        <v>112</v>
      </c>
      <c r="KO5" s="2" t="s">
        <v>113</v>
      </c>
      <c r="KP5" s="2" t="s">
        <v>114</v>
      </c>
      <c r="KQ5" s="2" t="s">
        <v>115</v>
      </c>
      <c r="KR5" s="2" t="s">
        <v>116</v>
      </c>
      <c r="KS5" s="2" t="s">
        <v>117</v>
      </c>
      <c r="KT5" s="2" t="s">
        <v>118</v>
      </c>
      <c r="KU5" s="2" t="s">
        <v>119</v>
      </c>
      <c r="KV5" s="2" t="s">
        <v>120</v>
      </c>
      <c r="KW5" s="2" t="s">
        <v>121</v>
      </c>
      <c r="KX5" s="2" t="s">
        <v>122</v>
      </c>
      <c r="KY5" s="2" t="s">
        <v>123</v>
      </c>
      <c r="KZ5" s="2" t="s">
        <v>124</v>
      </c>
      <c r="LA5" s="2" t="s">
        <v>125</v>
      </c>
      <c r="LB5" s="2" t="s">
        <v>126</v>
      </c>
      <c r="LC5" s="2" t="s">
        <v>127</v>
      </c>
      <c r="LD5" s="2" t="s">
        <v>128</v>
      </c>
      <c r="LE5" s="2" t="s">
        <v>129</v>
      </c>
      <c r="LF5" s="2" t="s">
        <v>130</v>
      </c>
      <c r="LG5" s="2" t="s">
        <v>131</v>
      </c>
      <c r="LH5" s="2" t="s">
        <v>132</v>
      </c>
      <c r="LI5" s="2" t="s">
        <v>133</v>
      </c>
      <c r="LJ5" s="2" t="s">
        <v>134</v>
      </c>
      <c r="LK5" s="2" t="s">
        <v>135</v>
      </c>
    </row>
    <row r="6">
      <c r="A6" s="3" t="s">
        <v>136</v>
      </c>
      <c r="B6" s="3" t="s">
        <v>137</v>
      </c>
      <c r="C6" s="3" t="s">
        <v>138</v>
      </c>
      <c r="D6" s="3" t="s">
        <v>139</v>
      </c>
      <c r="E6" s="3" t="s">
        <v>140</v>
      </c>
      <c r="F6" s="3" t="s">
        <v>140</v>
      </c>
      <c r="G6" s="3" t="s">
        <v>140</v>
      </c>
      <c r="H6" s="3" t="s">
        <v>141</v>
      </c>
      <c r="I6" s="4">
        <v>3864</v>
      </c>
      <c r="J6" s="4">
        <f>=ROUNDDOWN(10.9461756373938,0)</f>
      </c>
      <c r="K6" s="4">
        <v>9667</v>
      </c>
      <c r="L6" s="5">
        <v>0.9911</v>
      </c>
      <c r="M6" s="4"/>
      <c r="N6" s="4">
        <f>=ROUNDDOWN({0},0)</f>
      </c>
      <c r="O6" s="4"/>
      <c r="P6" s="5"/>
      <c r="Q6" s="4">
        <v>4021</v>
      </c>
      <c r="R6" s="6">
        <v>163227.34</v>
      </c>
      <c r="S6" s="4">
        <v>3694</v>
      </c>
      <c r="T6" s="6">
        <v>150097.02</v>
      </c>
      <c r="U6" s="5">
        <v>0.0885</v>
      </c>
      <c r="V6" s="5">
        <v>0.0875</v>
      </c>
      <c r="W6" s="4">
        <v>634</v>
      </c>
      <c r="X6" s="6">
        <v>26510.73</v>
      </c>
      <c r="Y6" s="4">
        <v>638</v>
      </c>
      <c r="Z6" s="6">
        <v>26962.65</v>
      </c>
      <c r="AA6" s="5">
        <v>-0.0063</v>
      </c>
      <c r="AB6" s="5">
        <v>-0.0168</v>
      </c>
      <c r="AC6" s="4">
        <v>695</v>
      </c>
      <c r="AD6" s="6">
        <v>29883.66</v>
      </c>
      <c r="AE6" s="4">
        <v>114</v>
      </c>
      <c r="AF6" s="6">
        <v>4714.22</v>
      </c>
      <c r="AG6" s="5">
        <v>5.0965</v>
      </c>
      <c r="AH6" s="5">
        <v>5.339</v>
      </c>
      <c r="AI6" s="4"/>
      <c r="AJ6" s="6"/>
      <c r="AK6" s="4"/>
      <c r="AL6" s="6"/>
      <c r="AM6" s="5"/>
      <c r="AN6" s="5"/>
      <c r="AO6" s="4"/>
      <c r="AP6" s="6"/>
      <c r="AQ6" s="4"/>
      <c r="AR6" s="6"/>
      <c r="AS6" s="5"/>
      <c r="AT6" s="5"/>
      <c r="AU6" s="4">
        <v>1511</v>
      </c>
      <c r="AV6" s="6">
        <v>60194.19</v>
      </c>
      <c r="AW6" s="4">
        <v>715</v>
      </c>
      <c r="AX6" s="6">
        <v>28019.13</v>
      </c>
      <c r="AY6" s="5">
        <v>1.1133</v>
      </c>
      <c r="AZ6" s="5">
        <v>1.1483</v>
      </c>
      <c r="BA6" s="4">
        <v>369</v>
      </c>
      <c r="BB6" s="6">
        <v>15668.92</v>
      </c>
      <c r="BC6" s="4">
        <v>975</v>
      </c>
      <c r="BD6" s="6">
        <v>40475.46</v>
      </c>
      <c r="BE6" s="5">
        <v>-0.6215</v>
      </c>
      <c r="BF6" s="5">
        <v>-0.6129</v>
      </c>
      <c r="BG6" s="4">
        <v>182</v>
      </c>
      <c r="BH6" s="6">
        <v>7524.02</v>
      </c>
      <c r="BI6" s="4">
        <v>239</v>
      </c>
      <c r="BJ6" s="6">
        <v>9758.25</v>
      </c>
      <c r="BK6" s="5">
        <v>-0.2385</v>
      </c>
      <c r="BL6" s="5">
        <v>-0.229</v>
      </c>
      <c r="BM6" s="4">
        <v>238</v>
      </c>
      <c r="BN6" s="6">
        <v>8016.06</v>
      </c>
      <c r="BO6" s="4">
        <v>103</v>
      </c>
      <c r="BP6" s="6">
        <v>3467.64</v>
      </c>
      <c r="BQ6" s="5">
        <v>1.3107</v>
      </c>
      <c r="BR6" s="5">
        <v>1.3117</v>
      </c>
      <c r="BS6" s="4">
        <v>151</v>
      </c>
      <c r="BT6" s="6">
        <v>5939.82</v>
      </c>
      <c r="BU6" s="4">
        <v>130</v>
      </c>
      <c r="BV6" s="6">
        <v>4972.13</v>
      </c>
      <c r="BW6" s="5">
        <v>0.1615</v>
      </c>
      <c r="BX6" s="5">
        <v>0.1946</v>
      </c>
      <c r="BY6" s="4">
        <v>81</v>
      </c>
      <c r="BZ6" s="6">
        <v>3367.78</v>
      </c>
      <c r="CA6" s="4">
        <v>227</v>
      </c>
      <c r="CB6" s="6">
        <v>9182.5</v>
      </c>
      <c r="CC6" s="5">
        <v>-0.6432</v>
      </c>
      <c r="CD6" s="5">
        <v>-0.6332</v>
      </c>
      <c r="CE6" s="4"/>
      <c r="CF6" s="6"/>
      <c r="CG6" s="4"/>
      <c r="CH6" s="6"/>
      <c r="CI6" s="5"/>
      <c r="CJ6" s="5"/>
      <c r="CK6" s="4"/>
      <c r="CL6" s="6"/>
      <c r="CM6" s="4"/>
      <c r="CN6" s="6"/>
      <c r="CO6" s="5"/>
      <c r="CP6" s="5"/>
      <c r="CQ6" s="4">
        <v>90</v>
      </c>
      <c r="CR6" s="6">
        <v>3373.4</v>
      </c>
      <c r="CS6" s="4">
        <v>206</v>
      </c>
      <c r="CT6" s="6">
        <v>7898.26</v>
      </c>
      <c r="CU6" s="5">
        <v>-0.5631</v>
      </c>
      <c r="CV6" s="5">
        <v>-0.5729</v>
      </c>
      <c r="CW6" s="4">
        <v>25</v>
      </c>
      <c r="CX6" s="6">
        <v>890.19</v>
      </c>
      <c r="CY6" s="4">
        <v>48</v>
      </c>
      <c r="CZ6" s="6">
        <v>1761.27</v>
      </c>
      <c r="DA6" s="5">
        <v>-0.4792</v>
      </c>
      <c r="DB6" s="5">
        <v>-0.4946</v>
      </c>
      <c r="DC6" s="4"/>
      <c r="DD6" s="6"/>
      <c r="DE6" s="4"/>
      <c r="DF6" s="6"/>
      <c r="DG6" s="5"/>
      <c r="DH6" s="5"/>
      <c r="DI6" s="4">
        <v>6</v>
      </c>
      <c r="DJ6" s="6">
        <v>363.31</v>
      </c>
      <c r="DK6" s="4">
        <v>15</v>
      </c>
      <c r="DL6" s="6">
        <v>967.25</v>
      </c>
      <c r="DM6" s="5">
        <v>-0.6</v>
      </c>
      <c r="DN6" s="5">
        <v>-0.6244</v>
      </c>
      <c r="DO6" s="4"/>
      <c r="DP6" s="6"/>
      <c r="DQ6" s="4"/>
      <c r="DR6" s="6"/>
      <c r="DS6" s="5"/>
      <c r="DT6" s="5"/>
      <c r="DU6" s="4"/>
      <c r="DV6" s="6"/>
      <c r="DW6" s="4"/>
      <c r="DX6" s="6"/>
      <c r="DY6" s="5"/>
      <c r="DZ6" s="5"/>
      <c r="EA6" s="4">
        <v>29</v>
      </c>
      <c r="EB6" s="6">
        <v>1089.31</v>
      </c>
      <c r="EC6" s="4">
        <v>7</v>
      </c>
      <c r="ED6" s="6">
        <v>270.97</v>
      </c>
      <c r="EE6" s="5">
        <v>3.1429</v>
      </c>
      <c r="EF6" s="5">
        <v>3.02</v>
      </c>
      <c r="EG6" s="4">
        <v>7</v>
      </c>
      <c r="EH6" s="6">
        <v>270.79</v>
      </c>
      <c r="EI6" s="4">
        <v>6</v>
      </c>
      <c r="EJ6" s="6">
        <v>207.42</v>
      </c>
      <c r="EK6" s="5">
        <v>0.1667</v>
      </c>
      <c r="EL6" s="5">
        <v>0.3055</v>
      </c>
      <c r="EM6" s="4"/>
      <c r="EN6" s="6"/>
      <c r="EO6" s="4"/>
      <c r="EP6" s="6"/>
      <c r="EQ6" s="5"/>
      <c r="ER6" s="5"/>
      <c r="ES6" s="4">
        <v>1</v>
      </c>
      <c r="ET6" s="6">
        <v>44.8</v>
      </c>
      <c r="EU6" s="4">
        <v>3</v>
      </c>
      <c r="EV6" s="6">
        <v>134.4</v>
      </c>
      <c r="EW6" s="5">
        <v>-0.6667</v>
      </c>
      <c r="EX6" s="5">
        <v>-0.6667</v>
      </c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>
        <v>2</v>
      </c>
      <c r="FL6" s="6">
        <v>90.36</v>
      </c>
      <c r="FM6" s="4"/>
      <c r="FN6" s="6"/>
      <c r="FO6" s="5"/>
      <c r="FP6" s="5"/>
      <c r="FQ6" s="4"/>
      <c r="FR6" s="6"/>
      <c r="FS6" s="4">
        <v>250</v>
      </c>
      <c r="FT6" s="6">
        <v>10574</v>
      </c>
      <c r="FU6" s="5"/>
      <c r="FV6" s="5"/>
      <c r="FW6" s="4"/>
      <c r="FX6" s="6"/>
      <c r="FY6" s="4">
        <v>13</v>
      </c>
      <c r="FZ6" s="6">
        <v>529.23</v>
      </c>
      <c r="GA6" s="5"/>
      <c r="GB6" s="5"/>
      <c r="GC6" s="4"/>
      <c r="GD6" s="6"/>
      <c r="GE6" s="4">
        <v>5</v>
      </c>
      <c r="GF6" s="6">
        <v>202.24</v>
      </c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/>
      <c r="HZ6" s="6"/>
      <c r="IA6" s="4"/>
      <c r="IB6" s="6"/>
      <c r="IC6" s="5"/>
      <c r="ID6" s="5"/>
      <c r="IE6" s="4"/>
      <c r="IF6" s="6"/>
      <c r="IG6" s="4"/>
      <c r="IH6" s="6"/>
      <c r="II6" s="5"/>
      <c r="IJ6" s="5"/>
      <c r="IK6" s="4"/>
      <c r="IL6" s="6"/>
      <c r="IM6" s="4"/>
      <c r="IN6" s="6"/>
      <c r="IO6" s="5"/>
      <c r="IP6" s="5"/>
      <c r="IQ6" s="4"/>
      <c r="IR6" s="6"/>
      <c r="IS6" s="4"/>
      <c r="IT6" s="6"/>
      <c r="IU6" s="5"/>
      <c r="IV6" s="5"/>
      <c r="IW6" s="4"/>
      <c r="IX6" s="6"/>
      <c r="IY6" s="4"/>
      <c r="IZ6" s="6"/>
      <c r="JA6" s="5"/>
      <c r="JB6" s="5"/>
      <c r="JC6" s="4"/>
      <c r="JD6" s="6"/>
      <c r="JE6" s="4"/>
      <c r="JF6" s="6"/>
      <c r="JG6" s="5"/>
      <c r="JH6" s="5"/>
      <c r="JI6" s="4">
        <v>3862</v>
      </c>
      <c r="JJ6" s="4">
        <v>1</v>
      </c>
      <c r="JK6" s="4"/>
      <c r="JL6" s="4"/>
      <c r="JM6" s="4">
        <v>1</v>
      </c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>
        <v>1153</v>
      </c>
      <c r="KE6" s="4"/>
      <c r="KF6" s="4">
        <v>420</v>
      </c>
      <c r="KG6" s="4"/>
      <c r="KH6" s="4">
        <v>1054</v>
      </c>
      <c r="KI6" s="4"/>
      <c r="KJ6" s="4"/>
      <c r="KK6" s="4"/>
      <c r="KL6" s="4">
        <v>780</v>
      </c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>
        <v>1440</v>
      </c>
      <c r="LC6" s="4"/>
      <c r="LD6" s="4">
        <v>2210</v>
      </c>
      <c r="LE6" s="4">
        <v>1690</v>
      </c>
      <c r="LF6" s="4"/>
      <c r="LG6" s="4"/>
      <c r="LH6" s="4"/>
      <c r="LI6" s="4"/>
      <c r="LJ6" s="4"/>
      <c r="LK6" s="4">
        <v>920</v>
      </c>
    </row>
    <row r="7">
      <c r="A7" s="3" t="s">
        <v>136</v>
      </c>
      <c r="B7" s="3" t="s">
        <v>137</v>
      </c>
      <c r="C7" s="3" t="s">
        <v>138</v>
      </c>
      <c r="D7" s="3" t="s">
        <v>139</v>
      </c>
      <c r="E7" s="3" t="s">
        <v>142</v>
      </c>
      <c r="F7" s="3" t="s">
        <v>142</v>
      </c>
      <c r="G7" s="3" t="s">
        <v>142</v>
      </c>
      <c r="H7" s="3" t="s">
        <v>143</v>
      </c>
      <c r="I7" s="4">
        <v>2554</v>
      </c>
      <c r="J7" s="4">
        <f>=ROUNDDOWN(12.8729838709677,0)</f>
      </c>
      <c r="K7" s="4">
        <v>6590</v>
      </c>
      <c r="L7" s="5">
        <v>0.9657</v>
      </c>
      <c r="M7" s="4"/>
      <c r="N7" s="4">
        <f>=ROUNDDOWN({0},0)</f>
      </c>
      <c r="O7" s="4"/>
      <c r="P7" s="5"/>
      <c r="Q7" s="4">
        <v>2069</v>
      </c>
      <c r="R7" s="6">
        <v>141402.27</v>
      </c>
      <c r="S7" s="4">
        <v>1250</v>
      </c>
      <c r="T7" s="6">
        <v>82133.11</v>
      </c>
      <c r="U7" s="5">
        <v>0.6552</v>
      </c>
      <c r="V7" s="5">
        <v>0.7216</v>
      </c>
      <c r="W7" s="4">
        <v>606</v>
      </c>
      <c r="X7" s="6">
        <v>39714.53</v>
      </c>
      <c r="Y7" s="4">
        <v>265</v>
      </c>
      <c r="Z7" s="6">
        <v>16500.77</v>
      </c>
      <c r="AA7" s="5">
        <v>1.2868</v>
      </c>
      <c r="AB7" s="5">
        <v>1.4068</v>
      </c>
      <c r="AC7" s="4">
        <v>638</v>
      </c>
      <c r="AD7" s="6">
        <v>46753.12</v>
      </c>
      <c r="AE7" s="4">
        <v>81</v>
      </c>
      <c r="AF7" s="6">
        <v>5971.42</v>
      </c>
      <c r="AG7" s="5">
        <v>6.8765</v>
      </c>
      <c r="AH7" s="5">
        <v>6.8295</v>
      </c>
      <c r="AI7" s="4">
        <v>1</v>
      </c>
      <c r="AJ7" s="6">
        <v>124.99</v>
      </c>
      <c r="AK7" s="4"/>
      <c r="AL7" s="6"/>
      <c r="AM7" s="5"/>
      <c r="AN7" s="5"/>
      <c r="AO7" s="4"/>
      <c r="AP7" s="6"/>
      <c r="AQ7" s="4"/>
      <c r="AR7" s="6"/>
      <c r="AS7" s="5"/>
      <c r="AT7" s="5"/>
      <c r="AU7" s="4">
        <v>265</v>
      </c>
      <c r="AV7" s="6">
        <v>17999.32</v>
      </c>
      <c r="AW7" s="4">
        <v>287</v>
      </c>
      <c r="AX7" s="6">
        <v>19105.21</v>
      </c>
      <c r="AY7" s="5">
        <v>-0.0767</v>
      </c>
      <c r="AZ7" s="5">
        <v>-0.0579</v>
      </c>
      <c r="BA7" s="4">
        <v>67</v>
      </c>
      <c r="BB7" s="6">
        <v>4271.59</v>
      </c>
      <c r="BC7" s="4">
        <v>93</v>
      </c>
      <c r="BD7" s="6">
        <v>5941.92</v>
      </c>
      <c r="BE7" s="5">
        <v>-0.2796</v>
      </c>
      <c r="BF7" s="5">
        <v>-0.2811</v>
      </c>
      <c r="BG7" s="4">
        <v>118</v>
      </c>
      <c r="BH7" s="6">
        <v>8440.63</v>
      </c>
      <c r="BI7" s="4">
        <v>220</v>
      </c>
      <c r="BJ7" s="6">
        <v>15321.64</v>
      </c>
      <c r="BK7" s="5">
        <v>-0.4636</v>
      </c>
      <c r="BL7" s="5">
        <v>-0.4491</v>
      </c>
      <c r="BM7" s="4">
        <v>106</v>
      </c>
      <c r="BN7" s="6">
        <v>6330.17</v>
      </c>
      <c r="BO7" s="4">
        <v>73</v>
      </c>
      <c r="BP7" s="6">
        <v>4191.78</v>
      </c>
      <c r="BQ7" s="5">
        <v>0.4521</v>
      </c>
      <c r="BR7" s="5">
        <v>0.5101</v>
      </c>
      <c r="BS7" s="4">
        <v>86</v>
      </c>
      <c r="BT7" s="6">
        <v>5770.43</v>
      </c>
      <c r="BU7" s="4">
        <v>57</v>
      </c>
      <c r="BV7" s="6">
        <v>3747.23</v>
      </c>
      <c r="BW7" s="5">
        <v>0.5088</v>
      </c>
      <c r="BX7" s="5">
        <v>0.5399</v>
      </c>
      <c r="BY7" s="4">
        <v>116</v>
      </c>
      <c r="BZ7" s="6">
        <v>7311.2</v>
      </c>
      <c r="CA7" s="4">
        <v>101</v>
      </c>
      <c r="CB7" s="6">
        <v>6451.61</v>
      </c>
      <c r="CC7" s="5">
        <v>0.1485</v>
      </c>
      <c r="CD7" s="5">
        <v>0.1332</v>
      </c>
      <c r="CE7" s="4"/>
      <c r="CF7" s="6"/>
      <c r="CG7" s="4"/>
      <c r="CH7" s="6"/>
      <c r="CI7" s="5"/>
      <c r="CJ7" s="5"/>
      <c r="CK7" s="4"/>
      <c r="CL7" s="6"/>
      <c r="CM7" s="4"/>
      <c r="CN7" s="6"/>
      <c r="CO7" s="5"/>
      <c r="CP7" s="5"/>
      <c r="CQ7" s="4"/>
      <c r="CR7" s="6"/>
      <c r="CS7" s="4"/>
      <c r="CT7" s="6"/>
      <c r="CU7" s="5"/>
      <c r="CV7" s="5"/>
      <c r="CW7" s="4"/>
      <c r="CX7" s="6"/>
      <c r="CY7" s="4">
        <v>13</v>
      </c>
      <c r="CZ7" s="6">
        <v>750.62</v>
      </c>
      <c r="DA7" s="5"/>
      <c r="DB7" s="5"/>
      <c r="DC7" s="4">
        <v>17</v>
      </c>
      <c r="DD7" s="6">
        <v>1143.08</v>
      </c>
      <c r="DE7" s="4">
        <v>12</v>
      </c>
      <c r="DF7" s="6">
        <v>828.76</v>
      </c>
      <c r="DG7" s="5">
        <v>0.4167</v>
      </c>
      <c r="DH7" s="5">
        <v>0.3793</v>
      </c>
      <c r="DI7" s="4">
        <v>4</v>
      </c>
      <c r="DJ7" s="6">
        <v>389.97</v>
      </c>
      <c r="DK7" s="4">
        <v>2</v>
      </c>
      <c r="DL7" s="6">
        <v>139.98</v>
      </c>
      <c r="DM7" s="5">
        <v>1</v>
      </c>
      <c r="DN7" s="5">
        <v>1.7859</v>
      </c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>
        <v>18</v>
      </c>
      <c r="EH7" s="6">
        <v>1250.28</v>
      </c>
      <c r="EI7" s="4">
        <v>12</v>
      </c>
      <c r="EJ7" s="6">
        <v>833.52</v>
      </c>
      <c r="EK7" s="5">
        <v>0.5</v>
      </c>
      <c r="EL7" s="5">
        <v>0.5</v>
      </c>
      <c r="EM7" s="4">
        <v>26</v>
      </c>
      <c r="EN7" s="6">
        <v>1806.82</v>
      </c>
      <c r="EO7" s="4"/>
      <c r="EP7" s="6"/>
      <c r="EQ7" s="5"/>
      <c r="ER7" s="5"/>
      <c r="ES7" s="4">
        <v>1</v>
      </c>
      <c r="ET7" s="6">
        <v>96.14</v>
      </c>
      <c r="EU7" s="4">
        <v>3</v>
      </c>
      <c r="EV7" s="6">
        <v>190.44</v>
      </c>
      <c r="EW7" s="5">
        <v>-0.6667</v>
      </c>
      <c r="EX7" s="5">
        <v>-0.4952</v>
      </c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>
        <v>29</v>
      </c>
      <c r="FT7" s="6">
        <v>2049.39</v>
      </c>
      <c r="FU7" s="5"/>
      <c r="FV7" s="5"/>
      <c r="FW7" s="4"/>
      <c r="FX7" s="6"/>
      <c r="FY7" s="4">
        <v>2</v>
      </c>
      <c r="FZ7" s="6">
        <v>108.82</v>
      </c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/>
      <c r="HZ7" s="6"/>
      <c r="IA7" s="4"/>
      <c r="IB7" s="6"/>
      <c r="IC7" s="5"/>
      <c r="ID7" s="5"/>
      <c r="IE7" s="4"/>
      <c r="IF7" s="6"/>
      <c r="IG7" s="4"/>
      <c r="IH7" s="6"/>
      <c r="II7" s="5"/>
      <c r="IJ7" s="5"/>
      <c r="IK7" s="4"/>
      <c r="IL7" s="6"/>
      <c r="IM7" s="4"/>
      <c r="IN7" s="6"/>
      <c r="IO7" s="5"/>
      <c r="IP7" s="5"/>
      <c r="IQ7" s="4"/>
      <c r="IR7" s="6"/>
      <c r="IS7" s="4"/>
      <c r="IT7" s="6"/>
      <c r="IU7" s="5"/>
      <c r="IV7" s="5"/>
      <c r="IW7" s="4"/>
      <c r="IX7" s="6"/>
      <c r="IY7" s="4"/>
      <c r="IZ7" s="6"/>
      <c r="JA7" s="5"/>
      <c r="JB7" s="5"/>
      <c r="JC7" s="4"/>
      <c r="JD7" s="6"/>
      <c r="JE7" s="4"/>
      <c r="JF7" s="6"/>
      <c r="JG7" s="5"/>
      <c r="JH7" s="5"/>
      <c r="JI7" s="4">
        <v>2013</v>
      </c>
      <c r="JJ7" s="4"/>
      <c r="JK7" s="4"/>
      <c r="JL7" s="4"/>
      <c r="JM7" s="4"/>
      <c r="JN7" s="4"/>
      <c r="JO7" s="4"/>
      <c r="JP7" s="4">
        <v>541</v>
      </c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>
        <v>1273</v>
      </c>
      <c r="KC7" s="4"/>
      <c r="KD7" s="4"/>
      <c r="KE7" s="4"/>
      <c r="KF7" s="4"/>
      <c r="KG7" s="4"/>
      <c r="KH7" s="4"/>
      <c r="KI7" s="4"/>
      <c r="KJ7" s="4"/>
      <c r="KK7" s="4"/>
      <c r="KL7" s="4">
        <v>420</v>
      </c>
      <c r="KM7" s="4"/>
      <c r="KN7" s="4">
        <v>1157</v>
      </c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>
        <v>240</v>
      </c>
      <c r="LD7" s="4"/>
      <c r="LE7" s="4">
        <v>1240</v>
      </c>
      <c r="LF7" s="4"/>
      <c r="LG7" s="4"/>
      <c r="LH7" s="4"/>
      <c r="LI7" s="4"/>
      <c r="LJ7" s="4"/>
      <c r="LK7" s="4">
        <v>2260</v>
      </c>
    </row>
    <row r="8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144</v>
      </c>
      <c r="F8" s="3" t="s">
        <v>144</v>
      </c>
      <c r="G8" s="3" t="s">
        <v>144</v>
      </c>
      <c r="H8" s="3" t="s">
        <v>141</v>
      </c>
      <c r="I8" s="4">
        <v>1747</v>
      </c>
      <c r="J8" s="4">
        <f>=ROUNDDOWN(5.62278725458642,0)</f>
      </c>
      <c r="K8" s="4">
        <v>9502</v>
      </c>
      <c r="L8" s="5">
        <v>0.942</v>
      </c>
      <c r="M8" s="4"/>
      <c r="N8" s="4">
        <f>=ROUNDDOWN({0},0)</f>
      </c>
      <c r="O8" s="4"/>
      <c r="P8" s="5"/>
      <c r="Q8" s="4">
        <v>2768</v>
      </c>
      <c r="R8" s="6">
        <v>131982.13</v>
      </c>
      <c r="S8" s="4">
        <v>2580</v>
      </c>
      <c r="T8" s="6">
        <v>122654.62</v>
      </c>
      <c r="U8" s="5">
        <v>0.0729</v>
      </c>
      <c r="V8" s="5">
        <v>0.076</v>
      </c>
      <c r="W8" s="4">
        <v>259</v>
      </c>
      <c r="X8" s="6">
        <v>12851.81</v>
      </c>
      <c r="Y8" s="4">
        <v>523</v>
      </c>
      <c r="Z8" s="6">
        <v>26155.97</v>
      </c>
      <c r="AA8" s="5">
        <v>-0.5048</v>
      </c>
      <c r="AB8" s="5">
        <v>-0.5086</v>
      </c>
      <c r="AC8" s="4">
        <v>646</v>
      </c>
      <c r="AD8" s="6">
        <v>31020.94</v>
      </c>
      <c r="AE8" s="4">
        <v>60</v>
      </c>
      <c r="AF8" s="6">
        <v>2897.67</v>
      </c>
      <c r="AG8" s="5">
        <v>9.7667</v>
      </c>
      <c r="AH8" s="5">
        <v>9.7055</v>
      </c>
      <c r="AI8" s="4"/>
      <c r="AJ8" s="6"/>
      <c r="AK8" s="4"/>
      <c r="AL8" s="6"/>
      <c r="AM8" s="5"/>
      <c r="AN8" s="5"/>
      <c r="AO8" s="4"/>
      <c r="AP8" s="6"/>
      <c r="AQ8" s="4"/>
      <c r="AR8" s="6"/>
      <c r="AS8" s="5"/>
      <c r="AT8" s="5"/>
      <c r="AU8" s="4">
        <v>992</v>
      </c>
      <c r="AV8" s="6">
        <v>48206.04</v>
      </c>
      <c r="AW8" s="4">
        <v>617</v>
      </c>
      <c r="AX8" s="6">
        <v>29724.52</v>
      </c>
      <c r="AY8" s="5">
        <v>0.6078</v>
      </c>
      <c r="AZ8" s="5">
        <v>0.6218</v>
      </c>
      <c r="BA8" s="4">
        <v>145</v>
      </c>
      <c r="BB8" s="6">
        <v>7164.83</v>
      </c>
      <c r="BC8" s="4">
        <v>310</v>
      </c>
      <c r="BD8" s="6">
        <v>15465.02</v>
      </c>
      <c r="BE8" s="5">
        <v>-0.5323</v>
      </c>
      <c r="BF8" s="5">
        <v>-0.5367</v>
      </c>
      <c r="BG8" s="4">
        <v>427</v>
      </c>
      <c r="BH8" s="6">
        <v>18959.42</v>
      </c>
      <c r="BI8" s="4">
        <v>443</v>
      </c>
      <c r="BJ8" s="6">
        <v>19946.52</v>
      </c>
      <c r="BK8" s="5">
        <v>-0.0361</v>
      </c>
      <c r="BL8" s="5">
        <v>-0.0495</v>
      </c>
      <c r="BM8" s="4">
        <v>106</v>
      </c>
      <c r="BN8" s="6">
        <v>4418.29</v>
      </c>
      <c r="BO8" s="4">
        <v>314</v>
      </c>
      <c r="BP8" s="6">
        <v>13460.62</v>
      </c>
      <c r="BQ8" s="5">
        <v>-0.6624</v>
      </c>
      <c r="BR8" s="5">
        <v>-0.6718</v>
      </c>
      <c r="BS8" s="4">
        <v>56</v>
      </c>
      <c r="BT8" s="6">
        <v>2673.08</v>
      </c>
      <c r="BU8" s="4">
        <v>50</v>
      </c>
      <c r="BV8" s="6">
        <v>2338.87</v>
      </c>
      <c r="BW8" s="5">
        <v>0.12</v>
      </c>
      <c r="BX8" s="5">
        <v>0.1429</v>
      </c>
      <c r="BY8" s="4">
        <v>48</v>
      </c>
      <c r="BZ8" s="6">
        <v>2411.48</v>
      </c>
      <c r="CA8" s="4">
        <v>140</v>
      </c>
      <c r="CB8" s="6">
        <v>6782.06</v>
      </c>
      <c r="CC8" s="5">
        <v>-0.6571</v>
      </c>
      <c r="CD8" s="5">
        <v>-0.6444</v>
      </c>
      <c r="CE8" s="4"/>
      <c r="CF8" s="6"/>
      <c r="CG8" s="4"/>
      <c r="CH8" s="6"/>
      <c r="CI8" s="5"/>
      <c r="CJ8" s="5"/>
      <c r="CK8" s="4"/>
      <c r="CL8" s="6"/>
      <c r="CM8" s="4"/>
      <c r="CN8" s="6"/>
      <c r="CO8" s="5"/>
      <c r="CP8" s="5"/>
      <c r="CQ8" s="4">
        <v>11</v>
      </c>
      <c r="CR8" s="6">
        <v>497.49</v>
      </c>
      <c r="CS8" s="4"/>
      <c r="CT8" s="6"/>
      <c r="CU8" s="5"/>
      <c r="CV8" s="5"/>
      <c r="CW8" s="4">
        <v>2</v>
      </c>
      <c r="CX8" s="6">
        <v>90.72</v>
      </c>
      <c r="CY8" s="4">
        <v>7</v>
      </c>
      <c r="CZ8" s="6">
        <v>331.67</v>
      </c>
      <c r="DA8" s="5">
        <v>-0.7143</v>
      </c>
      <c r="DB8" s="5">
        <v>-0.7265</v>
      </c>
      <c r="DC8" s="4">
        <v>49</v>
      </c>
      <c r="DD8" s="6">
        <v>2383.68</v>
      </c>
      <c r="DE8" s="4"/>
      <c r="DF8" s="6"/>
      <c r="DG8" s="5"/>
      <c r="DH8" s="5"/>
      <c r="DI8" s="4">
        <v>2</v>
      </c>
      <c r="DJ8" s="6">
        <v>149.98</v>
      </c>
      <c r="DK8" s="4">
        <v>2</v>
      </c>
      <c r="DL8" s="6">
        <v>99.98</v>
      </c>
      <c r="DM8" s="5"/>
      <c r="DN8" s="5">
        <v>0.5001</v>
      </c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>
        <v>25</v>
      </c>
      <c r="EB8" s="6">
        <v>1154.37</v>
      </c>
      <c r="EC8" s="4">
        <v>12</v>
      </c>
      <c r="ED8" s="6">
        <v>569.94</v>
      </c>
      <c r="EE8" s="5">
        <v>1.0833</v>
      </c>
      <c r="EF8" s="5">
        <v>1.0254</v>
      </c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>
        <v>101</v>
      </c>
      <c r="FT8" s="6">
        <v>4838.31</v>
      </c>
      <c r="FU8" s="5"/>
      <c r="FV8" s="5"/>
      <c r="FW8" s="4"/>
      <c r="FX8" s="6"/>
      <c r="FY8" s="4">
        <v>1</v>
      </c>
      <c r="FZ8" s="6">
        <v>43.47</v>
      </c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/>
      <c r="HZ8" s="6"/>
      <c r="IA8" s="4"/>
      <c r="IB8" s="6"/>
      <c r="IC8" s="5"/>
      <c r="ID8" s="5"/>
      <c r="IE8" s="4"/>
      <c r="IF8" s="6"/>
      <c r="IG8" s="4"/>
      <c r="IH8" s="6"/>
      <c r="II8" s="5"/>
      <c r="IJ8" s="5"/>
      <c r="IK8" s="4"/>
      <c r="IL8" s="6"/>
      <c r="IM8" s="4"/>
      <c r="IN8" s="6"/>
      <c r="IO8" s="5"/>
      <c r="IP8" s="5"/>
      <c r="IQ8" s="4"/>
      <c r="IR8" s="6"/>
      <c r="IS8" s="4"/>
      <c r="IT8" s="6"/>
      <c r="IU8" s="5"/>
      <c r="IV8" s="5"/>
      <c r="IW8" s="4"/>
      <c r="IX8" s="6"/>
      <c r="IY8" s="4"/>
      <c r="IZ8" s="6"/>
      <c r="JA8" s="5"/>
      <c r="JB8" s="5"/>
      <c r="JC8" s="4"/>
      <c r="JD8" s="6"/>
      <c r="JE8" s="4"/>
      <c r="JF8" s="6"/>
      <c r="JG8" s="5"/>
      <c r="JH8" s="5"/>
      <c r="JI8" s="4">
        <v>1747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>
        <v>765</v>
      </c>
      <c r="KE8" s="4"/>
      <c r="KF8" s="4">
        <v>2060</v>
      </c>
      <c r="KG8" s="4"/>
      <c r="KH8" s="4"/>
      <c r="KI8" s="4"/>
      <c r="KJ8" s="4"/>
      <c r="KK8" s="4"/>
      <c r="KL8" s="4"/>
      <c r="KM8" s="4"/>
      <c r="KN8" s="4"/>
      <c r="KO8" s="4"/>
      <c r="KP8" s="4">
        <v>3556</v>
      </c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>
        <v>1761</v>
      </c>
      <c r="LF8" s="4"/>
      <c r="LG8" s="4"/>
      <c r="LH8" s="4"/>
      <c r="LI8" s="4"/>
      <c r="LJ8" s="4"/>
      <c r="LK8" s="4">
        <v>1360</v>
      </c>
    </row>
    <row r="9">
      <c r="A9" s="3" t="s">
        <v>136</v>
      </c>
      <c r="B9" s="3" t="s">
        <v>137</v>
      </c>
      <c r="C9" s="3" t="s">
        <v>138</v>
      </c>
      <c r="D9" s="3" t="s">
        <v>139</v>
      </c>
      <c r="E9" s="3" t="s">
        <v>145</v>
      </c>
      <c r="F9" s="3" t="s">
        <v>145</v>
      </c>
      <c r="G9" s="3" t="s">
        <v>145</v>
      </c>
      <c r="H9" s="3" t="s">
        <v>146</v>
      </c>
      <c r="I9" s="4">
        <v>7451</v>
      </c>
      <c r="J9" s="4">
        <f>=ROUNDDOWN(18.3793783917119,0)</f>
      </c>
      <c r="K9" s="4">
        <v>7892</v>
      </c>
      <c r="L9" s="5">
        <v>0.9989</v>
      </c>
      <c r="M9" s="4"/>
      <c r="N9" s="4">
        <f>=ROUNDDOWN({0},0)</f>
      </c>
      <c r="O9" s="4"/>
      <c r="P9" s="5"/>
      <c r="Q9" s="4">
        <v>4711</v>
      </c>
      <c r="R9" s="6">
        <v>93639.08</v>
      </c>
      <c r="S9" s="4">
        <v>4420</v>
      </c>
      <c r="T9" s="6">
        <v>87049.99</v>
      </c>
      <c r="U9" s="5">
        <v>0.0658</v>
      </c>
      <c r="V9" s="5">
        <v>0.0757</v>
      </c>
      <c r="W9" s="4">
        <v>470</v>
      </c>
      <c r="X9" s="6">
        <v>8756.94</v>
      </c>
      <c r="Y9" s="4">
        <v>545</v>
      </c>
      <c r="Z9" s="6">
        <v>10282.13</v>
      </c>
      <c r="AA9" s="5">
        <v>-0.1376</v>
      </c>
      <c r="AB9" s="5">
        <v>-0.1483</v>
      </c>
      <c r="AC9" s="4">
        <v>80</v>
      </c>
      <c r="AD9" s="6">
        <v>1718.12</v>
      </c>
      <c r="AE9" s="4">
        <v>23</v>
      </c>
      <c r="AF9" s="6">
        <v>487.03</v>
      </c>
      <c r="AG9" s="5">
        <v>2.4783</v>
      </c>
      <c r="AH9" s="5">
        <v>2.5277</v>
      </c>
      <c r="AI9" s="4"/>
      <c r="AJ9" s="6"/>
      <c r="AK9" s="4"/>
      <c r="AL9" s="6"/>
      <c r="AM9" s="5"/>
      <c r="AN9" s="5"/>
      <c r="AO9" s="4">
        <v>538</v>
      </c>
      <c r="AP9" s="6">
        <v>11344.48</v>
      </c>
      <c r="AQ9" s="4">
        <v>569</v>
      </c>
      <c r="AR9" s="6">
        <v>11975.7</v>
      </c>
      <c r="AS9" s="5">
        <v>-0.0545</v>
      </c>
      <c r="AT9" s="5">
        <v>-0.0527</v>
      </c>
      <c r="AU9" s="4">
        <v>1402</v>
      </c>
      <c r="AV9" s="6">
        <v>29343.98</v>
      </c>
      <c r="AW9" s="4">
        <v>610</v>
      </c>
      <c r="AX9" s="6">
        <v>11723.29</v>
      </c>
      <c r="AY9" s="5">
        <v>1.2984</v>
      </c>
      <c r="AZ9" s="5">
        <v>1.503</v>
      </c>
      <c r="BA9" s="4">
        <v>87</v>
      </c>
      <c r="BB9" s="6">
        <v>1828.86</v>
      </c>
      <c r="BC9" s="4">
        <v>132</v>
      </c>
      <c r="BD9" s="6">
        <v>2681.68</v>
      </c>
      <c r="BE9" s="5">
        <v>-0.3409</v>
      </c>
      <c r="BF9" s="5">
        <v>-0.318</v>
      </c>
      <c r="BG9" s="4">
        <v>1321</v>
      </c>
      <c r="BH9" s="6">
        <v>23887.85</v>
      </c>
      <c r="BI9" s="4">
        <v>1253</v>
      </c>
      <c r="BJ9" s="6">
        <v>24238.52</v>
      </c>
      <c r="BK9" s="5">
        <v>0.0543</v>
      </c>
      <c r="BL9" s="5">
        <v>-0.0145</v>
      </c>
      <c r="BM9" s="4">
        <v>54</v>
      </c>
      <c r="BN9" s="6">
        <v>919.5</v>
      </c>
      <c r="BO9" s="4">
        <v>147</v>
      </c>
      <c r="BP9" s="6">
        <v>2699.32</v>
      </c>
      <c r="BQ9" s="5">
        <v>-0.6327</v>
      </c>
      <c r="BR9" s="5">
        <v>-0.6594</v>
      </c>
      <c r="BS9" s="4">
        <v>84</v>
      </c>
      <c r="BT9" s="6">
        <v>1723.94</v>
      </c>
      <c r="BU9" s="4">
        <v>184</v>
      </c>
      <c r="BV9" s="6">
        <v>3767.61</v>
      </c>
      <c r="BW9" s="5">
        <v>-0.5435</v>
      </c>
      <c r="BX9" s="5">
        <v>-0.5424</v>
      </c>
      <c r="BY9" s="4">
        <v>233</v>
      </c>
      <c r="BZ9" s="6">
        <v>4827.82</v>
      </c>
      <c r="CA9" s="4">
        <v>380</v>
      </c>
      <c r="CB9" s="6">
        <v>7186.35</v>
      </c>
      <c r="CC9" s="5">
        <v>-0.3868</v>
      </c>
      <c r="CD9" s="5">
        <v>-0.3282</v>
      </c>
      <c r="CE9" s="4">
        <v>20</v>
      </c>
      <c r="CF9" s="6">
        <v>337.84</v>
      </c>
      <c r="CG9" s="4">
        <v>43</v>
      </c>
      <c r="CH9" s="6">
        <v>823.02</v>
      </c>
      <c r="CI9" s="5">
        <v>-0.5349</v>
      </c>
      <c r="CJ9" s="5">
        <v>-0.5895</v>
      </c>
      <c r="CK9" s="4"/>
      <c r="CL9" s="6"/>
      <c r="CM9" s="4"/>
      <c r="CN9" s="6"/>
      <c r="CO9" s="5"/>
      <c r="CP9" s="5"/>
      <c r="CQ9" s="4"/>
      <c r="CR9" s="6"/>
      <c r="CS9" s="4">
        <v>6</v>
      </c>
      <c r="CT9" s="6">
        <v>130.34</v>
      </c>
      <c r="CU9" s="5"/>
      <c r="CV9" s="5"/>
      <c r="CW9" s="4">
        <v>53</v>
      </c>
      <c r="CX9" s="6">
        <v>1062.76</v>
      </c>
      <c r="CY9" s="4">
        <v>107</v>
      </c>
      <c r="CZ9" s="6">
        <v>2006.6</v>
      </c>
      <c r="DA9" s="5">
        <v>-0.5047</v>
      </c>
      <c r="DB9" s="5">
        <v>-0.4704</v>
      </c>
      <c r="DC9" s="4">
        <v>78</v>
      </c>
      <c r="DD9" s="6">
        <v>1479.81</v>
      </c>
      <c r="DE9" s="4">
        <v>51</v>
      </c>
      <c r="DF9" s="6">
        <v>1017.9</v>
      </c>
      <c r="DG9" s="5">
        <v>0.5294</v>
      </c>
      <c r="DH9" s="5">
        <v>0.4538</v>
      </c>
      <c r="DI9" s="4">
        <v>5</v>
      </c>
      <c r="DJ9" s="6">
        <v>125.92</v>
      </c>
      <c r="DK9" s="4">
        <v>2</v>
      </c>
      <c r="DL9" s="6">
        <v>75.98</v>
      </c>
      <c r="DM9" s="5">
        <v>1.5</v>
      </c>
      <c r="DN9" s="5">
        <v>0.6573</v>
      </c>
      <c r="DO9" s="4">
        <v>139</v>
      </c>
      <c r="DP9" s="6">
        <v>2971.99</v>
      </c>
      <c r="DQ9" s="4">
        <v>101</v>
      </c>
      <c r="DR9" s="6">
        <v>2155.44</v>
      </c>
      <c r="DS9" s="5">
        <v>0.3762</v>
      </c>
      <c r="DT9" s="5">
        <v>0.3788</v>
      </c>
      <c r="DU9" s="4">
        <v>113</v>
      </c>
      <c r="DV9" s="6">
        <v>2590.24</v>
      </c>
      <c r="DW9" s="4">
        <v>126</v>
      </c>
      <c r="DX9" s="6">
        <v>2867.44</v>
      </c>
      <c r="DY9" s="5">
        <v>-0.1032</v>
      </c>
      <c r="DZ9" s="5">
        <v>-0.0967</v>
      </c>
      <c r="EA9" s="4">
        <v>28</v>
      </c>
      <c r="EB9" s="6">
        <v>580.79</v>
      </c>
      <c r="EC9" s="4">
        <v>33</v>
      </c>
      <c r="ED9" s="6">
        <v>631.6</v>
      </c>
      <c r="EE9" s="5">
        <v>-0.1515</v>
      </c>
      <c r="EF9" s="5">
        <v>-0.0804</v>
      </c>
      <c r="EG9" s="4">
        <v>6</v>
      </c>
      <c r="EH9" s="6">
        <v>138.24</v>
      </c>
      <c r="EI9" s="4">
        <v>16</v>
      </c>
      <c r="EJ9" s="6">
        <v>368.64</v>
      </c>
      <c r="EK9" s="5">
        <v>-0.625</v>
      </c>
      <c r="EL9" s="5">
        <v>-0.625</v>
      </c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>
        <v>54</v>
      </c>
      <c r="FT9" s="6">
        <v>1178.45</v>
      </c>
      <c r="FU9" s="5"/>
      <c r="FV9" s="5"/>
      <c r="FW9" s="4"/>
      <c r="FX9" s="6"/>
      <c r="FY9" s="4">
        <v>28</v>
      </c>
      <c r="FZ9" s="6">
        <v>534.69</v>
      </c>
      <c r="GA9" s="5"/>
      <c r="GB9" s="5"/>
      <c r="GC9" s="4"/>
      <c r="GD9" s="6"/>
      <c r="GE9" s="4">
        <v>10</v>
      </c>
      <c r="GF9" s="6">
        <v>218.26</v>
      </c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/>
      <c r="HZ9" s="6"/>
      <c r="IA9" s="4"/>
      <c r="IB9" s="6"/>
      <c r="IC9" s="5"/>
      <c r="ID9" s="5"/>
      <c r="IE9" s="4"/>
      <c r="IF9" s="6"/>
      <c r="IG9" s="4"/>
      <c r="IH9" s="6"/>
      <c r="II9" s="5"/>
      <c r="IJ9" s="5"/>
      <c r="IK9" s="4"/>
      <c r="IL9" s="6"/>
      <c r="IM9" s="4"/>
      <c r="IN9" s="6"/>
      <c r="IO9" s="5"/>
      <c r="IP9" s="5"/>
      <c r="IQ9" s="4"/>
      <c r="IR9" s="6"/>
      <c r="IS9" s="4"/>
      <c r="IT9" s="6"/>
      <c r="IU9" s="5"/>
      <c r="IV9" s="5"/>
      <c r="IW9" s="4"/>
      <c r="IX9" s="6"/>
      <c r="IY9" s="4"/>
      <c r="IZ9" s="6"/>
      <c r="JA9" s="5"/>
      <c r="JB9" s="5"/>
      <c r="JC9" s="4"/>
      <c r="JD9" s="6"/>
      <c r="JE9" s="4"/>
      <c r="JF9" s="6"/>
      <c r="JG9" s="5"/>
      <c r="JH9" s="5"/>
      <c r="JI9" s="4">
        <v>7370</v>
      </c>
      <c r="JJ9" s="4">
        <v>1</v>
      </c>
      <c r="JK9" s="4"/>
      <c r="JL9" s="4"/>
      <c r="JM9" s="4"/>
      <c r="JN9" s="4"/>
      <c r="JO9" s="4"/>
      <c r="JP9" s="4">
        <v>80</v>
      </c>
      <c r="JQ9" s="4"/>
      <c r="JR9" s="4"/>
      <c r="JS9" s="4"/>
      <c r="JT9" s="4"/>
      <c r="JU9" s="4"/>
      <c r="JV9" s="4"/>
      <c r="JW9" s="4"/>
      <c r="JX9" s="4"/>
      <c r="JY9" s="4">
        <v>1390</v>
      </c>
      <c r="JZ9" s="4"/>
      <c r="KA9" s="4"/>
      <c r="KB9" s="4"/>
      <c r="KC9" s="4"/>
      <c r="KD9" s="4"/>
      <c r="KE9" s="4"/>
      <c r="KF9" s="4"/>
      <c r="KG9" s="4"/>
      <c r="KH9" s="4">
        <v>1380</v>
      </c>
      <c r="KI9" s="4"/>
      <c r="KJ9" s="4"/>
      <c r="KK9" s="4"/>
      <c r="KL9" s="4"/>
      <c r="KM9" s="4"/>
      <c r="KN9" s="4"/>
      <c r="KO9" s="4"/>
      <c r="KP9" s="4"/>
      <c r="KQ9" s="4"/>
      <c r="KR9" s="4"/>
      <c r="KS9" s="4">
        <v>2380</v>
      </c>
      <c r="KT9" s="4"/>
      <c r="KU9" s="4"/>
      <c r="KV9" s="4"/>
      <c r="KW9" s="4"/>
      <c r="KX9" s="4"/>
      <c r="KY9" s="4"/>
      <c r="KZ9" s="4"/>
      <c r="LA9" s="4"/>
      <c r="LB9" s="4">
        <v>1502</v>
      </c>
      <c r="LC9" s="4"/>
      <c r="LD9" s="4"/>
      <c r="LE9" s="4"/>
      <c r="LF9" s="4">
        <v>1240</v>
      </c>
      <c r="LG9" s="4"/>
      <c r="LH9" s="4"/>
      <c r="LI9" s="4"/>
      <c r="LJ9" s="4"/>
      <c r="LK9" s="4"/>
    </row>
    <row r="10">
      <c r="A10" s="3" t="s">
        <v>136</v>
      </c>
      <c r="B10" s="3" t="s">
        <v>137</v>
      </c>
      <c r="C10" s="3" t="s">
        <v>138</v>
      </c>
      <c r="D10" s="3" t="s">
        <v>139</v>
      </c>
      <c r="E10" s="3" t="s">
        <v>147</v>
      </c>
      <c r="F10" s="3" t="s">
        <v>147</v>
      </c>
      <c r="G10" s="3" t="s">
        <v>147</v>
      </c>
      <c r="H10" s="3" t="s">
        <v>143</v>
      </c>
      <c r="I10" s="4">
        <v>5426</v>
      </c>
      <c r="J10" s="4">
        <f>=ROUNDDOWN(24.072759538598,0)</f>
      </c>
      <c r="K10" s="4">
        <v>2654</v>
      </c>
      <c r="L10" s="5">
        <v>0.9936</v>
      </c>
      <c r="M10" s="4"/>
      <c r="N10" s="4">
        <f>=ROUNDDOWN({0},0)</f>
      </c>
      <c r="O10" s="4"/>
      <c r="P10" s="5"/>
      <c r="Q10" s="4">
        <v>2074</v>
      </c>
      <c r="R10" s="6">
        <v>66097.38</v>
      </c>
      <c r="S10" s="4">
        <v>2797</v>
      </c>
      <c r="T10" s="6">
        <v>87968.23</v>
      </c>
      <c r="U10" s="5">
        <v>-0.2585</v>
      </c>
      <c r="V10" s="5">
        <v>-0.2486</v>
      </c>
      <c r="W10" s="4">
        <v>743</v>
      </c>
      <c r="X10" s="6">
        <v>25656.29</v>
      </c>
      <c r="Y10" s="4">
        <v>876</v>
      </c>
      <c r="Z10" s="6">
        <v>28533.24</v>
      </c>
      <c r="AA10" s="5">
        <v>-0.1518</v>
      </c>
      <c r="AB10" s="5">
        <v>-0.1008</v>
      </c>
      <c r="AC10" s="4">
        <v>276</v>
      </c>
      <c r="AD10" s="6">
        <v>8372.96</v>
      </c>
      <c r="AE10" s="4">
        <v>60</v>
      </c>
      <c r="AF10" s="6">
        <v>1946.7</v>
      </c>
      <c r="AG10" s="5">
        <v>3.6</v>
      </c>
      <c r="AH10" s="5">
        <v>3.3011</v>
      </c>
      <c r="AI10" s="4"/>
      <c r="AJ10" s="6"/>
      <c r="AK10" s="4"/>
      <c r="AL10" s="6"/>
      <c r="AM10" s="5"/>
      <c r="AN10" s="5"/>
      <c r="AO10" s="4"/>
      <c r="AP10" s="6"/>
      <c r="AQ10" s="4"/>
      <c r="AR10" s="6"/>
      <c r="AS10" s="5"/>
      <c r="AT10" s="5"/>
      <c r="AU10" s="4">
        <v>223</v>
      </c>
      <c r="AV10" s="6">
        <v>7221.04</v>
      </c>
      <c r="AW10" s="4">
        <v>182</v>
      </c>
      <c r="AX10" s="6">
        <v>5756.26</v>
      </c>
      <c r="AY10" s="5">
        <v>0.2253</v>
      </c>
      <c r="AZ10" s="5">
        <v>0.2545</v>
      </c>
      <c r="BA10" s="4">
        <v>180</v>
      </c>
      <c r="BB10" s="6">
        <v>5589.88</v>
      </c>
      <c r="BC10" s="4">
        <v>314</v>
      </c>
      <c r="BD10" s="6">
        <v>9991.6</v>
      </c>
      <c r="BE10" s="5">
        <v>-0.4268</v>
      </c>
      <c r="BF10" s="5">
        <v>-0.4405</v>
      </c>
      <c r="BG10" s="4">
        <v>120</v>
      </c>
      <c r="BH10" s="6">
        <v>3662.89</v>
      </c>
      <c r="BI10" s="4">
        <v>171</v>
      </c>
      <c r="BJ10" s="6">
        <v>5172.81</v>
      </c>
      <c r="BK10" s="5">
        <v>-0.2982</v>
      </c>
      <c r="BL10" s="5">
        <v>-0.2919</v>
      </c>
      <c r="BM10" s="4">
        <v>52</v>
      </c>
      <c r="BN10" s="6">
        <v>1412.56</v>
      </c>
      <c r="BO10" s="4">
        <v>53</v>
      </c>
      <c r="BP10" s="6">
        <v>1526.19</v>
      </c>
      <c r="BQ10" s="5">
        <v>-0.0189</v>
      </c>
      <c r="BR10" s="5">
        <v>-0.0745</v>
      </c>
      <c r="BS10" s="4">
        <v>87</v>
      </c>
      <c r="BT10" s="6">
        <v>2713.28</v>
      </c>
      <c r="BU10" s="4">
        <v>368</v>
      </c>
      <c r="BV10" s="6">
        <v>11714.31</v>
      </c>
      <c r="BW10" s="5">
        <v>-0.7636</v>
      </c>
      <c r="BX10" s="5">
        <v>-0.7684</v>
      </c>
      <c r="BY10" s="4">
        <v>211</v>
      </c>
      <c r="BZ10" s="6">
        <v>6777.89</v>
      </c>
      <c r="CA10" s="4">
        <v>416</v>
      </c>
      <c r="CB10" s="6">
        <v>12289</v>
      </c>
      <c r="CC10" s="5">
        <v>-0.4928</v>
      </c>
      <c r="CD10" s="5">
        <v>-0.4485</v>
      </c>
      <c r="CE10" s="4"/>
      <c r="CF10" s="6"/>
      <c r="CG10" s="4"/>
      <c r="CH10" s="6"/>
      <c r="CI10" s="5"/>
      <c r="CJ10" s="5"/>
      <c r="CK10" s="4"/>
      <c r="CL10" s="6"/>
      <c r="CM10" s="4"/>
      <c r="CN10" s="6"/>
      <c r="CO10" s="5"/>
      <c r="CP10" s="5"/>
      <c r="CQ10" s="4">
        <v>26</v>
      </c>
      <c r="CR10" s="6">
        <v>799.73</v>
      </c>
      <c r="CS10" s="4"/>
      <c r="CT10" s="6"/>
      <c r="CU10" s="5"/>
      <c r="CV10" s="5"/>
      <c r="CW10" s="4">
        <v>46</v>
      </c>
      <c r="CX10" s="6">
        <v>1335.31</v>
      </c>
      <c r="CY10" s="4">
        <v>195</v>
      </c>
      <c r="CZ10" s="6">
        <v>5976.46</v>
      </c>
      <c r="DA10" s="5">
        <v>-0.7641</v>
      </c>
      <c r="DB10" s="5">
        <v>-0.7766</v>
      </c>
      <c r="DC10" s="4">
        <v>99</v>
      </c>
      <c r="DD10" s="6">
        <v>2218.96</v>
      </c>
      <c r="DE10" s="4">
        <v>53</v>
      </c>
      <c r="DF10" s="6">
        <v>1664.41</v>
      </c>
      <c r="DG10" s="5">
        <v>0.8679</v>
      </c>
      <c r="DH10" s="5">
        <v>0.3332</v>
      </c>
      <c r="DI10" s="4">
        <v>2</v>
      </c>
      <c r="DJ10" s="6">
        <v>50.99</v>
      </c>
      <c r="DK10" s="4">
        <v>2</v>
      </c>
      <c r="DL10" s="6">
        <v>64.98</v>
      </c>
      <c r="DM10" s="5"/>
      <c r="DN10" s="5">
        <v>-0.2153</v>
      </c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>
        <v>7</v>
      </c>
      <c r="EB10" s="6">
        <v>215.47</v>
      </c>
      <c r="EC10" s="4">
        <v>17</v>
      </c>
      <c r="ED10" s="6">
        <v>531.03</v>
      </c>
      <c r="EE10" s="5">
        <v>-0.5882</v>
      </c>
      <c r="EF10" s="5">
        <v>-0.5942</v>
      </c>
      <c r="EG10" s="4">
        <v>1</v>
      </c>
      <c r="EH10" s="6">
        <v>34.57</v>
      </c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>
        <v>1</v>
      </c>
      <c r="ET10" s="6">
        <v>35.56</v>
      </c>
      <c r="EU10" s="4">
        <v>2</v>
      </c>
      <c r="EV10" s="6">
        <v>56.29</v>
      </c>
      <c r="EW10" s="5">
        <v>-0.5</v>
      </c>
      <c r="EX10" s="5">
        <v>-0.3683</v>
      </c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>
        <v>44</v>
      </c>
      <c r="FT10" s="6">
        <v>1473.96</v>
      </c>
      <c r="FU10" s="5"/>
      <c r="FV10" s="5"/>
      <c r="FW10" s="4"/>
      <c r="FX10" s="6"/>
      <c r="FY10" s="4">
        <v>38</v>
      </c>
      <c r="FZ10" s="6">
        <v>1114.64</v>
      </c>
      <c r="GA10" s="5"/>
      <c r="GB10" s="5"/>
      <c r="GC10" s="4"/>
      <c r="GD10" s="6"/>
      <c r="GE10" s="4">
        <v>6</v>
      </c>
      <c r="GF10" s="6">
        <v>156.35</v>
      </c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/>
      <c r="HZ10" s="6"/>
      <c r="IA10" s="4"/>
      <c r="IB10" s="6"/>
      <c r="IC10" s="5"/>
      <c r="ID10" s="5"/>
      <c r="IE10" s="4"/>
      <c r="IF10" s="6"/>
      <c r="IG10" s="4"/>
      <c r="IH10" s="6"/>
      <c r="II10" s="5"/>
      <c r="IJ10" s="5"/>
      <c r="IK10" s="4"/>
      <c r="IL10" s="6"/>
      <c r="IM10" s="4"/>
      <c r="IN10" s="6"/>
      <c r="IO10" s="5"/>
      <c r="IP10" s="5"/>
      <c r="IQ10" s="4"/>
      <c r="IR10" s="6"/>
      <c r="IS10" s="4"/>
      <c r="IT10" s="6"/>
      <c r="IU10" s="5"/>
      <c r="IV10" s="5"/>
      <c r="IW10" s="4"/>
      <c r="IX10" s="6"/>
      <c r="IY10" s="4"/>
      <c r="IZ10" s="6"/>
      <c r="JA10" s="5"/>
      <c r="JB10" s="5"/>
      <c r="JC10" s="4"/>
      <c r="JD10" s="6"/>
      <c r="JE10" s="4"/>
      <c r="JF10" s="6"/>
      <c r="JG10" s="5"/>
      <c r="JH10" s="5"/>
      <c r="JI10" s="4">
        <v>5426</v>
      </c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>
        <v>1124</v>
      </c>
      <c r="KN10" s="4"/>
      <c r="KO10" s="4"/>
      <c r="KP10" s="4"/>
      <c r="KQ10" s="4"/>
      <c r="KR10" s="4">
        <v>600</v>
      </c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>
        <v>930</v>
      </c>
      <c r="LD10" s="4"/>
      <c r="LE10" s="4"/>
      <c r="LF10" s="4"/>
      <c r="LG10" s="4"/>
      <c r="LH10" s="4"/>
      <c r="LI10" s="4"/>
      <c r="LJ10" s="4"/>
      <c r="LK10" s="4"/>
    </row>
    <row r="11">
      <c r="A11" s="3" t="s">
        <v>136</v>
      </c>
      <c r="B11" s="3" t="s">
        <v>137</v>
      </c>
      <c r="C11" s="3" t="s">
        <v>138</v>
      </c>
      <c r="D11" s="3" t="s">
        <v>139</v>
      </c>
      <c r="E11" s="3" t="s">
        <v>148</v>
      </c>
      <c r="F11" s="3" t="s">
        <v>148</v>
      </c>
      <c r="G11" s="3" t="s">
        <v>148</v>
      </c>
      <c r="H11" s="3" t="s">
        <v>141</v>
      </c>
      <c r="I11" s="4">
        <v>544</v>
      </c>
      <c r="J11" s="4">
        <f>=ROUNDDOWN(4.352,0)</f>
      </c>
      <c r="K11" s="4">
        <v>2523</v>
      </c>
      <c r="L11" s="5"/>
      <c r="M11" s="4"/>
      <c r="N11" s="4">
        <f>=ROUNDDOWN({0},0)</f>
      </c>
      <c r="O11" s="4"/>
      <c r="P11" s="5"/>
      <c r="Q11" s="4">
        <v>1441</v>
      </c>
      <c r="R11" s="6">
        <v>48859.05</v>
      </c>
      <c r="S11" s="4">
        <v>757</v>
      </c>
      <c r="T11" s="6">
        <v>25886.77</v>
      </c>
      <c r="U11" s="5">
        <v>0.9036</v>
      </c>
      <c r="V11" s="5">
        <v>0.8874</v>
      </c>
      <c r="W11" s="4">
        <v>910</v>
      </c>
      <c r="X11" s="6">
        <v>29927.13</v>
      </c>
      <c r="Y11" s="4">
        <v>135</v>
      </c>
      <c r="Z11" s="6">
        <v>4347.91</v>
      </c>
      <c r="AA11" s="5">
        <v>5.7407</v>
      </c>
      <c r="AB11" s="5">
        <v>5.8831</v>
      </c>
      <c r="AC11" s="4">
        <v>129</v>
      </c>
      <c r="AD11" s="6">
        <v>5122.47</v>
      </c>
      <c r="AE11" s="4">
        <v>20</v>
      </c>
      <c r="AF11" s="6">
        <v>802.48</v>
      </c>
      <c r="AG11" s="5">
        <v>5.45</v>
      </c>
      <c r="AH11" s="5">
        <v>5.3833</v>
      </c>
      <c r="AI11" s="4"/>
      <c r="AJ11" s="6"/>
      <c r="AK11" s="4"/>
      <c r="AL11" s="6"/>
      <c r="AM11" s="5"/>
      <c r="AN11" s="5"/>
      <c r="AO11" s="4"/>
      <c r="AP11" s="6"/>
      <c r="AQ11" s="4"/>
      <c r="AR11" s="6"/>
      <c r="AS11" s="5"/>
      <c r="AT11" s="5"/>
      <c r="AU11" s="4">
        <v>137</v>
      </c>
      <c r="AV11" s="6">
        <v>4678.63</v>
      </c>
      <c r="AW11" s="4">
        <v>100</v>
      </c>
      <c r="AX11" s="6">
        <v>3339.94</v>
      </c>
      <c r="AY11" s="5">
        <v>0.37</v>
      </c>
      <c r="AZ11" s="5">
        <v>0.4008</v>
      </c>
      <c r="BA11" s="4">
        <v>97</v>
      </c>
      <c r="BB11" s="6">
        <v>3353.77</v>
      </c>
      <c r="BC11" s="4">
        <v>91</v>
      </c>
      <c r="BD11" s="6">
        <v>3195.59</v>
      </c>
      <c r="BE11" s="5">
        <v>0.0659</v>
      </c>
      <c r="BF11" s="5">
        <v>0.0495</v>
      </c>
      <c r="BG11" s="4">
        <v>53</v>
      </c>
      <c r="BH11" s="6">
        <v>1860.65</v>
      </c>
      <c r="BI11" s="4">
        <v>101</v>
      </c>
      <c r="BJ11" s="6">
        <v>3496.32</v>
      </c>
      <c r="BK11" s="5">
        <v>-0.4752</v>
      </c>
      <c r="BL11" s="5">
        <v>-0.4678</v>
      </c>
      <c r="BM11" s="4">
        <v>23</v>
      </c>
      <c r="BN11" s="6">
        <v>695.55</v>
      </c>
      <c r="BO11" s="4">
        <v>24</v>
      </c>
      <c r="BP11" s="6">
        <v>801.32</v>
      </c>
      <c r="BQ11" s="5">
        <v>-0.0417</v>
      </c>
      <c r="BR11" s="5">
        <v>-0.132</v>
      </c>
      <c r="BS11" s="4">
        <v>63</v>
      </c>
      <c r="BT11" s="6">
        <v>2197.21</v>
      </c>
      <c r="BU11" s="4">
        <v>126</v>
      </c>
      <c r="BV11" s="6">
        <v>4276.11</v>
      </c>
      <c r="BW11" s="5">
        <v>-0.5</v>
      </c>
      <c r="BX11" s="5">
        <v>-0.4862</v>
      </c>
      <c r="BY11" s="4">
        <v>21</v>
      </c>
      <c r="BZ11" s="6">
        <v>709.54</v>
      </c>
      <c r="CA11" s="4">
        <v>18</v>
      </c>
      <c r="CB11" s="6">
        <v>603.17</v>
      </c>
      <c r="CC11" s="5">
        <v>0.1667</v>
      </c>
      <c r="CD11" s="5">
        <v>0.1764</v>
      </c>
      <c r="CE11" s="4"/>
      <c r="CF11" s="6"/>
      <c r="CG11" s="4"/>
      <c r="CH11" s="6"/>
      <c r="CI11" s="5"/>
      <c r="CJ11" s="5"/>
      <c r="CK11" s="4"/>
      <c r="CL11" s="6"/>
      <c r="CM11" s="4"/>
      <c r="CN11" s="6"/>
      <c r="CO11" s="5"/>
      <c r="CP11" s="5"/>
      <c r="CQ11" s="4"/>
      <c r="CR11" s="6"/>
      <c r="CS11" s="4">
        <v>9</v>
      </c>
      <c r="CT11" s="6">
        <v>333.42</v>
      </c>
      <c r="CU11" s="5"/>
      <c r="CV11" s="5"/>
      <c r="CW11" s="4">
        <v>5</v>
      </c>
      <c r="CX11" s="6">
        <v>145.33</v>
      </c>
      <c r="CY11" s="4">
        <v>3</v>
      </c>
      <c r="CZ11" s="6">
        <v>90.59</v>
      </c>
      <c r="DA11" s="5">
        <v>0.6667</v>
      </c>
      <c r="DB11" s="5">
        <v>0.6043</v>
      </c>
      <c r="DC11" s="4"/>
      <c r="DD11" s="6"/>
      <c r="DE11" s="4"/>
      <c r="DF11" s="6"/>
      <c r="DG11" s="5"/>
      <c r="DH11" s="5"/>
      <c r="DI11" s="4">
        <v>2</v>
      </c>
      <c r="DJ11" s="6">
        <v>128.76</v>
      </c>
      <c r="DK11" s="4">
        <v>4</v>
      </c>
      <c r="DL11" s="6">
        <v>273.96</v>
      </c>
      <c r="DM11" s="5">
        <v>-0.5</v>
      </c>
      <c r="DN11" s="5">
        <v>-0.53</v>
      </c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>
        <v>1</v>
      </c>
      <c r="FL11" s="6">
        <v>40.01</v>
      </c>
      <c r="FM11" s="4"/>
      <c r="FN11" s="6"/>
      <c r="FO11" s="5"/>
      <c r="FP11" s="5"/>
      <c r="FQ11" s="4"/>
      <c r="FR11" s="6"/>
      <c r="FS11" s="4">
        <v>126</v>
      </c>
      <c r="FT11" s="6">
        <v>4325.96</v>
      </c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/>
      <c r="HZ11" s="6"/>
      <c r="IA11" s="4"/>
      <c r="IB11" s="6"/>
      <c r="IC11" s="5"/>
      <c r="ID11" s="5"/>
      <c r="IE11" s="4"/>
      <c r="IF11" s="6"/>
      <c r="IG11" s="4"/>
      <c r="IH11" s="6"/>
      <c r="II11" s="5"/>
      <c r="IJ11" s="5"/>
      <c r="IK11" s="4"/>
      <c r="IL11" s="6"/>
      <c r="IM11" s="4"/>
      <c r="IN11" s="6"/>
      <c r="IO11" s="5"/>
      <c r="IP11" s="5"/>
      <c r="IQ11" s="4"/>
      <c r="IR11" s="6"/>
      <c r="IS11" s="4"/>
      <c r="IT11" s="6"/>
      <c r="IU11" s="5"/>
      <c r="IV11" s="5"/>
      <c r="IW11" s="4"/>
      <c r="IX11" s="6"/>
      <c r="IY11" s="4"/>
      <c r="IZ11" s="6"/>
      <c r="JA11" s="5"/>
      <c r="JB11" s="5"/>
      <c r="JC11" s="4"/>
      <c r="JD11" s="6"/>
      <c r="JE11" s="4"/>
      <c r="JF11" s="6"/>
      <c r="JG11" s="5"/>
      <c r="JH11" s="5"/>
      <c r="JI11" s="4">
        <v>544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>
        <v>1040</v>
      </c>
      <c r="KE11" s="4"/>
      <c r="KF11" s="4"/>
      <c r="KG11" s="4"/>
      <c r="KH11" s="4"/>
      <c r="KI11" s="4"/>
      <c r="KJ11" s="4"/>
      <c r="KK11" s="4"/>
      <c r="KL11" s="4"/>
      <c r="KM11" s="4"/>
      <c r="KN11" s="4">
        <v>1483</v>
      </c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</row>
    <row r="12">
      <c r="A12" s="3" t="s">
        <v>136</v>
      </c>
      <c r="B12" s="3" t="s">
        <v>137</v>
      </c>
      <c r="C12" s="3" t="s">
        <v>138</v>
      </c>
      <c r="D12" s="3" t="s">
        <v>139</v>
      </c>
      <c r="E12" s="3" t="s">
        <v>149</v>
      </c>
      <c r="F12" s="3" t="s">
        <v>149</v>
      </c>
      <c r="G12" s="3" t="s">
        <v>149</v>
      </c>
      <c r="H12" s="3" t="s">
        <v>143</v>
      </c>
      <c r="I12" s="4">
        <v>236</v>
      </c>
      <c r="J12" s="4">
        <f>=ROUNDDOWN(3.6875,0)</f>
      </c>
      <c r="K12" s="4">
        <v>2285</v>
      </c>
      <c r="L12" s="5">
        <v>1</v>
      </c>
      <c r="M12" s="4"/>
      <c r="N12" s="4">
        <f>=ROUNDDOWN({0},0)</f>
      </c>
      <c r="O12" s="4"/>
      <c r="P12" s="5"/>
      <c r="Q12" s="4">
        <v>630</v>
      </c>
      <c r="R12" s="6">
        <v>21374.65</v>
      </c>
      <c r="S12" s="4"/>
      <c r="T12" s="6"/>
      <c r="U12" s="5"/>
      <c r="V12" s="5"/>
      <c r="W12" s="4"/>
      <c r="X12" s="6"/>
      <c r="Y12" s="4"/>
      <c r="Z12" s="6"/>
      <c r="AA12" s="5"/>
      <c r="AB12" s="5"/>
      <c r="AC12" s="4">
        <v>75</v>
      </c>
      <c r="AD12" s="6">
        <v>2540.02</v>
      </c>
      <c r="AE12" s="4"/>
      <c r="AF12" s="6"/>
      <c r="AG12" s="5"/>
      <c r="AH12" s="5"/>
      <c r="AI12" s="4"/>
      <c r="AJ12" s="6"/>
      <c r="AK12" s="4"/>
      <c r="AL12" s="6"/>
      <c r="AM12" s="5"/>
      <c r="AN12" s="5"/>
      <c r="AO12" s="4">
        <v>193</v>
      </c>
      <c r="AP12" s="6">
        <v>6652.25</v>
      </c>
      <c r="AQ12" s="4"/>
      <c r="AR12" s="6"/>
      <c r="AS12" s="5"/>
      <c r="AT12" s="5"/>
      <c r="AU12" s="4">
        <v>87</v>
      </c>
      <c r="AV12" s="6">
        <v>2817.86</v>
      </c>
      <c r="AW12" s="4"/>
      <c r="AX12" s="6"/>
      <c r="AY12" s="5"/>
      <c r="AZ12" s="5"/>
      <c r="BA12" s="4">
        <v>167</v>
      </c>
      <c r="BB12" s="6">
        <v>5559.62</v>
      </c>
      <c r="BC12" s="4"/>
      <c r="BD12" s="6"/>
      <c r="BE12" s="5"/>
      <c r="BF12" s="5"/>
      <c r="BG12" s="4">
        <v>61</v>
      </c>
      <c r="BH12" s="6">
        <v>2093.92</v>
      </c>
      <c r="BI12" s="4"/>
      <c r="BJ12" s="6"/>
      <c r="BK12" s="5"/>
      <c r="BL12" s="5"/>
      <c r="BM12" s="4">
        <v>18</v>
      </c>
      <c r="BN12" s="6">
        <v>523.24</v>
      </c>
      <c r="BO12" s="4"/>
      <c r="BP12" s="6"/>
      <c r="BQ12" s="5"/>
      <c r="BR12" s="5"/>
      <c r="BS12" s="4"/>
      <c r="BT12" s="6"/>
      <c r="BU12" s="4"/>
      <c r="BV12" s="6"/>
      <c r="BW12" s="5"/>
      <c r="BX12" s="5"/>
      <c r="BY12" s="4">
        <v>24</v>
      </c>
      <c r="BZ12" s="6">
        <v>992.79</v>
      </c>
      <c r="CA12" s="4"/>
      <c r="CB12" s="6"/>
      <c r="CC12" s="5"/>
      <c r="CD12" s="5"/>
      <c r="CE12" s="4"/>
      <c r="CF12" s="6"/>
      <c r="CG12" s="4"/>
      <c r="CH12" s="6"/>
      <c r="CI12" s="5"/>
      <c r="CJ12" s="5"/>
      <c r="CK12" s="4"/>
      <c r="CL12" s="6"/>
      <c r="CM12" s="4"/>
      <c r="CN12" s="6"/>
      <c r="CO12" s="5"/>
      <c r="CP12" s="5"/>
      <c r="CQ12" s="4"/>
      <c r="CR12" s="6"/>
      <c r="CS12" s="4"/>
      <c r="CT12" s="6"/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>
        <v>5</v>
      </c>
      <c r="DJ12" s="6">
        <v>194.95</v>
      </c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/>
      <c r="HZ12" s="6"/>
      <c r="IA12" s="4"/>
      <c r="IB12" s="6"/>
      <c r="IC12" s="5"/>
      <c r="ID12" s="5"/>
      <c r="IE12" s="4"/>
      <c r="IF12" s="6"/>
      <c r="IG12" s="4"/>
      <c r="IH12" s="6"/>
      <c r="II12" s="5"/>
      <c r="IJ12" s="5"/>
      <c r="IK12" s="4"/>
      <c r="IL12" s="6"/>
      <c r="IM12" s="4"/>
      <c r="IN12" s="6"/>
      <c r="IO12" s="5"/>
      <c r="IP12" s="5"/>
      <c r="IQ12" s="4"/>
      <c r="IR12" s="6"/>
      <c r="IS12" s="4"/>
      <c r="IT12" s="6"/>
      <c r="IU12" s="5"/>
      <c r="IV12" s="5"/>
      <c r="IW12" s="4"/>
      <c r="IX12" s="6"/>
      <c r="IY12" s="4"/>
      <c r="IZ12" s="6"/>
      <c r="JA12" s="5"/>
      <c r="JB12" s="5"/>
      <c r="JC12" s="4"/>
      <c r="JD12" s="6"/>
      <c r="JE12" s="4"/>
      <c r="JF12" s="6"/>
      <c r="JG12" s="5"/>
      <c r="JH12" s="5"/>
      <c r="JI12" s="4">
        <v>236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>
        <v>1240</v>
      </c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>
        <v>1045</v>
      </c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</row>
    <row r="13">
      <c r="A13" s="3" t="s">
        <v>136</v>
      </c>
      <c r="B13" s="3" t="s">
        <v>137</v>
      </c>
      <c r="C13" s="3" t="s">
        <v>138</v>
      </c>
      <c r="D13" s="3" t="s">
        <v>139</v>
      </c>
      <c r="E13" s="3" t="s">
        <v>150</v>
      </c>
      <c r="F13" s="3" t="s">
        <v>150</v>
      </c>
      <c r="G13" s="3" t="s">
        <v>150</v>
      </c>
      <c r="H13" s="3" t="s">
        <v>151</v>
      </c>
      <c r="I13" s="4">
        <v>434</v>
      </c>
      <c r="J13" s="4">
        <f>=ROUNDDOWN(22.3711340206186,0)</f>
      </c>
      <c r="K13" s="4"/>
      <c r="L13" s="5"/>
      <c r="M13" s="4"/>
      <c r="N13" s="4">
        <f>=ROUNDDOWN({0},0)</f>
      </c>
      <c r="O13" s="4"/>
      <c r="P13" s="5"/>
      <c r="Q13" s="4">
        <v>177</v>
      </c>
      <c r="R13" s="6">
        <v>10230.04</v>
      </c>
      <c r="S13" s="4">
        <v>190</v>
      </c>
      <c r="T13" s="6">
        <v>11355.34</v>
      </c>
      <c r="U13" s="5">
        <v>-0.0684</v>
      </c>
      <c r="V13" s="5">
        <v>-0.0991</v>
      </c>
      <c r="W13" s="4">
        <v>13</v>
      </c>
      <c r="X13" s="6">
        <v>736.99</v>
      </c>
      <c r="Y13" s="4">
        <v>64</v>
      </c>
      <c r="Z13" s="6">
        <v>3794.28</v>
      </c>
      <c r="AA13" s="5">
        <v>-0.7969</v>
      </c>
      <c r="AB13" s="5">
        <v>-0.8058</v>
      </c>
      <c r="AC13" s="4">
        <v>26</v>
      </c>
      <c r="AD13" s="6">
        <v>1532.53</v>
      </c>
      <c r="AE13" s="4">
        <v>8</v>
      </c>
      <c r="AF13" s="6">
        <v>492.62</v>
      </c>
      <c r="AG13" s="5">
        <v>2.25</v>
      </c>
      <c r="AH13" s="5">
        <v>2.111</v>
      </c>
      <c r="AI13" s="4"/>
      <c r="AJ13" s="6"/>
      <c r="AK13" s="4"/>
      <c r="AL13" s="6"/>
      <c r="AM13" s="5"/>
      <c r="AN13" s="5"/>
      <c r="AO13" s="4"/>
      <c r="AP13" s="6"/>
      <c r="AQ13" s="4"/>
      <c r="AR13" s="6"/>
      <c r="AS13" s="5"/>
      <c r="AT13" s="5"/>
      <c r="AU13" s="4">
        <v>6</v>
      </c>
      <c r="AV13" s="6">
        <v>350.72</v>
      </c>
      <c r="AW13" s="4">
        <v>11</v>
      </c>
      <c r="AX13" s="6">
        <v>662.9</v>
      </c>
      <c r="AY13" s="5">
        <v>-0.4545</v>
      </c>
      <c r="AZ13" s="5">
        <v>-0.4709</v>
      </c>
      <c r="BA13" s="4">
        <v>83</v>
      </c>
      <c r="BB13" s="6">
        <v>4682.81</v>
      </c>
      <c r="BC13" s="4">
        <v>63</v>
      </c>
      <c r="BD13" s="6">
        <v>3681.74</v>
      </c>
      <c r="BE13" s="5">
        <v>0.3175</v>
      </c>
      <c r="BF13" s="5">
        <v>0.2719</v>
      </c>
      <c r="BG13" s="4">
        <v>4</v>
      </c>
      <c r="BH13" s="6">
        <v>233.83</v>
      </c>
      <c r="BI13" s="4">
        <v>8</v>
      </c>
      <c r="BJ13" s="6">
        <v>482.4</v>
      </c>
      <c r="BK13" s="5">
        <v>-0.5</v>
      </c>
      <c r="BL13" s="5">
        <v>-0.5153</v>
      </c>
      <c r="BM13" s="4">
        <v>2</v>
      </c>
      <c r="BN13" s="6">
        <v>77.47</v>
      </c>
      <c r="BO13" s="4">
        <v>1</v>
      </c>
      <c r="BP13" s="6">
        <v>50.53</v>
      </c>
      <c r="BQ13" s="5">
        <v>1</v>
      </c>
      <c r="BR13" s="5">
        <v>0.5331</v>
      </c>
      <c r="BS13" s="4">
        <v>1</v>
      </c>
      <c r="BT13" s="6">
        <v>49.89</v>
      </c>
      <c r="BU13" s="4"/>
      <c r="BV13" s="6"/>
      <c r="BW13" s="5"/>
      <c r="BX13" s="5"/>
      <c r="BY13" s="4">
        <v>18</v>
      </c>
      <c r="BZ13" s="6">
        <v>1185.58</v>
      </c>
      <c r="CA13" s="4">
        <v>17</v>
      </c>
      <c r="CB13" s="6">
        <v>1142.27</v>
      </c>
      <c r="CC13" s="5">
        <v>0.0588</v>
      </c>
      <c r="CD13" s="5">
        <v>0.0379</v>
      </c>
      <c r="CE13" s="4"/>
      <c r="CF13" s="6"/>
      <c r="CG13" s="4"/>
      <c r="CH13" s="6"/>
      <c r="CI13" s="5"/>
      <c r="CJ13" s="5"/>
      <c r="CK13" s="4"/>
      <c r="CL13" s="6"/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>
        <v>2</v>
      </c>
      <c r="DJ13" s="6">
        <v>99.98</v>
      </c>
      <c r="DK13" s="4">
        <v>3</v>
      </c>
      <c r="DL13" s="6">
        <v>159.97</v>
      </c>
      <c r="DM13" s="5">
        <v>-0.3333</v>
      </c>
      <c r="DN13" s="5">
        <v>-0.375</v>
      </c>
      <c r="DO13" s="4"/>
      <c r="DP13" s="6"/>
      <c r="DQ13" s="4"/>
      <c r="DR13" s="6"/>
      <c r="DS13" s="5"/>
      <c r="DT13" s="5"/>
      <c r="DU13" s="4">
        <v>22</v>
      </c>
      <c r="DV13" s="6">
        <v>1280.24</v>
      </c>
      <c r="DW13" s="4">
        <v>11</v>
      </c>
      <c r="DX13" s="6">
        <v>646.95</v>
      </c>
      <c r="DY13" s="5">
        <v>1</v>
      </c>
      <c r="DZ13" s="5">
        <v>0.9789</v>
      </c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>
        <v>4</v>
      </c>
      <c r="FT13" s="6">
        <v>241.68</v>
      </c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/>
      <c r="HZ13" s="6"/>
      <c r="IA13" s="4"/>
      <c r="IB13" s="6"/>
      <c r="IC13" s="5"/>
      <c r="ID13" s="5"/>
      <c r="IE13" s="4"/>
      <c r="IF13" s="6"/>
      <c r="IG13" s="4"/>
      <c r="IH13" s="6"/>
      <c r="II13" s="5"/>
      <c r="IJ13" s="5"/>
      <c r="IK13" s="4"/>
      <c r="IL13" s="6"/>
      <c r="IM13" s="4"/>
      <c r="IN13" s="6"/>
      <c r="IO13" s="5"/>
      <c r="IP13" s="5"/>
      <c r="IQ13" s="4"/>
      <c r="IR13" s="6"/>
      <c r="IS13" s="4"/>
      <c r="IT13" s="6"/>
      <c r="IU13" s="5"/>
      <c r="IV13" s="5"/>
      <c r="IW13" s="4"/>
      <c r="IX13" s="6"/>
      <c r="IY13" s="4"/>
      <c r="IZ13" s="6"/>
      <c r="JA13" s="5"/>
      <c r="JB13" s="5"/>
      <c r="JC13" s="4"/>
      <c r="JD13" s="6"/>
      <c r="JE13" s="4"/>
      <c r="JF13" s="6"/>
      <c r="JG13" s="5"/>
      <c r="JH13" s="5"/>
      <c r="JI13" s="4">
        <v>434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</row>
    <row r="14">
      <c r="A14" s="3" t="s">
        <v>136</v>
      </c>
      <c r="B14" s="3" t="s">
        <v>137</v>
      </c>
      <c r="C14" s="3" t="s">
        <v>138</v>
      </c>
      <c r="D14" s="3" t="s">
        <v>139</v>
      </c>
      <c r="E14" s="3" t="s">
        <v>152</v>
      </c>
      <c r="F14" s="3" t="s">
        <v>152</v>
      </c>
      <c r="G14" s="3" t="s">
        <v>152</v>
      </c>
      <c r="H14" s="3" t="s">
        <v>146</v>
      </c>
      <c r="I14" s="4">
        <v>1566</v>
      </c>
      <c r="J14" s="4">
        <f>=ROUNDDOWN(38.4766584766585,0)</f>
      </c>
      <c r="K14" s="4"/>
      <c r="L14" s="5"/>
      <c r="M14" s="4"/>
      <c r="N14" s="4">
        <f>=ROUNDDOWN({0},0)</f>
      </c>
      <c r="O14" s="4"/>
      <c r="P14" s="5"/>
      <c r="Q14" s="4">
        <v>367</v>
      </c>
      <c r="R14" s="6">
        <v>6463.39</v>
      </c>
      <c r="S14" s="4">
        <v>95</v>
      </c>
      <c r="T14" s="6">
        <v>1685.64</v>
      </c>
      <c r="U14" s="5">
        <v>2.8632</v>
      </c>
      <c r="V14" s="5">
        <v>2.8344</v>
      </c>
      <c r="W14" s="4">
        <v>44</v>
      </c>
      <c r="X14" s="6">
        <v>735.17</v>
      </c>
      <c r="Y14" s="4"/>
      <c r="Z14" s="6"/>
      <c r="AA14" s="5"/>
      <c r="AB14" s="5"/>
      <c r="AC14" s="4">
        <v>26</v>
      </c>
      <c r="AD14" s="6">
        <v>439.21</v>
      </c>
      <c r="AE14" s="4">
        <v>6</v>
      </c>
      <c r="AF14" s="6">
        <v>105.99</v>
      </c>
      <c r="AG14" s="5">
        <v>3.3333</v>
      </c>
      <c r="AH14" s="5">
        <v>3.1439</v>
      </c>
      <c r="AI14" s="4"/>
      <c r="AJ14" s="6"/>
      <c r="AK14" s="4"/>
      <c r="AL14" s="6"/>
      <c r="AM14" s="5"/>
      <c r="AN14" s="5"/>
      <c r="AO14" s="4">
        <v>137</v>
      </c>
      <c r="AP14" s="6">
        <v>2510.81</v>
      </c>
      <c r="AQ14" s="4"/>
      <c r="AR14" s="6"/>
      <c r="AS14" s="5"/>
      <c r="AT14" s="5"/>
      <c r="AU14" s="4">
        <v>20</v>
      </c>
      <c r="AV14" s="6">
        <v>352.44</v>
      </c>
      <c r="AW14" s="4">
        <v>2</v>
      </c>
      <c r="AX14" s="6">
        <v>35.83</v>
      </c>
      <c r="AY14" s="5">
        <v>9</v>
      </c>
      <c r="AZ14" s="5">
        <v>8.8364</v>
      </c>
      <c r="BA14" s="4">
        <v>49</v>
      </c>
      <c r="BB14" s="6">
        <v>848.22</v>
      </c>
      <c r="BC14" s="4">
        <v>11</v>
      </c>
      <c r="BD14" s="6">
        <v>194.1</v>
      </c>
      <c r="BE14" s="5">
        <v>3.4545</v>
      </c>
      <c r="BF14" s="5">
        <v>3.37</v>
      </c>
      <c r="BG14" s="4">
        <v>39</v>
      </c>
      <c r="BH14" s="6">
        <v>677.88</v>
      </c>
      <c r="BI14" s="4">
        <v>68</v>
      </c>
      <c r="BJ14" s="6">
        <v>1189.64</v>
      </c>
      <c r="BK14" s="5">
        <v>-0.4265</v>
      </c>
      <c r="BL14" s="5">
        <v>-0.4302</v>
      </c>
      <c r="BM14" s="4">
        <v>1</v>
      </c>
      <c r="BN14" s="6">
        <v>10.97</v>
      </c>
      <c r="BO14" s="4"/>
      <c r="BP14" s="6"/>
      <c r="BQ14" s="5"/>
      <c r="BR14" s="5"/>
      <c r="BS14" s="4">
        <v>6</v>
      </c>
      <c r="BT14" s="6">
        <v>110.42</v>
      </c>
      <c r="BU14" s="4"/>
      <c r="BV14" s="6"/>
      <c r="BW14" s="5"/>
      <c r="BX14" s="5"/>
      <c r="BY14" s="4">
        <v>17</v>
      </c>
      <c r="BZ14" s="6">
        <v>288.37</v>
      </c>
      <c r="CA14" s="4">
        <v>1</v>
      </c>
      <c r="CB14" s="6">
        <v>21.61</v>
      </c>
      <c r="CC14" s="5">
        <v>16</v>
      </c>
      <c r="CD14" s="5">
        <v>12.3443</v>
      </c>
      <c r="CE14" s="4">
        <v>10</v>
      </c>
      <c r="CF14" s="6">
        <v>162.18</v>
      </c>
      <c r="CG14" s="4"/>
      <c r="CH14" s="6"/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>
        <v>2</v>
      </c>
      <c r="DD14" s="6">
        <v>31.4</v>
      </c>
      <c r="DE14" s="4"/>
      <c r="DF14" s="6"/>
      <c r="DG14" s="5"/>
      <c r="DH14" s="5"/>
      <c r="DI14" s="4">
        <v>1</v>
      </c>
      <c r="DJ14" s="6">
        <v>34.99</v>
      </c>
      <c r="DK14" s="4">
        <v>2</v>
      </c>
      <c r="DL14" s="6">
        <v>62.98</v>
      </c>
      <c r="DM14" s="5">
        <v>-0.5</v>
      </c>
      <c r="DN14" s="5">
        <v>-0.4444</v>
      </c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>
        <v>15</v>
      </c>
      <c r="EH14" s="6">
        <v>261.33</v>
      </c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>
        <v>5</v>
      </c>
      <c r="FZ14" s="6">
        <v>75.49</v>
      </c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/>
      <c r="HZ14" s="6"/>
      <c r="IA14" s="4"/>
      <c r="IB14" s="6"/>
      <c r="IC14" s="5"/>
      <c r="ID14" s="5"/>
      <c r="IE14" s="4"/>
      <c r="IF14" s="6"/>
      <c r="IG14" s="4"/>
      <c r="IH14" s="6"/>
      <c r="II14" s="5"/>
      <c r="IJ14" s="5"/>
      <c r="IK14" s="4"/>
      <c r="IL14" s="6"/>
      <c r="IM14" s="4"/>
      <c r="IN14" s="6"/>
      <c r="IO14" s="5"/>
      <c r="IP14" s="5"/>
      <c r="IQ14" s="4"/>
      <c r="IR14" s="6"/>
      <c r="IS14" s="4"/>
      <c r="IT14" s="6"/>
      <c r="IU14" s="5"/>
      <c r="IV14" s="5"/>
      <c r="IW14" s="4"/>
      <c r="IX14" s="6"/>
      <c r="IY14" s="4"/>
      <c r="IZ14" s="6"/>
      <c r="JA14" s="5"/>
      <c r="JB14" s="5"/>
      <c r="JC14" s="4"/>
      <c r="JD14" s="6"/>
      <c r="JE14" s="4"/>
      <c r="JF14" s="6"/>
      <c r="JG14" s="5"/>
      <c r="JH14" s="5"/>
      <c r="JI14" s="4">
        <v>1566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</row>
    <row r="15">
      <c r="A15" s="3" t="s">
        <v>136</v>
      </c>
      <c r="B15" s="3" t="s">
        <v>137</v>
      </c>
      <c r="C15" s="3" t="s">
        <v>138</v>
      </c>
      <c r="D15" s="3" t="s">
        <v>139</v>
      </c>
      <c r="E15" s="3" t="s">
        <v>153</v>
      </c>
      <c r="F15" s="3" t="s">
        <v>153</v>
      </c>
      <c r="G15" s="3" t="s">
        <v>153</v>
      </c>
      <c r="H15" s="3" t="s">
        <v>143</v>
      </c>
      <c r="I15" s="4">
        <v>51</v>
      </c>
      <c r="J15" s="4">
        <f>=ROUNDDOWN(0.708333333333333,0)</f>
      </c>
      <c r="K15" s="4">
        <v>2880</v>
      </c>
      <c r="L15" s="5">
        <v>0.4809</v>
      </c>
      <c r="M15" s="4"/>
      <c r="N15" s="4">
        <f>=ROUNDDOWN({0},0)</f>
      </c>
      <c r="O15" s="4"/>
      <c r="P15" s="5"/>
      <c r="Q15" s="4">
        <v>127</v>
      </c>
      <c r="R15" s="6">
        <v>6170.46</v>
      </c>
      <c r="S15" s="4"/>
      <c r="T15" s="6"/>
      <c r="U15" s="5"/>
      <c r="V15" s="5"/>
      <c r="W15" s="4">
        <v>38</v>
      </c>
      <c r="X15" s="6">
        <v>1825.16</v>
      </c>
      <c r="Y15" s="4"/>
      <c r="Z15" s="6"/>
      <c r="AA15" s="5"/>
      <c r="AB15" s="5"/>
      <c r="AC15" s="4">
        <v>9</v>
      </c>
      <c r="AD15" s="6">
        <v>445.66</v>
      </c>
      <c r="AE15" s="4"/>
      <c r="AF15" s="6"/>
      <c r="AG15" s="5"/>
      <c r="AH15" s="5"/>
      <c r="AI15" s="4"/>
      <c r="AJ15" s="6"/>
      <c r="AK15" s="4"/>
      <c r="AL15" s="6"/>
      <c r="AM15" s="5"/>
      <c r="AN15" s="5"/>
      <c r="AO15" s="4">
        <v>25</v>
      </c>
      <c r="AP15" s="6">
        <v>1241.67</v>
      </c>
      <c r="AQ15" s="4"/>
      <c r="AR15" s="6"/>
      <c r="AS15" s="5"/>
      <c r="AT15" s="5"/>
      <c r="AU15" s="4">
        <v>11</v>
      </c>
      <c r="AV15" s="6">
        <v>488.18</v>
      </c>
      <c r="AW15" s="4"/>
      <c r="AX15" s="6"/>
      <c r="AY15" s="5"/>
      <c r="AZ15" s="5"/>
      <c r="BA15" s="4">
        <v>14</v>
      </c>
      <c r="BB15" s="6">
        <v>661.78</v>
      </c>
      <c r="BC15" s="4"/>
      <c r="BD15" s="6"/>
      <c r="BE15" s="5"/>
      <c r="BF15" s="5"/>
      <c r="BG15" s="4">
        <v>13</v>
      </c>
      <c r="BH15" s="6">
        <v>664.84</v>
      </c>
      <c r="BI15" s="4"/>
      <c r="BJ15" s="6"/>
      <c r="BK15" s="5"/>
      <c r="BL15" s="5"/>
      <c r="BM15" s="4">
        <v>5</v>
      </c>
      <c r="BN15" s="6">
        <v>231.73</v>
      </c>
      <c r="BO15" s="4"/>
      <c r="BP15" s="6"/>
      <c r="BQ15" s="5"/>
      <c r="BR15" s="5"/>
      <c r="BS15" s="4"/>
      <c r="BT15" s="6"/>
      <c r="BU15" s="4"/>
      <c r="BV15" s="6"/>
      <c r="BW15" s="5"/>
      <c r="BX15" s="5"/>
      <c r="BY15" s="4">
        <v>3</v>
      </c>
      <c r="BZ15" s="6">
        <v>158.24</v>
      </c>
      <c r="CA15" s="4"/>
      <c r="CB15" s="6"/>
      <c r="CC15" s="5"/>
      <c r="CD15" s="5"/>
      <c r="CE15" s="4">
        <v>1</v>
      </c>
      <c r="CF15" s="6">
        <v>52.32</v>
      </c>
      <c r="CG15" s="4"/>
      <c r="CH15" s="6"/>
      <c r="CI15" s="5"/>
      <c r="CJ15" s="5"/>
      <c r="CK15" s="4"/>
      <c r="CL15" s="6"/>
      <c r="CM15" s="4"/>
      <c r="CN15" s="6"/>
      <c r="CO15" s="5"/>
      <c r="CP15" s="5"/>
      <c r="CQ15" s="4"/>
      <c r="CR15" s="6"/>
      <c r="CS15" s="4"/>
      <c r="CT15" s="6"/>
      <c r="CU15" s="5"/>
      <c r="CV15" s="5"/>
      <c r="CW15" s="4"/>
      <c r="CX15" s="6"/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>
        <v>8</v>
      </c>
      <c r="DV15" s="6">
        <v>400.88</v>
      </c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/>
      <c r="HZ15" s="6"/>
      <c r="IA15" s="4"/>
      <c r="IB15" s="6"/>
      <c r="IC15" s="5"/>
      <c r="ID15" s="5"/>
      <c r="IE15" s="4"/>
      <c r="IF15" s="6"/>
      <c r="IG15" s="4"/>
      <c r="IH15" s="6"/>
      <c r="II15" s="5"/>
      <c r="IJ15" s="5"/>
      <c r="IK15" s="4"/>
      <c r="IL15" s="6"/>
      <c r="IM15" s="4"/>
      <c r="IN15" s="6"/>
      <c r="IO15" s="5"/>
      <c r="IP15" s="5"/>
      <c r="IQ15" s="4"/>
      <c r="IR15" s="6"/>
      <c r="IS15" s="4"/>
      <c r="IT15" s="6"/>
      <c r="IU15" s="5"/>
      <c r="IV15" s="5"/>
      <c r="IW15" s="4"/>
      <c r="IX15" s="6"/>
      <c r="IY15" s="4"/>
      <c r="IZ15" s="6"/>
      <c r="JA15" s="5"/>
      <c r="JB15" s="5"/>
      <c r="JC15" s="4"/>
      <c r="JD15" s="6"/>
      <c r="JE15" s="4"/>
      <c r="JF15" s="6"/>
      <c r="JG15" s="5"/>
      <c r="JH15" s="5"/>
      <c r="JI15" s="4">
        <v>51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>
        <v>850</v>
      </c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>
        <v>1080</v>
      </c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>
        <v>440</v>
      </c>
      <c r="LF15" s="4"/>
      <c r="LG15" s="4"/>
      <c r="LH15" s="4"/>
      <c r="LI15" s="4"/>
      <c r="LJ15" s="4"/>
      <c r="LK15" s="4">
        <v>510</v>
      </c>
    </row>
    <row r="16">
      <c r="A16" s="3" t="s">
        <v>136</v>
      </c>
      <c r="B16" s="3" t="s">
        <v>137</v>
      </c>
      <c r="C16" s="3" t="s">
        <v>138</v>
      </c>
      <c r="D16" s="3" t="s">
        <v>139</v>
      </c>
      <c r="E16" s="3" t="s">
        <v>154</v>
      </c>
      <c r="F16" s="3" t="s">
        <v>154</v>
      </c>
      <c r="G16" s="3" t="s">
        <v>154</v>
      </c>
      <c r="H16" s="3" t="s">
        <v>146</v>
      </c>
      <c r="I16" s="4"/>
      <c r="J16" s="4">
        <f>=ROUNDDOWN({0},0)</f>
      </c>
      <c r="K16" s="4"/>
      <c r="L16" s="5"/>
      <c r="M16" s="4"/>
      <c r="N16" s="4">
        <f>=ROUNDDOWN({0},0)</f>
      </c>
      <c r="O16" s="4"/>
      <c r="P16" s="5"/>
      <c r="Q16" s="4"/>
      <c r="R16" s="6"/>
      <c r="S16" s="4">
        <v>307</v>
      </c>
      <c r="T16" s="6">
        <v>6419.54</v>
      </c>
      <c r="U16" s="5"/>
      <c r="V16" s="5"/>
      <c r="W16" s="4"/>
      <c r="X16" s="6"/>
      <c r="Y16" s="4">
        <v>48</v>
      </c>
      <c r="Z16" s="6">
        <v>795.2</v>
      </c>
      <c r="AA16" s="5"/>
      <c r="AB16" s="5"/>
      <c r="AC16" s="4"/>
      <c r="AD16" s="6"/>
      <c r="AE16" s="4">
        <v>39</v>
      </c>
      <c r="AF16" s="6">
        <v>696.37</v>
      </c>
      <c r="AG16" s="5"/>
      <c r="AH16" s="5"/>
      <c r="AI16" s="4"/>
      <c r="AJ16" s="6"/>
      <c r="AK16" s="4"/>
      <c r="AL16" s="6"/>
      <c r="AM16" s="5"/>
      <c r="AN16" s="5"/>
      <c r="AO16" s="4"/>
      <c r="AP16" s="6"/>
      <c r="AQ16" s="4"/>
      <c r="AR16" s="6"/>
      <c r="AS16" s="5"/>
      <c r="AT16" s="5"/>
      <c r="AU16" s="4"/>
      <c r="AV16" s="6"/>
      <c r="AW16" s="4"/>
      <c r="AX16" s="6"/>
      <c r="AY16" s="5"/>
      <c r="AZ16" s="5"/>
      <c r="BA16" s="4"/>
      <c r="BB16" s="6"/>
      <c r="BC16" s="4"/>
      <c r="BD16" s="6"/>
      <c r="BE16" s="5"/>
      <c r="BF16" s="5"/>
      <c r="BG16" s="4"/>
      <c r="BH16" s="6"/>
      <c r="BI16" s="4">
        <v>127</v>
      </c>
      <c r="BJ16" s="6">
        <v>2804.13</v>
      </c>
      <c r="BK16" s="5"/>
      <c r="BL16" s="5"/>
      <c r="BM16" s="4"/>
      <c r="BN16" s="6"/>
      <c r="BO16" s="4">
        <v>8</v>
      </c>
      <c r="BP16" s="6">
        <v>129.04</v>
      </c>
      <c r="BQ16" s="5"/>
      <c r="BR16" s="5"/>
      <c r="BS16" s="4"/>
      <c r="BT16" s="6"/>
      <c r="BU16" s="4">
        <v>17</v>
      </c>
      <c r="BV16" s="6">
        <v>403.25</v>
      </c>
      <c r="BW16" s="5"/>
      <c r="BX16" s="5"/>
      <c r="BY16" s="4"/>
      <c r="BZ16" s="6"/>
      <c r="CA16" s="4">
        <v>52</v>
      </c>
      <c r="CB16" s="6">
        <v>1220.06</v>
      </c>
      <c r="CC16" s="5"/>
      <c r="CD16" s="5"/>
      <c r="CE16" s="4"/>
      <c r="CF16" s="6"/>
      <c r="CG16" s="4"/>
      <c r="CH16" s="6"/>
      <c r="CI16" s="5"/>
      <c r="CJ16" s="5"/>
      <c r="CK16" s="4"/>
      <c r="CL16" s="6"/>
      <c r="CM16" s="4"/>
      <c r="CN16" s="6"/>
      <c r="CO16" s="5"/>
      <c r="CP16" s="5"/>
      <c r="CQ16" s="4"/>
      <c r="CR16" s="6"/>
      <c r="CS16" s="4"/>
      <c r="CT16" s="6"/>
      <c r="CU16" s="5"/>
      <c r="CV16" s="5"/>
      <c r="CW16" s="4"/>
      <c r="CX16" s="6"/>
      <c r="CY16" s="4">
        <v>13</v>
      </c>
      <c r="CZ16" s="6">
        <v>286.35</v>
      </c>
      <c r="DA16" s="5"/>
      <c r="DB16" s="5"/>
      <c r="DC16" s="4"/>
      <c r="DD16" s="6"/>
      <c r="DE16" s="4"/>
      <c r="DF16" s="6"/>
      <c r="DG16" s="5"/>
      <c r="DH16" s="5"/>
      <c r="DI16" s="4"/>
      <c r="DJ16" s="6"/>
      <c r="DK16" s="4">
        <v>1</v>
      </c>
      <c r="DL16" s="6">
        <v>44.99</v>
      </c>
      <c r="DM16" s="5"/>
      <c r="DN16" s="5"/>
      <c r="DO16" s="4"/>
      <c r="DP16" s="6"/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>
        <v>1</v>
      </c>
      <c r="EV16" s="6">
        <v>18.91</v>
      </c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>
        <v>1</v>
      </c>
      <c r="FT16" s="6">
        <v>21.24</v>
      </c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/>
      <c r="HZ16" s="6"/>
      <c r="IA16" s="4"/>
      <c r="IB16" s="6"/>
      <c r="IC16" s="5"/>
      <c r="ID16" s="5"/>
      <c r="IE16" s="4"/>
      <c r="IF16" s="6"/>
      <c r="IG16" s="4"/>
      <c r="IH16" s="6"/>
      <c r="II16" s="5"/>
      <c r="IJ16" s="5"/>
      <c r="IK16" s="4"/>
      <c r="IL16" s="6"/>
      <c r="IM16" s="4"/>
      <c r="IN16" s="6"/>
      <c r="IO16" s="5"/>
      <c r="IP16" s="5"/>
      <c r="IQ16" s="4"/>
      <c r="IR16" s="6"/>
      <c r="IS16" s="4"/>
      <c r="IT16" s="6"/>
      <c r="IU16" s="5"/>
      <c r="IV16" s="5"/>
      <c r="IW16" s="4"/>
      <c r="IX16" s="6"/>
      <c r="IY16" s="4"/>
      <c r="IZ16" s="6"/>
      <c r="JA16" s="5"/>
      <c r="JB16" s="5"/>
      <c r="JC16" s="4"/>
      <c r="JD16" s="6"/>
      <c r="JE16" s="4"/>
      <c r="JF16" s="6"/>
      <c r="JG16" s="5"/>
      <c r="JH16" s="5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</row>
    <row r="17">
      <c r="A17" s="3" t="s">
        <v>136</v>
      </c>
      <c r="B17" s="3" t="s">
        <v>137</v>
      </c>
      <c r="C17" s="3" t="s">
        <v>155</v>
      </c>
      <c r="D17" s="3" t="s">
        <v>156</v>
      </c>
      <c r="E17" s="3" t="s">
        <v>157</v>
      </c>
      <c r="F17" s="3" t="s">
        <v>157</v>
      </c>
      <c r="G17" s="3" t="s">
        <v>157</v>
      </c>
      <c r="H17" s="3" t="s">
        <v>157</v>
      </c>
      <c r="I17" s="4">
        <v>8610</v>
      </c>
      <c r="J17" s="4">
        <f>=ROUNDDOWN(22.3288381742739,0)</f>
      </c>
      <c r="K17" s="4">
        <v>5240</v>
      </c>
      <c r="L17" s="5">
        <v>0.9898</v>
      </c>
      <c r="M17" s="4"/>
      <c r="N17" s="4">
        <f>=ROUNDDOWN({0},0)</f>
      </c>
      <c r="O17" s="4"/>
      <c r="P17" s="5"/>
      <c r="Q17" s="4">
        <v>3673</v>
      </c>
      <c r="R17" s="6">
        <v>100801.91</v>
      </c>
      <c r="S17" s="4">
        <v>2327</v>
      </c>
      <c r="T17" s="6">
        <v>63572.14</v>
      </c>
      <c r="U17" s="5">
        <v>0.5784</v>
      </c>
      <c r="V17" s="5">
        <v>0.5856</v>
      </c>
      <c r="W17" s="4">
        <v>1396</v>
      </c>
      <c r="X17" s="6">
        <v>37518.19</v>
      </c>
      <c r="Y17" s="4">
        <v>880</v>
      </c>
      <c r="Z17" s="6">
        <v>24124.84</v>
      </c>
      <c r="AA17" s="5">
        <v>0.5864</v>
      </c>
      <c r="AB17" s="5">
        <v>0.5552</v>
      </c>
      <c r="AC17" s="4">
        <v>683</v>
      </c>
      <c r="AD17" s="6">
        <v>19421.97</v>
      </c>
      <c r="AE17" s="4">
        <v>79</v>
      </c>
      <c r="AF17" s="6">
        <v>2199.41</v>
      </c>
      <c r="AG17" s="5">
        <v>7.6456</v>
      </c>
      <c r="AH17" s="5">
        <v>7.8305</v>
      </c>
      <c r="AI17" s="4"/>
      <c r="AJ17" s="6"/>
      <c r="AK17" s="4"/>
      <c r="AL17" s="6"/>
      <c r="AM17" s="5"/>
      <c r="AN17" s="5"/>
      <c r="AO17" s="4"/>
      <c r="AP17" s="6"/>
      <c r="AQ17" s="4"/>
      <c r="AR17" s="6"/>
      <c r="AS17" s="5"/>
      <c r="AT17" s="5"/>
      <c r="AU17" s="4">
        <v>283</v>
      </c>
      <c r="AV17" s="6">
        <v>7617</v>
      </c>
      <c r="AW17" s="4">
        <v>267</v>
      </c>
      <c r="AX17" s="6">
        <v>7173.55</v>
      </c>
      <c r="AY17" s="5">
        <v>0.0599</v>
      </c>
      <c r="AZ17" s="5">
        <v>0.0618</v>
      </c>
      <c r="BA17" s="4">
        <v>732</v>
      </c>
      <c r="BB17" s="6">
        <v>20740.88</v>
      </c>
      <c r="BC17" s="4">
        <v>457</v>
      </c>
      <c r="BD17" s="6">
        <v>12562.93</v>
      </c>
      <c r="BE17" s="5">
        <v>0.6018</v>
      </c>
      <c r="BF17" s="5">
        <v>0.651</v>
      </c>
      <c r="BG17" s="4">
        <v>187</v>
      </c>
      <c r="BH17" s="6">
        <v>4919.3</v>
      </c>
      <c r="BI17" s="4">
        <v>227</v>
      </c>
      <c r="BJ17" s="6">
        <v>6123.11</v>
      </c>
      <c r="BK17" s="5">
        <v>-0.1762</v>
      </c>
      <c r="BL17" s="5">
        <v>-0.1966</v>
      </c>
      <c r="BM17" s="4">
        <v>149</v>
      </c>
      <c r="BN17" s="6">
        <v>3737.27</v>
      </c>
      <c r="BO17" s="4">
        <v>152</v>
      </c>
      <c r="BP17" s="6">
        <v>3917.14</v>
      </c>
      <c r="BQ17" s="5">
        <v>-0.0197</v>
      </c>
      <c r="BR17" s="5">
        <v>-0.0459</v>
      </c>
      <c r="BS17" s="4">
        <v>162</v>
      </c>
      <c r="BT17" s="6">
        <v>4362.53</v>
      </c>
      <c r="BU17" s="4">
        <v>116</v>
      </c>
      <c r="BV17" s="6">
        <v>3131.82</v>
      </c>
      <c r="BW17" s="5">
        <v>0.3966</v>
      </c>
      <c r="BX17" s="5">
        <v>0.393</v>
      </c>
      <c r="BY17" s="4">
        <v>71</v>
      </c>
      <c r="BZ17" s="6">
        <v>2166.36</v>
      </c>
      <c r="CA17" s="4">
        <v>46</v>
      </c>
      <c r="CB17" s="6">
        <v>1400.99</v>
      </c>
      <c r="CC17" s="5">
        <v>0.5435</v>
      </c>
      <c r="CD17" s="5">
        <v>0.5463</v>
      </c>
      <c r="CE17" s="4"/>
      <c r="CF17" s="6"/>
      <c r="CG17" s="4"/>
      <c r="CH17" s="6"/>
      <c r="CI17" s="5"/>
      <c r="CJ17" s="5"/>
      <c r="CK17" s="4"/>
      <c r="CL17" s="6"/>
      <c r="CM17" s="4"/>
      <c r="CN17" s="6"/>
      <c r="CO17" s="5"/>
      <c r="CP17" s="5"/>
      <c r="CQ17" s="4"/>
      <c r="CR17" s="6"/>
      <c r="CS17" s="4"/>
      <c r="CT17" s="6"/>
      <c r="CU17" s="5"/>
      <c r="CV17" s="5"/>
      <c r="CW17" s="4">
        <v>4</v>
      </c>
      <c r="CX17" s="6">
        <v>94.72</v>
      </c>
      <c r="CY17" s="4">
        <v>3</v>
      </c>
      <c r="CZ17" s="6">
        <v>71.04</v>
      </c>
      <c r="DA17" s="5">
        <v>0.3333</v>
      </c>
      <c r="DB17" s="5">
        <v>0.3333</v>
      </c>
      <c r="DC17" s="4"/>
      <c r="DD17" s="6"/>
      <c r="DE17" s="4"/>
      <c r="DF17" s="6"/>
      <c r="DG17" s="5"/>
      <c r="DH17" s="5"/>
      <c r="DI17" s="4">
        <v>2</v>
      </c>
      <c r="DJ17" s="6">
        <v>115.98</v>
      </c>
      <c r="DK17" s="4">
        <v>2</v>
      </c>
      <c r="DL17" s="6">
        <v>105.98</v>
      </c>
      <c r="DM17" s="5"/>
      <c r="DN17" s="5">
        <v>0.0944</v>
      </c>
      <c r="DO17" s="4"/>
      <c r="DP17" s="6"/>
      <c r="DQ17" s="4"/>
      <c r="DR17" s="6"/>
      <c r="DS17" s="5"/>
      <c r="DT17" s="5"/>
      <c r="DU17" s="4"/>
      <c r="DV17" s="6"/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>
        <v>4</v>
      </c>
      <c r="ET17" s="6">
        <v>107.71</v>
      </c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>
        <v>2</v>
      </c>
      <c r="FN17" s="6">
        <v>64.78</v>
      </c>
      <c r="FO17" s="5"/>
      <c r="FP17" s="5"/>
      <c r="FQ17" s="4"/>
      <c r="FR17" s="6"/>
      <c r="FS17" s="4">
        <v>96</v>
      </c>
      <c r="FT17" s="6">
        <v>2696.55</v>
      </c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/>
      <c r="HZ17" s="6"/>
      <c r="IA17" s="4"/>
      <c r="IB17" s="6"/>
      <c r="IC17" s="5"/>
      <c r="ID17" s="5"/>
      <c r="IE17" s="4"/>
      <c r="IF17" s="6"/>
      <c r="IG17" s="4"/>
      <c r="IH17" s="6"/>
      <c r="II17" s="5"/>
      <c r="IJ17" s="5"/>
      <c r="IK17" s="4"/>
      <c r="IL17" s="6"/>
      <c r="IM17" s="4"/>
      <c r="IN17" s="6"/>
      <c r="IO17" s="5"/>
      <c r="IP17" s="5"/>
      <c r="IQ17" s="4"/>
      <c r="IR17" s="6"/>
      <c r="IS17" s="4"/>
      <c r="IT17" s="6"/>
      <c r="IU17" s="5"/>
      <c r="IV17" s="5"/>
      <c r="IW17" s="4"/>
      <c r="IX17" s="6"/>
      <c r="IY17" s="4"/>
      <c r="IZ17" s="6"/>
      <c r="JA17" s="5"/>
      <c r="JB17" s="5"/>
      <c r="JC17" s="4"/>
      <c r="JD17" s="6"/>
      <c r="JE17" s="4"/>
      <c r="JF17" s="6"/>
      <c r="JG17" s="5"/>
      <c r="JH17" s="5"/>
      <c r="JI17" s="4">
        <v>8579</v>
      </c>
      <c r="JJ17" s="4">
        <v>28</v>
      </c>
      <c r="JK17" s="4"/>
      <c r="JL17" s="4"/>
      <c r="JM17" s="4">
        <v>3</v>
      </c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>
        <v>2280</v>
      </c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>
        <v>2040</v>
      </c>
      <c r="KW17" s="4"/>
      <c r="KX17" s="4"/>
      <c r="KY17" s="4"/>
      <c r="KZ17" s="4"/>
      <c r="LA17" s="4"/>
      <c r="LB17" s="4"/>
      <c r="LC17" s="4"/>
      <c r="LD17" s="4"/>
      <c r="LE17" s="4">
        <v>920</v>
      </c>
      <c r="LF17" s="4"/>
      <c r="LG17" s="4"/>
      <c r="LH17" s="4"/>
      <c r="LI17" s="4"/>
      <c r="LJ17" s="4"/>
      <c r="LK17" s="4"/>
    </row>
    <row r="18">
      <c r="A18" s="3" t="s">
        <v>136</v>
      </c>
      <c r="B18" s="3" t="s">
        <v>137</v>
      </c>
      <c r="C18" s="3" t="s">
        <v>155</v>
      </c>
      <c r="D18" s="3" t="s">
        <v>156</v>
      </c>
      <c r="E18" s="3" t="s">
        <v>144</v>
      </c>
      <c r="F18" s="3" t="s">
        <v>144</v>
      </c>
      <c r="G18" s="3" t="s">
        <v>144</v>
      </c>
      <c r="H18" s="3" t="s">
        <v>141</v>
      </c>
      <c r="I18" s="4">
        <v>4627</v>
      </c>
      <c r="J18" s="4">
        <f>=ROUNDDOWN(21.6214953271028,0)</f>
      </c>
      <c r="K18" s="4">
        <v>2744</v>
      </c>
      <c r="L18" s="5">
        <v>1</v>
      </c>
      <c r="M18" s="4"/>
      <c r="N18" s="4">
        <f>=ROUNDDOWN({0},0)</f>
      </c>
      <c r="O18" s="4"/>
      <c r="P18" s="5"/>
      <c r="Q18" s="4">
        <v>2397</v>
      </c>
      <c r="R18" s="6">
        <v>29090.48</v>
      </c>
      <c r="S18" s="4">
        <v>2922</v>
      </c>
      <c r="T18" s="6">
        <v>35475.07</v>
      </c>
      <c r="U18" s="5">
        <v>-0.1797</v>
      </c>
      <c r="V18" s="5">
        <v>-0.18</v>
      </c>
      <c r="W18" s="4">
        <v>846</v>
      </c>
      <c r="X18" s="6">
        <v>10417.08</v>
      </c>
      <c r="Y18" s="4">
        <v>1918</v>
      </c>
      <c r="Z18" s="6">
        <v>23596.04</v>
      </c>
      <c r="AA18" s="5">
        <v>-0.5589</v>
      </c>
      <c r="AB18" s="5">
        <v>-0.5585</v>
      </c>
      <c r="AC18" s="4">
        <v>455</v>
      </c>
      <c r="AD18" s="6">
        <v>5400.32</v>
      </c>
      <c r="AE18" s="4">
        <v>34</v>
      </c>
      <c r="AF18" s="6">
        <v>399.82</v>
      </c>
      <c r="AG18" s="5">
        <v>12.3824</v>
      </c>
      <c r="AH18" s="5">
        <v>12.5069</v>
      </c>
      <c r="AI18" s="4"/>
      <c r="AJ18" s="6"/>
      <c r="AK18" s="4"/>
      <c r="AL18" s="6"/>
      <c r="AM18" s="5"/>
      <c r="AN18" s="5"/>
      <c r="AO18" s="4"/>
      <c r="AP18" s="6"/>
      <c r="AQ18" s="4"/>
      <c r="AR18" s="6"/>
      <c r="AS18" s="5"/>
      <c r="AT18" s="5"/>
      <c r="AU18" s="4">
        <v>587</v>
      </c>
      <c r="AV18" s="6">
        <v>7279.87</v>
      </c>
      <c r="AW18" s="4">
        <v>312</v>
      </c>
      <c r="AX18" s="6">
        <v>3823.7</v>
      </c>
      <c r="AY18" s="5">
        <v>0.8814</v>
      </c>
      <c r="AZ18" s="5">
        <v>0.9039</v>
      </c>
      <c r="BA18" s="4">
        <v>70</v>
      </c>
      <c r="BB18" s="6">
        <v>821.82</v>
      </c>
      <c r="BC18" s="4">
        <v>137</v>
      </c>
      <c r="BD18" s="6">
        <v>1535.91</v>
      </c>
      <c r="BE18" s="5">
        <v>-0.4891</v>
      </c>
      <c r="BF18" s="5">
        <v>-0.4649</v>
      </c>
      <c r="BG18" s="4">
        <v>156</v>
      </c>
      <c r="BH18" s="6">
        <v>1748.28</v>
      </c>
      <c r="BI18" s="4">
        <v>211</v>
      </c>
      <c r="BJ18" s="6">
        <v>2394.82</v>
      </c>
      <c r="BK18" s="5">
        <v>-0.2607</v>
      </c>
      <c r="BL18" s="5">
        <v>-0.27</v>
      </c>
      <c r="BM18" s="4">
        <v>39</v>
      </c>
      <c r="BN18" s="6">
        <v>415.45</v>
      </c>
      <c r="BO18" s="4">
        <v>33</v>
      </c>
      <c r="BP18" s="6">
        <v>358.81</v>
      </c>
      <c r="BQ18" s="5">
        <v>0.1818</v>
      </c>
      <c r="BR18" s="5">
        <v>0.1579</v>
      </c>
      <c r="BS18" s="4">
        <v>184</v>
      </c>
      <c r="BT18" s="6">
        <v>2115.86</v>
      </c>
      <c r="BU18" s="4">
        <v>188</v>
      </c>
      <c r="BV18" s="6">
        <v>2237.34</v>
      </c>
      <c r="BW18" s="5">
        <v>-0.0213</v>
      </c>
      <c r="BX18" s="5">
        <v>-0.0543</v>
      </c>
      <c r="BY18" s="4">
        <v>52</v>
      </c>
      <c r="BZ18" s="6">
        <v>709.47</v>
      </c>
      <c r="CA18" s="4">
        <v>36</v>
      </c>
      <c r="CB18" s="6">
        <v>451.2</v>
      </c>
      <c r="CC18" s="5">
        <v>0.4444</v>
      </c>
      <c r="CD18" s="5">
        <v>0.5724</v>
      </c>
      <c r="CE18" s="4"/>
      <c r="CF18" s="6"/>
      <c r="CG18" s="4"/>
      <c r="CH18" s="6"/>
      <c r="CI18" s="5"/>
      <c r="CJ18" s="5"/>
      <c r="CK18" s="4"/>
      <c r="CL18" s="6"/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/>
      <c r="CX18" s="6"/>
      <c r="CY18" s="4"/>
      <c r="CZ18" s="6"/>
      <c r="DA18" s="5"/>
      <c r="DB18" s="5"/>
      <c r="DC18" s="4"/>
      <c r="DD18" s="6"/>
      <c r="DE18" s="4"/>
      <c r="DF18" s="6"/>
      <c r="DG18" s="5"/>
      <c r="DH18" s="5"/>
      <c r="DI18" s="4">
        <v>7</v>
      </c>
      <c r="DJ18" s="6">
        <v>171.67</v>
      </c>
      <c r="DK18" s="4">
        <v>1</v>
      </c>
      <c r="DL18" s="6">
        <v>26.99</v>
      </c>
      <c r="DM18" s="5">
        <v>6</v>
      </c>
      <c r="DN18" s="5">
        <v>5.3605</v>
      </c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>
        <v>1</v>
      </c>
      <c r="ET18" s="6">
        <v>10.66</v>
      </c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>
        <v>52</v>
      </c>
      <c r="FT18" s="6">
        <v>650.44</v>
      </c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/>
      <c r="HZ18" s="6"/>
      <c r="IA18" s="4"/>
      <c r="IB18" s="6"/>
      <c r="IC18" s="5"/>
      <c r="ID18" s="5"/>
      <c r="IE18" s="4"/>
      <c r="IF18" s="6"/>
      <c r="IG18" s="4"/>
      <c r="IH18" s="6"/>
      <c r="II18" s="5"/>
      <c r="IJ18" s="5"/>
      <c r="IK18" s="4"/>
      <c r="IL18" s="6"/>
      <c r="IM18" s="4"/>
      <c r="IN18" s="6"/>
      <c r="IO18" s="5"/>
      <c r="IP18" s="5"/>
      <c r="IQ18" s="4"/>
      <c r="IR18" s="6"/>
      <c r="IS18" s="4"/>
      <c r="IT18" s="6"/>
      <c r="IU18" s="5"/>
      <c r="IV18" s="5"/>
      <c r="IW18" s="4"/>
      <c r="IX18" s="6"/>
      <c r="IY18" s="4"/>
      <c r="IZ18" s="6"/>
      <c r="JA18" s="5"/>
      <c r="JB18" s="5"/>
      <c r="JC18" s="4"/>
      <c r="JD18" s="6"/>
      <c r="JE18" s="4"/>
      <c r="JF18" s="6"/>
      <c r="JG18" s="5"/>
      <c r="JH18" s="5"/>
      <c r="JI18" s="4">
        <v>4627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>
        <v>1616</v>
      </c>
      <c r="KG18" s="4"/>
      <c r="KH18" s="4"/>
      <c r="KI18" s="4"/>
      <c r="KJ18" s="4"/>
      <c r="KK18" s="4"/>
      <c r="KL18" s="4"/>
      <c r="KM18" s="4"/>
      <c r="KN18" s="4"/>
      <c r="KO18" s="4"/>
      <c r="KP18" s="4">
        <v>552</v>
      </c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>
        <v>336</v>
      </c>
      <c r="LF18" s="4"/>
      <c r="LG18" s="4"/>
      <c r="LH18" s="4"/>
      <c r="LI18" s="4"/>
      <c r="LJ18" s="4"/>
      <c r="LK18" s="4">
        <v>240</v>
      </c>
    </row>
    <row r="19">
      <c r="A19" s="3" t="s">
        <v>136</v>
      </c>
      <c r="B19" s="3" t="s">
        <v>137</v>
      </c>
      <c r="C19" s="3" t="s">
        <v>155</v>
      </c>
      <c r="D19" s="3" t="s">
        <v>156</v>
      </c>
      <c r="E19" s="3" t="s">
        <v>150</v>
      </c>
      <c r="F19" s="3" t="s">
        <v>150</v>
      </c>
      <c r="G19" s="3" t="s">
        <v>150</v>
      </c>
      <c r="H19" s="3" t="s">
        <v>151</v>
      </c>
      <c r="I19" s="4">
        <v>50</v>
      </c>
      <c r="J19" s="4">
        <f>=ROUNDDOWN(13.5135135135135,0)</f>
      </c>
      <c r="K19" s="4"/>
      <c r="L19" s="5"/>
      <c r="M19" s="4"/>
      <c r="N19" s="4">
        <f>=ROUNDDOWN({0},0)</f>
      </c>
      <c r="O19" s="4"/>
      <c r="P19" s="5"/>
      <c r="Q19" s="4">
        <v>39</v>
      </c>
      <c r="R19" s="6">
        <v>622.29</v>
      </c>
      <c r="S19" s="4">
        <v>65</v>
      </c>
      <c r="T19" s="6">
        <v>986.39</v>
      </c>
      <c r="U19" s="5">
        <v>-0.4</v>
      </c>
      <c r="V19" s="5">
        <v>-0.3691</v>
      </c>
      <c r="W19" s="4">
        <v>7</v>
      </c>
      <c r="X19" s="6">
        <v>103.59</v>
      </c>
      <c r="Y19" s="4">
        <v>42</v>
      </c>
      <c r="Z19" s="6">
        <v>641.34</v>
      </c>
      <c r="AA19" s="5">
        <v>-0.8333</v>
      </c>
      <c r="AB19" s="5">
        <v>-0.8385</v>
      </c>
      <c r="AC19" s="4">
        <v>4</v>
      </c>
      <c r="AD19" s="6">
        <v>61.08</v>
      </c>
      <c r="AE19" s="4">
        <v>1</v>
      </c>
      <c r="AF19" s="6">
        <v>16.37</v>
      </c>
      <c r="AG19" s="5">
        <v>3</v>
      </c>
      <c r="AH19" s="5">
        <v>2.7312</v>
      </c>
      <c r="AI19" s="4">
        <v>1</v>
      </c>
      <c r="AJ19" s="6">
        <v>29.99</v>
      </c>
      <c r="AK19" s="4"/>
      <c r="AL19" s="6"/>
      <c r="AM19" s="5"/>
      <c r="AN19" s="5"/>
      <c r="AO19" s="4"/>
      <c r="AP19" s="6"/>
      <c r="AQ19" s="4"/>
      <c r="AR19" s="6"/>
      <c r="AS19" s="5"/>
      <c r="AT19" s="5"/>
      <c r="AU19" s="4">
        <v>17</v>
      </c>
      <c r="AV19" s="6">
        <v>258.49</v>
      </c>
      <c r="AW19" s="4">
        <v>11</v>
      </c>
      <c r="AX19" s="6">
        <v>169.07</v>
      </c>
      <c r="AY19" s="5">
        <v>0.5455</v>
      </c>
      <c r="AZ19" s="5">
        <v>0.5289</v>
      </c>
      <c r="BA19" s="4"/>
      <c r="BB19" s="6"/>
      <c r="BC19" s="4"/>
      <c r="BD19" s="6"/>
      <c r="BE19" s="5"/>
      <c r="BF19" s="5"/>
      <c r="BG19" s="4">
        <v>5</v>
      </c>
      <c r="BH19" s="6">
        <v>79.66</v>
      </c>
      <c r="BI19" s="4"/>
      <c r="BJ19" s="6"/>
      <c r="BK19" s="5"/>
      <c r="BL19" s="5"/>
      <c r="BM19" s="4"/>
      <c r="BN19" s="6"/>
      <c r="BO19" s="4">
        <v>5</v>
      </c>
      <c r="BP19" s="6">
        <v>71.65</v>
      </c>
      <c r="BQ19" s="5"/>
      <c r="BR19" s="5"/>
      <c r="BS19" s="4"/>
      <c r="BT19" s="6"/>
      <c r="BU19" s="4"/>
      <c r="BV19" s="6"/>
      <c r="BW19" s="5"/>
      <c r="BX19" s="5"/>
      <c r="BY19" s="4">
        <v>2</v>
      </c>
      <c r="BZ19" s="6">
        <v>43.5</v>
      </c>
      <c r="CA19" s="4">
        <v>1</v>
      </c>
      <c r="CB19" s="6">
        <v>17.99</v>
      </c>
      <c r="CC19" s="5">
        <v>1</v>
      </c>
      <c r="CD19" s="5">
        <v>1.418</v>
      </c>
      <c r="CE19" s="4"/>
      <c r="CF19" s="6"/>
      <c r="CG19" s="4"/>
      <c r="CH19" s="6"/>
      <c r="CI19" s="5"/>
      <c r="CJ19" s="5"/>
      <c r="CK19" s="4"/>
      <c r="CL19" s="6"/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/>
      <c r="CX19" s="6"/>
      <c r="CY19" s="4"/>
      <c r="CZ19" s="6"/>
      <c r="DA19" s="5"/>
      <c r="DB19" s="5"/>
      <c r="DC19" s="4"/>
      <c r="DD19" s="6"/>
      <c r="DE19" s="4"/>
      <c r="DF19" s="6"/>
      <c r="DG19" s="5"/>
      <c r="DH19" s="5"/>
      <c r="DI19" s="4"/>
      <c r="DJ19" s="6"/>
      <c r="DK19" s="4">
        <v>1</v>
      </c>
      <c r="DL19" s="6">
        <v>12.49</v>
      </c>
      <c r="DM19" s="5"/>
      <c r="DN19" s="5"/>
      <c r="DO19" s="4"/>
      <c r="DP19" s="6"/>
      <c r="DQ19" s="4"/>
      <c r="DR19" s="6"/>
      <c r="DS19" s="5"/>
      <c r="DT19" s="5"/>
      <c r="DU19" s="4">
        <v>3</v>
      </c>
      <c r="DV19" s="6">
        <v>45.98</v>
      </c>
      <c r="DW19" s="4">
        <v>2</v>
      </c>
      <c r="DX19" s="6">
        <v>29.14</v>
      </c>
      <c r="DY19" s="5">
        <v>0.5</v>
      </c>
      <c r="DZ19" s="5">
        <v>0.5779</v>
      </c>
      <c r="EA19" s="4"/>
      <c r="EB19" s="6"/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>
        <v>2</v>
      </c>
      <c r="FT19" s="6">
        <v>28.34</v>
      </c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/>
      <c r="HZ19" s="6"/>
      <c r="IA19" s="4"/>
      <c r="IB19" s="6"/>
      <c r="IC19" s="5"/>
      <c r="ID19" s="5"/>
      <c r="IE19" s="4"/>
      <c r="IF19" s="6"/>
      <c r="IG19" s="4"/>
      <c r="IH19" s="6"/>
      <c r="II19" s="5"/>
      <c r="IJ19" s="5"/>
      <c r="IK19" s="4"/>
      <c r="IL19" s="6"/>
      <c r="IM19" s="4"/>
      <c r="IN19" s="6"/>
      <c r="IO19" s="5"/>
      <c r="IP19" s="5"/>
      <c r="IQ19" s="4"/>
      <c r="IR19" s="6"/>
      <c r="IS19" s="4"/>
      <c r="IT19" s="6"/>
      <c r="IU19" s="5"/>
      <c r="IV19" s="5"/>
      <c r="IW19" s="4"/>
      <c r="IX19" s="6"/>
      <c r="IY19" s="4"/>
      <c r="IZ19" s="6"/>
      <c r="JA19" s="5"/>
      <c r="JB19" s="5"/>
      <c r="JC19" s="4"/>
      <c r="JD19" s="6"/>
      <c r="JE19" s="4"/>
      <c r="JF19" s="6"/>
      <c r="JG19" s="5"/>
      <c r="JH19" s="5"/>
      <c r="JI19" s="4">
        <v>50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</row>
    <row r="20">
      <c r="A20" s="3" t="s">
        <v>136</v>
      </c>
      <c r="B20" s="3" t="s">
        <v>158</v>
      </c>
      <c r="C20" s="3" t="s">
        <v>138</v>
      </c>
      <c r="D20" s="3" t="s">
        <v>139</v>
      </c>
      <c r="E20" s="3" t="s">
        <v>159</v>
      </c>
      <c r="F20" s="3" t="s">
        <v>159</v>
      </c>
      <c r="G20" s="3" t="s">
        <v>159</v>
      </c>
      <c r="H20" s="3" t="s">
        <v>159</v>
      </c>
      <c r="I20" s="4">
        <v>11227</v>
      </c>
      <c r="J20" s="4">
        <f>=ROUNDDOWN(2.52598659046933,0)</f>
      </c>
      <c r="K20" s="4">
        <v>89994</v>
      </c>
      <c r="L20" s="5">
        <v>0.7695</v>
      </c>
      <c r="M20" s="4"/>
      <c r="N20" s="4">
        <f>=ROUNDDOWN({0},0)</f>
      </c>
      <c r="O20" s="4"/>
      <c r="P20" s="5"/>
      <c r="Q20" s="4">
        <v>37729</v>
      </c>
      <c r="R20" s="6">
        <v>720223.98</v>
      </c>
      <c r="S20" s="4">
        <v>17685</v>
      </c>
      <c r="T20" s="6">
        <v>362345.71</v>
      </c>
      <c r="U20" s="5">
        <v>1.1334</v>
      </c>
      <c r="V20" s="5">
        <v>0.9877</v>
      </c>
      <c r="W20" s="4">
        <v>1913</v>
      </c>
      <c r="X20" s="6">
        <v>39555.44</v>
      </c>
      <c r="Y20" s="4">
        <v>2829</v>
      </c>
      <c r="Z20" s="6">
        <v>58556.32</v>
      </c>
      <c r="AA20" s="5">
        <v>-0.3238</v>
      </c>
      <c r="AB20" s="5">
        <v>-0.3245</v>
      </c>
      <c r="AC20" s="4">
        <v>1219</v>
      </c>
      <c r="AD20" s="6">
        <v>26322.84</v>
      </c>
      <c r="AE20" s="4">
        <v>208</v>
      </c>
      <c r="AF20" s="6">
        <v>4524.07</v>
      </c>
      <c r="AG20" s="5">
        <v>4.8606</v>
      </c>
      <c r="AH20" s="5">
        <v>4.8184</v>
      </c>
      <c r="AI20" s="4">
        <v>25258</v>
      </c>
      <c r="AJ20" s="6">
        <v>467088.08</v>
      </c>
      <c r="AK20" s="4"/>
      <c r="AL20" s="6"/>
      <c r="AM20" s="5"/>
      <c r="AN20" s="5"/>
      <c r="AO20" s="4">
        <v>2412</v>
      </c>
      <c r="AP20" s="6">
        <v>49465.77</v>
      </c>
      <c r="AQ20" s="4">
        <v>3060</v>
      </c>
      <c r="AR20" s="6">
        <v>63386.17</v>
      </c>
      <c r="AS20" s="5">
        <v>-0.2118</v>
      </c>
      <c r="AT20" s="5">
        <v>-0.2196</v>
      </c>
      <c r="AU20" s="4">
        <v>1313</v>
      </c>
      <c r="AV20" s="6">
        <v>26469.08</v>
      </c>
      <c r="AW20" s="4">
        <v>1750</v>
      </c>
      <c r="AX20" s="6">
        <v>35165.71</v>
      </c>
      <c r="AY20" s="5">
        <v>-0.2497</v>
      </c>
      <c r="AZ20" s="5">
        <v>-0.2473</v>
      </c>
      <c r="BA20" s="4">
        <v>1977</v>
      </c>
      <c r="BB20" s="6">
        <v>37902.83</v>
      </c>
      <c r="BC20" s="4">
        <v>3423</v>
      </c>
      <c r="BD20" s="6">
        <v>65636.51</v>
      </c>
      <c r="BE20" s="5">
        <v>-0.4224</v>
      </c>
      <c r="BF20" s="5">
        <v>-0.4225</v>
      </c>
      <c r="BG20" s="4">
        <v>778</v>
      </c>
      <c r="BH20" s="6">
        <v>14667.46</v>
      </c>
      <c r="BI20" s="4">
        <v>1377</v>
      </c>
      <c r="BJ20" s="6">
        <v>27827.48</v>
      </c>
      <c r="BK20" s="5">
        <v>-0.435</v>
      </c>
      <c r="BL20" s="5">
        <v>-0.4729</v>
      </c>
      <c r="BM20" s="4">
        <v>1266</v>
      </c>
      <c r="BN20" s="6">
        <v>23862.51</v>
      </c>
      <c r="BO20" s="4">
        <v>1884</v>
      </c>
      <c r="BP20" s="6">
        <v>37846.53</v>
      </c>
      <c r="BQ20" s="5">
        <v>-0.328</v>
      </c>
      <c r="BR20" s="5">
        <v>-0.3695</v>
      </c>
      <c r="BS20" s="4">
        <v>289</v>
      </c>
      <c r="BT20" s="6">
        <v>6136.68</v>
      </c>
      <c r="BU20" s="4">
        <v>669</v>
      </c>
      <c r="BV20" s="6">
        <v>14217.33</v>
      </c>
      <c r="BW20" s="5">
        <v>-0.568</v>
      </c>
      <c r="BX20" s="5">
        <v>-0.5684</v>
      </c>
      <c r="BY20" s="4">
        <v>393</v>
      </c>
      <c r="BZ20" s="6">
        <v>8897.79</v>
      </c>
      <c r="CA20" s="4">
        <v>245</v>
      </c>
      <c r="CB20" s="6">
        <v>5380.53</v>
      </c>
      <c r="CC20" s="5">
        <v>0.6041</v>
      </c>
      <c r="CD20" s="5">
        <v>0.6537</v>
      </c>
      <c r="CE20" s="4">
        <v>45</v>
      </c>
      <c r="CF20" s="6">
        <v>862.17</v>
      </c>
      <c r="CG20" s="4">
        <v>121</v>
      </c>
      <c r="CH20" s="6">
        <v>2431.19</v>
      </c>
      <c r="CI20" s="5">
        <v>-0.6281</v>
      </c>
      <c r="CJ20" s="5">
        <v>-0.6454</v>
      </c>
      <c r="CK20" s="4"/>
      <c r="CL20" s="6"/>
      <c r="CM20" s="4"/>
      <c r="CN20" s="6"/>
      <c r="CO20" s="5"/>
      <c r="CP20" s="5"/>
      <c r="CQ20" s="4">
        <v>352</v>
      </c>
      <c r="CR20" s="6">
        <v>7410.45</v>
      </c>
      <c r="CS20" s="4">
        <v>821</v>
      </c>
      <c r="CT20" s="6">
        <v>17453.56</v>
      </c>
      <c r="CU20" s="5">
        <v>-0.5713</v>
      </c>
      <c r="CV20" s="5">
        <v>-0.5754</v>
      </c>
      <c r="CW20" s="4">
        <v>257</v>
      </c>
      <c r="CX20" s="6">
        <v>5268.15</v>
      </c>
      <c r="CY20" s="4">
        <v>540</v>
      </c>
      <c r="CZ20" s="6">
        <v>10957.13</v>
      </c>
      <c r="DA20" s="5">
        <v>-0.5241</v>
      </c>
      <c r="DB20" s="5">
        <v>-0.5192</v>
      </c>
      <c r="DC20" s="4">
        <v>129</v>
      </c>
      <c r="DD20" s="6">
        <v>2831.76</v>
      </c>
      <c r="DE20" s="4">
        <v>257</v>
      </c>
      <c r="DF20" s="6">
        <v>5475.04</v>
      </c>
      <c r="DG20" s="5">
        <v>-0.4981</v>
      </c>
      <c r="DH20" s="5">
        <v>-0.4828</v>
      </c>
      <c r="DI20" s="4">
        <v>46</v>
      </c>
      <c r="DJ20" s="6">
        <v>1649.3</v>
      </c>
      <c r="DK20" s="4">
        <v>162</v>
      </c>
      <c r="DL20" s="6">
        <v>6166.98</v>
      </c>
      <c r="DM20" s="5">
        <v>-0.716</v>
      </c>
      <c r="DN20" s="5">
        <v>-0.7326</v>
      </c>
      <c r="DO20" s="4">
        <v>46</v>
      </c>
      <c r="DP20" s="6">
        <v>1043.99</v>
      </c>
      <c r="DQ20" s="4">
        <v>69</v>
      </c>
      <c r="DR20" s="6">
        <v>1586.46</v>
      </c>
      <c r="DS20" s="5">
        <v>-0.3333</v>
      </c>
      <c r="DT20" s="5">
        <v>-0.3419</v>
      </c>
      <c r="DU20" s="4"/>
      <c r="DV20" s="6"/>
      <c r="DW20" s="4"/>
      <c r="DX20" s="6"/>
      <c r="DY20" s="5"/>
      <c r="DZ20" s="5"/>
      <c r="EA20" s="4">
        <v>3</v>
      </c>
      <c r="EB20" s="6">
        <v>65.11</v>
      </c>
      <c r="EC20" s="4">
        <v>4</v>
      </c>
      <c r="ED20" s="6">
        <v>90.32</v>
      </c>
      <c r="EE20" s="5">
        <v>-0.25</v>
      </c>
      <c r="EF20" s="5">
        <v>-0.2791</v>
      </c>
      <c r="EG20" s="4">
        <v>31</v>
      </c>
      <c r="EH20" s="6">
        <v>682.38</v>
      </c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>
        <v>2</v>
      </c>
      <c r="ET20" s="6">
        <v>42.19</v>
      </c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>
        <v>232</v>
      </c>
      <c r="FT20" s="6">
        <v>4909.81</v>
      </c>
      <c r="FU20" s="5"/>
      <c r="FV20" s="5"/>
      <c r="FW20" s="4"/>
      <c r="FX20" s="6"/>
      <c r="FY20" s="4">
        <v>19</v>
      </c>
      <c r="FZ20" s="6">
        <v>400.11</v>
      </c>
      <c r="GA20" s="5"/>
      <c r="GB20" s="5"/>
      <c r="GC20" s="4"/>
      <c r="GD20" s="6"/>
      <c r="GE20" s="4">
        <v>15</v>
      </c>
      <c r="GF20" s="6">
        <v>334.46</v>
      </c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/>
      <c r="HZ20" s="6"/>
      <c r="IA20" s="4"/>
      <c r="IB20" s="6"/>
      <c r="IC20" s="5"/>
      <c r="ID20" s="5"/>
      <c r="IE20" s="4"/>
      <c r="IF20" s="6"/>
      <c r="IG20" s="4"/>
      <c r="IH20" s="6"/>
      <c r="II20" s="5"/>
      <c r="IJ20" s="5"/>
      <c r="IK20" s="4"/>
      <c r="IL20" s="6"/>
      <c r="IM20" s="4"/>
      <c r="IN20" s="6"/>
      <c r="IO20" s="5"/>
      <c r="IP20" s="5"/>
      <c r="IQ20" s="4"/>
      <c r="IR20" s="6"/>
      <c r="IS20" s="4"/>
      <c r="IT20" s="6"/>
      <c r="IU20" s="5"/>
      <c r="IV20" s="5"/>
      <c r="IW20" s="4"/>
      <c r="IX20" s="6"/>
      <c r="IY20" s="4"/>
      <c r="IZ20" s="6"/>
      <c r="JA20" s="5"/>
      <c r="JB20" s="5"/>
      <c r="JC20" s="4"/>
      <c r="JD20" s="6"/>
      <c r="JE20" s="4"/>
      <c r="JF20" s="6"/>
      <c r="JG20" s="5"/>
      <c r="JH20" s="5"/>
      <c r="JI20" s="4">
        <v>5943</v>
      </c>
      <c r="JJ20" s="4"/>
      <c r="JK20" s="4"/>
      <c r="JL20" s="4"/>
      <c r="JM20" s="4">
        <v>4341</v>
      </c>
      <c r="JN20" s="4"/>
      <c r="JO20" s="4"/>
      <c r="JP20" s="4">
        <v>943</v>
      </c>
      <c r="JQ20" s="4"/>
      <c r="JR20" s="4"/>
      <c r="JS20" s="4"/>
      <c r="JT20" s="4"/>
      <c r="JU20" s="4"/>
      <c r="JV20" s="4"/>
      <c r="JW20" s="4"/>
      <c r="JX20" s="4"/>
      <c r="JY20" s="4">
        <v>1353</v>
      </c>
      <c r="JZ20" s="4"/>
      <c r="KA20" s="4"/>
      <c r="KB20" s="4"/>
      <c r="KC20" s="4">
        <v>380</v>
      </c>
      <c r="KD20" s="4"/>
      <c r="KE20" s="4">
        <v>8520</v>
      </c>
      <c r="KF20" s="4"/>
      <c r="KG20" s="4"/>
      <c r="KH20" s="4">
        <v>8450</v>
      </c>
      <c r="KI20" s="4"/>
      <c r="KJ20" s="4">
        <v>1820</v>
      </c>
      <c r="KK20" s="4"/>
      <c r="KL20" s="4"/>
      <c r="KM20" s="4"/>
      <c r="KN20" s="4"/>
      <c r="KO20" s="4"/>
      <c r="KP20" s="4">
        <v>71</v>
      </c>
      <c r="KQ20" s="4">
        <v>21550</v>
      </c>
      <c r="KR20" s="4"/>
      <c r="KS20" s="4"/>
      <c r="KT20" s="4"/>
      <c r="KU20" s="4">
        <v>10240</v>
      </c>
      <c r="KV20" s="4"/>
      <c r="KW20" s="4"/>
      <c r="KX20" s="4"/>
      <c r="KY20" s="4"/>
      <c r="KZ20" s="4"/>
      <c r="LA20" s="4">
        <v>34620</v>
      </c>
      <c r="LB20" s="4"/>
      <c r="LC20" s="4"/>
      <c r="LD20" s="4"/>
      <c r="LE20" s="4">
        <v>2990</v>
      </c>
      <c r="LF20" s="4"/>
      <c r="LG20" s="4"/>
      <c r="LH20" s="4"/>
      <c r="LI20" s="4"/>
      <c r="LJ20" s="4"/>
      <c r="LK20" s="4"/>
    </row>
    <row r="21">
      <c r="A21" s="3" t="s">
        <v>136</v>
      </c>
      <c r="B21" s="3" t="s">
        <v>158</v>
      </c>
      <c r="C21" s="3" t="s">
        <v>138</v>
      </c>
      <c r="D21" s="3" t="s">
        <v>139</v>
      </c>
      <c r="E21" s="3" t="s">
        <v>160</v>
      </c>
      <c r="F21" s="3" t="s">
        <v>160</v>
      </c>
      <c r="G21" s="3" t="s">
        <v>160</v>
      </c>
      <c r="H21" s="3" t="s">
        <v>159</v>
      </c>
      <c r="I21" s="4">
        <v>1548</v>
      </c>
      <c r="J21" s="4">
        <f>=ROUNDDOWN(19.5949367088608,0)</f>
      </c>
      <c r="K21" s="4">
        <v>1405</v>
      </c>
      <c r="L21" s="5">
        <v>1</v>
      </c>
      <c r="M21" s="4"/>
      <c r="N21" s="4">
        <f>=ROUNDDOWN({0},0)</f>
      </c>
      <c r="O21" s="4"/>
      <c r="P21" s="5"/>
      <c r="Q21" s="4">
        <v>844</v>
      </c>
      <c r="R21" s="6">
        <v>17265.42</v>
      </c>
      <c r="S21" s="4">
        <v>76</v>
      </c>
      <c r="T21" s="6">
        <v>1604.18</v>
      </c>
      <c r="U21" s="5">
        <v>10.1053</v>
      </c>
      <c r="V21" s="5">
        <v>9.7628</v>
      </c>
      <c r="W21" s="4">
        <v>45</v>
      </c>
      <c r="X21" s="6">
        <v>963.07</v>
      </c>
      <c r="Y21" s="4"/>
      <c r="Z21" s="6"/>
      <c r="AA21" s="5"/>
      <c r="AB21" s="5"/>
      <c r="AC21" s="4">
        <v>38</v>
      </c>
      <c r="AD21" s="6">
        <v>806.48</v>
      </c>
      <c r="AE21" s="4"/>
      <c r="AF21" s="6"/>
      <c r="AG21" s="5"/>
      <c r="AH21" s="5"/>
      <c r="AI21" s="4">
        <v>85</v>
      </c>
      <c r="AJ21" s="6">
        <v>1725.98</v>
      </c>
      <c r="AK21" s="4"/>
      <c r="AL21" s="6"/>
      <c r="AM21" s="5"/>
      <c r="AN21" s="5"/>
      <c r="AO21" s="4">
        <v>152</v>
      </c>
      <c r="AP21" s="6">
        <v>3269.42</v>
      </c>
      <c r="AQ21" s="4"/>
      <c r="AR21" s="6"/>
      <c r="AS21" s="5"/>
      <c r="AT21" s="5"/>
      <c r="AU21" s="4">
        <v>60</v>
      </c>
      <c r="AV21" s="6">
        <v>1219.94</v>
      </c>
      <c r="AW21" s="4">
        <v>8</v>
      </c>
      <c r="AX21" s="6">
        <v>162.07</v>
      </c>
      <c r="AY21" s="5">
        <v>6.5</v>
      </c>
      <c r="AZ21" s="5">
        <v>6.5272</v>
      </c>
      <c r="BA21" s="4">
        <v>295</v>
      </c>
      <c r="BB21" s="6">
        <v>5849.35</v>
      </c>
      <c r="BC21" s="4"/>
      <c r="BD21" s="6"/>
      <c r="BE21" s="5"/>
      <c r="BF21" s="5"/>
      <c r="BG21" s="4">
        <v>80</v>
      </c>
      <c r="BH21" s="6">
        <v>1694.34</v>
      </c>
      <c r="BI21" s="4">
        <v>66</v>
      </c>
      <c r="BJ21" s="6">
        <v>1382.41</v>
      </c>
      <c r="BK21" s="5">
        <v>0.2121</v>
      </c>
      <c r="BL21" s="5">
        <v>0.2256</v>
      </c>
      <c r="BM21" s="4">
        <v>26</v>
      </c>
      <c r="BN21" s="6">
        <v>440.86</v>
      </c>
      <c r="BO21" s="4"/>
      <c r="BP21" s="6"/>
      <c r="BQ21" s="5"/>
      <c r="BR21" s="5"/>
      <c r="BS21" s="4">
        <v>19</v>
      </c>
      <c r="BT21" s="6">
        <v>404.62</v>
      </c>
      <c r="BU21" s="4"/>
      <c r="BV21" s="6"/>
      <c r="BW21" s="5"/>
      <c r="BX21" s="5"/>
      <c r="BY21" s="4">
        <v>13</v>
      </c>
      <c r="BZ21" s="6">
        <v>314.31</v>
      </c>
      <c r="CA21" s="4">
        <v>2</v>
      </c>
      <c r="CB21" s="6">
        <v>59.7</v>
      </c>
      <c r="CC21" s="5">
        <v>5.5</v>
      </c>
      <c r="CD21" s="5">
        <v>4.2648</v>
      </c>
      <c r="CE21" s="4">
        <v>5</v>
      </c>
      <c r="CF21" s="6">
        <v>114.99</v>
      </c>
      <c r="CG21" s="4"/>
      <c r="CH21" s="6"/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>
        <v>13</v>
      </c>
      <c r="DD21" s="6">
        <v>167.72</v>
      </c>
      <c r="DE21" s="4"/>
      <c r="DF21" s="6"/>
      <c r="DG21" s="5"/>
      <c r="DH21" s="5"/>
      <c r="DI21" s="4"/>
      <c r="DJ21" s="6"/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/>
      <c r="DV21" s="6"/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>
        <v>13</v>
      </c>
      <c r="EH21" s="6">
        <v>294.34</v>
      </c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/>
      <c r="HZ21" s="6"/>
      <c r="IA21" s="4"/>
      <c r="IB21" s="6"/>
      <c r="IC21" s="5"/>
      <c r="ID21" s="5"/>
      <c r="IE21" s="4"/>
      <c r="IF21" s="6"/>
      <c r="IG21" s="4"/>
      <c r="IH21" s="6"/>
      <c r="II21" s="5"/>
      <c r="IJ21" s="5"/>
      <c r="IK21" s="4"/>
      <c r="IL21" s="6"/>
      <c r="IM21" s="4"/>
      <c r="IN21" s="6"/>
      <c r="IO21" s="5"/>
      <c r="IP21" s="5"/>
      <c r="IQ21" s="4"/>
      <c r="IR21" s="6"/>
      <c r="IS21" s="4"/>
      <c r="IT21" s="6"/>
      <c r="IU21" s="5"/>
      <c r="IV21" s="5"/>
      <c r="IW21" s="4"/>
      <c r="IX21" s="6"/>
      <c r="IY21" s="4"/>
      <c r="IZ21" s="6"/>
      <c r="JA21" s="5"/>
      <c r="JB21" s="5"/>
      <c r="JC21" s="4"/>
      <c r="JD21" s="6"/>
      <c r="JE21" s="4"/>
      <c r="JF21" s="6"/>
      <c r="JG21" s="5"/>
      <c r="JH21" s="5"/>
      <c r="JI21" s="4">
        <v>1547</v>
      </c>
      <c r="JJ21" s="4"/>
      <c r="JK21" s="4"/>
      <c r="JL21" s="4"/>
      <c r="JM21" s="4"/>
      <c r="JN21" s="4"/>
      <c r="JO21" s="4"/>
      <c r="JP21" s="4">
        <v>1</v>
      </c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>
        <v>810</v>
      </c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>
        <v>595</v>
      </c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</row>
    <row r="22">
      <c r="A22" s="3" t="s">
        <v>136</v>
      </c>
      <c r="B22" s="3" t="s">
        <v>158</v>
      </c>
      <c r="C22" s="3" t="s">
        <v>138</v>
      </c>
      <c r="D22" s="3" t="s">
        <v>139</v>
      </c>
      <c r="E22" s="3" t="s">
        <v>161</v>
      </c>
      <c r="F22" s="3" t="s">
        <v>161</v>
      </c>
      <c r="G22" s="3" t="s">
        <v>161</v>
      </c>
      <c r="H22" s="3" t="s">
        <v>143</v>
      </c>
      <c r="I22" s="4">
        <v>605</v>
      </c>
      <c r="J22" s="4">
        <f>=ROUNDDOWN(9.85342019543974,0)</f>
      </c>
      <c r="K22" s="4">
        <v>2084</v>
      </c>
      <c r="L22" s="5">
        <v>1</v>
      </c>
      <c r="M22" s="4"/>
      <c r="N22" s="4">
        <f>=ROUNDDOWN({0},0)</f>
      </c>
      <c r="O22" s="4"/>
      <c r="P22" s="5"/>
      <c r="Q22" s="4">
        <v>537</v>
      </c>
      <c r="R22" s="6">
        <v>15379.62</v>
      </c>
      <c r="S22" s="4"/>
      <c r="T22" s="6"/>
      <c r="U22" s="5"/>
      <c r="V22" s="5"/>
      <c r="W22" s="4">
        <v>80</v>
      </c>
      <c r="X22" s="6">
        <v>2266.82</v>
      </c>
      <c r="Y22" s="4"/>
      <c r="Z22" s="6"/>
      <c r="AA22" s="5"/>
      <c r="AB22" s="5"/>
      <c r="AC22" s="4">
        <v>31</v>
      </c>
      <c r="AD22" s="6">
        <v>872.82</v>
      </c>
      <c r="AE22" s="4"/>
      <c r="AF22" s="6"/>
      <c r="AG22" s="5"/>
      <c r="AH22" s="5"/>
      <c r="AI22" s="4">
        <v>1</v>
      </c>
      <c r="AJ22" s="6">
        <v>59.99</v>
      </c>
      <c r="AK22" s="4"/>
      <c r="AL22" s="6"/>
      <c r="AM22" s="5"/>
      <c r="AN22" s="5"/>
      <c r="AO22" s="4">
        <v>101</v>
      </c>
      <c r="AP22" s="6">
        <v>3099.48</v>
      </c>
      <c r="AQ22" s="4"/>
      <c r="AR22" s="6"/>
      <c r="AS22" s="5"/>
      <c r="AT22" s="5"/>
      <c r="AU22" s="4">
        <v>75</v>
      </c>
      <c r="AV22" s="6">
        <v>2119.64</v>
      </c>
      <c r="AW22" s="4"/>
      <c r="AX22" s="6"/>
      <c r="AY22" s="5"/>
      <c r="AZ22" s="5"/>
      <c r="BA22" s="4">
        <v>81</v>
      </c>
      <c r="BB22" s="6">
        <v>2236.72</v>
      </c>
      <c r="BC22" s="4"/>
      <c r="BD22" s="6"/>
      <c r="BE22" s="5"/>
      <c r="BF22" s="5"/>
      <c r="BG22" s="4">
        <v>40</v>
      </c>
      <c r="BH22" s="6">
        <v>1168.86</v>
      </c>
      <c r="BI22" s="4"/>
      <c r="BJ22" s="6"/>
      <c r="BK22" s="5"/>
      <c r="BL22" s="5"/>
      <c r="BM22" s="4">
        <v>70</v>
      </c>
      <c r="BN22" s="6">
        <v>1746.71</v>
      </c>
      <c r="BO22" s="4"/>
      <c r="BP22" s="6"/>
      <c r="BQ22" s="5"/>
      <c r="BR22" s="5"/>
      <c r="BS22" s="4">
        <v>13</v>
      </c>
      <c r="BT22" s="6">
        <v>372.34</v>
      </c>
      <c r="BU22" s="4"/>
      <c r="BV22" s="6"/>
      <c r="BW22" s="5"/>
      <c r="BX22" s="5"/>
      <c r="BY22" s="4">
        <v>17</v>
      </c>
      <c r="BZ22" s="6">
        <v>494.47</v>
      </c>
      <c r="CA22" s="4"/>
      <c r="CB22" s="6"/>
      <c r="CC22" s="5"/>
      <c r="CD22" s="5"/>
      <c r="CE22" s="4">
        <v>5</v>
      </c>
      <c r="CF22" s="6">
        <v>163.9</v>
      </c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>
        <v>14</v>
      </c>
      <c r="CR22" s="6">
        <v>378.25</v>
      </c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>
        <v>3</v>
      </c>
      <c r="DD22" s="6">
        <v>82.68</v>
      </c>
      <c r="DE22" s="4"/>
      <c r="DF22" s="6"/>
      <c r="DG22" s="5"/>
      <c r="DH22" s="5"/>
      <c r="DI22" s="4">
        <v>6</v>
      </c>
      <c r="DJ22" s="6">
        <v>316.94</v>
      </c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/>
      <c r="EB22" s="6"/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/>
      <c r="HZ22" s="6"/>
      <c r="IA22" s="4"/>
      <c r="IB22" s="6"/>
      <c r="IC22" s="5"/>
      <c r="ID22" s="5"/>
      <c r="IE22" s="4"/>
      <c r="IF22" s="6"/>
      <c r="IG22" s="4"/>
      <c r="IH22" s="6"/>
      <c r="II22" s="5"/>
      <c r="IJ22" s="5"/>
      <c r="IK22" s="4"/>
      <c r="IL22" s="6"/>
      <c r="IM22" s="4"/>
      <c r="IN22" s="6"/>
      <c r="IO22" s="5"/>
      <c r="IP22" s="5"/>
      <c r="IQ22" s="4"/>
      <c r="IR22" s="6"/>
      <c r="IS22" s="4"/>
      <c r="IT22" s="6"/>
      <c r="IU22" s="5"/>
      <c r="IV22" s="5"/>
      <c r="IW22" s="4"/>
      <c r="IX22" s="6"/>
      <c r="IY22" s="4"/>
      <c r="IZ22" s="6"/>
      <c r="JA22" s="5"/>
      <c r="JB22" s="5"/>
      <c r="JC22" s="4"/>
      <c r="JD22" s="6"/>
      <c r="JE22" s="4"/>
      <c r="JF22" s="6"/>
      <c r="JG22" s="5"/>
      <c r="JH22" s="5"/>
      <c r="JI22" s="4">
        <v>605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>
        <v>1044</v>
      </c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>
        <v>1040</v>
      </c>
      <c r="LI22" s="4"/>
      <c r="LJ22" s="4"/>
      <c r="LK22" s="4"/>
    </row>
    <row r="23">
      <c r="A23" s="3" t="s">
        <v>136</v>
      </c>
      <c r="B23" s="3" t="s">
        <v>158</v>
      </c>
      <c r="C23" s="3" t="s">
        <v>138</v>
      </c>
      <c r="D23" s="3" t="s">
        <v>139</v>
      </c>
      <c r="E23" s="3" t="s">
        <v>162</v>
      </c>
      <c r="F23" s="3" t="s">
        <v>162</v>
      </c>
      <c r="G23" s="3" t="s">
        <v>162</v>
      </c>
      <c r="H23" s="3" t="s">
        <v>146</v>
      </c>
      <c r="I23" s="4"/>
      <c r="J23" s="4">
        <f>=ROUNDDOWN({0},0)</f>
      </c>
      <c r="K23" s="4"/>
      <c r="L23" s="5"/>
      <c r="M23" s="4"/>
      <c r="N23" s="4">
        <f>=ROUNDDOWN({0},0)</f>
      </c>
      <c r="O23" s="4"/>
      <c r="P23" s="5"/>
      <c r="Q23" s="4"/>
      <c r="R23" s="6"/>
      <c r="S23" s="4">
        <v>761</v>
      </c>
      <c r="T23" s="6">
        <v>13009.67</v>
      </c>
      <c r="U23" s="5"/>
      <c r="V23" s="5"/>
      <c r="W23" s="4"/>
      <c r="X23" s="6"/>
      <c r="Y23" s="4">
        <v>92</v>
      </c>
      <c r="Z23" s="6">
        <v>1575.55</v>
      </c>
      <c r="AA23" s="5"/>
      <c r="AB23" s="5"/>
      <c r="AC23" s="4"/>
      <c r="AD23" s="6"/>
      <c r="AE23" s="4">
        <v>2</v>
      </c>
      <c r="AF23" s="6">
        <v>35.84</v>
      </c>
      <c r="AG23" s="5"/>
      <c r="AH23" s="5"/>
      <c r="AI23" s="4"/>
      <c r="AJ23" s="6"/>
      <c r="AK23" s="4"/>
      <c r="AL23" s="6"/>
      <c r="AM23" s="5"/>
      <c r="AN23" s="5"/>
      <c r="AO23" s="4"/>
      <c r="AP23" s="6"/>
      <c r="AQ23" s="4">
        <v>456</v>
      </c>
      <c r="AR23" s="6">
        <v>7973.97</v>
      </c>
      <c r="AS23" s="5"/>
      <c r="AT23" s="5"/>
      <c r="AU23" s="4"/>
      <c r="AV23" s="6"/>
      <c r="AW23" s="4"/>
      <c r="AX23" s="6"/>
      <c r="AY23" s="5"/>
      <c r="AZ23" s="5"/>
      <c r="BA23" s="4"/>
      <c r="BB23" s="6"/>
      <c r="BC23" s="4">
        <v>17</v>
      </c>
      <c r="BD23" s="6">
        <v>241.91</v>
      </c>
      <c r="BE23" s="5"/>
      <c r="BF23" s="5"/>
      <c r="BG23" s="4"/>
      <c r="BH23" s="6"/>
      <c r="BI23" s="4">
        <v>118</v>
      </c>
      <c r="BJ23" s="6">
        <v>1872.26</v>
      </c>
      <c r="BK23" s="5"/>
      <c r="BL23" s="5"/>
      <c r="BM23" s="4"/>
      <c r="BN23" s="6"/>
      <c r="BO23" s="4">
        <v>16</v>
      </c>
      <c r="BP23" s="6">
        <v>263.06</v>
      </c>
      <c r="BQ23" s="5"/>
      <c r="BR23" s="5"/>
      <c r="BS23" s="4"/>
      <c r="BT23" s="6"/>
      <c r="BU23" s="4">
        <v>24</v>
      </c>
      <c r="BV23" s="6">
        <v>424.66</v>
      </c>
      <c r="BW23" s="5"/>
      <c r="BX23" s="5"/>
      <c r="BY23" s="4"/>
      <c r="BZ23" s="6"/>
      <c r="CA23" s="4">
        <v>9</v>
      </c>
      <c r="CB23" s="6">
        <v>143.47</v>
      </c>
      <c r="CC23" s="5"/>
      <c r="CD23" s="5"/>
      <c r="CE23" s="4"/>
      <c r="CF23" s="6"/>
      <c r="CG23" s="4">
        <v>3</v>
      </c>
      <c r="CH23" s="6">
        <v>55.63</v>
      </c>
      <c r="CI23" s="5"/>
      <c r="CJ23" s="5"/>
      <c r="CK23" s="4"/>
      <c r="CL23" s="6"/>
      <c r="CM23" s="4"/>
      <c r="CN23" s="6"/>
      <c r="CO23" s="5"/>
      <c r="CP23" s="5"/>
      <c r="CQ23" s="4"/>
      <c r="CR23" s="6"/>
      <c r="CS23" s="4"/>
      <c r="CT23" s="6"/>
      <c r="CU23" s="5"/>
      <c r="CV23" s="5"/>
      <c r="CW23" s="4"/>
      <c r="CX23" s="6"/>
      <c r="CY23" s="4">
        <v>8</v>
      </c>
      <c r="CZ23" s="6">
        <v>122.48</v>
      </c>
      <c r="DA23" s="5"/>
      <c r="DB23" s="5"/>
      <c r="DC23" s="4"/>
      <c r="DD23" s="6"/>
      <c r="DE23" s="4"/>
      <c r="DF23" s="6"/>
      <c r="DG23" s="5"/>
      <c r="DH23" s="5"/>
      <c r="DI23" s="4"/>
      <c r="DJ23" s="6"/>
      <c r="DK23" s="4"/>
      <c r="DL23" s="6"/>
      <c r="DM23" s="5"/>
      <c r="DN23" s="5"/>
      <c r="DO23" s="4"/>
      <c r="DP23" s="6"/>
      <c r="DQ23" s="4">
        <v>2</v>
      </c>
      <c r="DR23" s="6">
        <v>35.82</v>
      </c>
      <c r="DS23" s="5"/>
      <c r="DT23" s="5"/>
      <c r="DU23" s="4"/>
      <c r="DV23" s="6"/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>
        <v>14</v>
      </c>
      <c r="FT23" s="6">
        <v>265.02</v>
      </c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/>
      <c r="HZ23" s="6"/>
      <c r="IA23" s="4"/>
      <c r="IB23" s="6"/>
      <c r="IC23" s="5"/>
      <c r="ID23" s="5"/>
      <c r="IE23" s="4"/>
      <c r="IF23" s="6"/>
      <c r="IG23" s="4"/>
      <c r="IH23" s="6"/>
      <c r="II23" s="5"/>
      <c r="IJ23" s="5"/>
      <c r="IK23" s="4"/>
      <c r="IL23" s="6"/>
      <c r="IM23" s="4"/>
      <c r="IN23" s="6"/>
      <c r="IO23" s="5"/>
      <c r="IP23" s="5"/>
      <c r="IQ23" s="4"/>
      <c r="IR23" s="6"/>
      <c r="IS23" s="4"/>
      <c r="IT23" s="6"/>
      <c r="IU23" s="5"/>
      <c r="IV23" s="5"/>
      <c r="IW23" s="4"/>
      <c r="IX23" s="6"/>
      <c r="IY23" s="4"/>
      <c r="IZ23" s="6"/>
      <c r="JA23" s="5"/>
      <c r="JB23" s="5"/>
      <c r="JC23" s="4"/>
      <c r="JD23" s="6"/>
      <c r="JE23" s="4"/>
      <c r="JF23" s="6"/>
      <c r="JG23" s="5"/>
      <c r="JH23" s="5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</row>
    <row r="24">
      <c r="A24" s="3" t="s">
        <v>136</v>
      </c>
      <c r="B24" s="3" t="s">
        <v>158</v>
      </c>
      <c r="C24" s="3" t="s">
        <v>138</v>
      </c>
      <c r="D24" s="3" t="s">
        <v>139</v>
      </c>
      <c r="E24" s="3" t="s">
        <v>163</v>
      </c>
      <c r="F24" s="3" t="s">
        <v>163</v>
      </c>
      <c r="G24" s="3" t="s">
        <v>163</v>
      </c>
      <c r="H24" s="3" t="s">
        <v>146</v>
      </c>
      <c r="I24" s="4"/>
      <c r="J24" s="4">
        <f>=ROUNDDOWN({0},0)</f>
      </c>
      <c r="K24" s="4"/>
      <c r="L24" s="5"/>
      <c r="M24" s="4"/>
      <c r="N24" s="4">
        <f>=ROUNDDOWN({0},0)</f>
      </c>
      <c r="O24" s="4"/>
      <c r="P24" s="5"/>
      <c r="Q24" s="4"/>
      <c r="R24" s="6"/>
      <c r="S24" s="4">
        <v>73</v>
      </c>
      <c r="T24" s="6">
        <v>1059.83</v>
      </c>
      <c r="U24" s="5"/>
      <c r="V24" s="5"/>
      <c r="W24" s="4"/>
      <c r="X24" s="6"/>
      <c r="Y24" s="4">
        <v>6</v>
      </c>
      <c r="Z24" s="6">
        <v>72</v>
      </c>
      <c r="AA24" s="5"/>
      <c r="AB24" s="5"/>
      <c r="AC24" s="4"/>
      <c r="AD24" s="6"/>
      <c r="AE24" s="4">
        <v>7</v>
      </c>
      <c r="AF24" s="6">
        <v>63.07</v>
      </c>
      <c r="AG24" s="5"/>
      <c r="AH24" s="5"/>
      <c r="AI24" s="4"/>
      <c r="AJ24" s="6"/>
      <c r="AK24" s="4"/>
      <c r="AL24" s="6"/>
      <c r="AM24" s="5"/>
      <c r="AN24" s="5"/>
      <c r="AO24" s="4"/>
      <c r="AP24" s="6"/>
      <c r="AQ24" s="4"/>
      <c r="AR24" s="6"/>
      <c r="AS24" s="5"/>
      <c r="AT24" s="5"/>
      <c r="AU24" s="4"/>
      <c r="AV24" s="6"/>
      <c r="AW24" s="4"/>
      <c r="AX24" s="6"/>
      <c r="AY24" s="5"/>
      <c r="AZ24" s="5"/>
      <c r="BA24" s="4"/>
      <c r="BB24" s="6"/>
      <c r="BC24" s="4">
        <v>14</v>
      </c>
      <c r="BD24" s="6">
        <v>216.47</v>
      </c>
      <c r="BE24" s="5"/>
      <c r="BF24" s="5"/>
      <c r="BG24" s="4"/>
      <c r="BH24" s="6"/>
      <c r="BI24" s="4">
        <v>6</v>
      </c>
      <c r="BJ24" s="6">
        <v>91.55</v>
      </c>
      <c r="BK24" s="5"/>
      <c r="BL24" s="5"/>
      <c r="BM24" s="4"/>
      <c r="BN24" s="6"/>
      <c r="BO24" s="4"/>
      <c r="BP24" s="6"/>
      <c r="BQ24" s="5"/>
      <c r="BR24" s="5"/>
      <c r="BS24" s="4"/>
      <c r="BT24" s="6"/>
      <c r="BU24" s="4"/>
      <c r="BV24" s="6"/>
      <c r="BW24" s="5"/>
      <c r="BX24" s="5"/>
      <c r="BY24" s="4"/>
      <c r="BZ24" s="6"/>
      <c r="CA24" s="4">
        <v>1</v>
      </c>
      <c r="CB24" s="6">
        <v>17.95</v>
      </c>
      <c r="CC24" s="5"/>
      <c r="CD24" s="5"/>
      <c r="CE24" s="4"/>
      <c r="CF24" s="6"/>
      <c r="CG24" s="4"/>
      <c r="CH24" s="6"/>
      <c r="CI24" s="5"/>
      <c r="CJ24" s="5"/>
      <c r="CK24" s="4"/>
      <c r="CL24" s="6"/>
      <c r="CM24" s="4"/>
      <c r="CN24" s="6"/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>
        <v>8</v>
      </c>
      <c r="CZ24" s="6">
        <v>93.16</v>
      </c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>
        <v>18</v>
      </c>
      <c r="DR24" s="6">
        <v>340.26</v>
      </c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>
        <v>2</v>
      </c>
      <c r="ED24" s="6">
        <v>35.92</v>
      </c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>
        <v>11</v>
      </c>
      <c r="FT24" s="6">
        <v>129.45</v>
      </c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6"/>
      <c r="IA24" s="4"/>
      <c r="IB24" s="6"/>
      <c r="IC24" s="5"/>
      <c r="ID24" s="5"/>
      <c r="IE24" s="4"/>
      <c r="IF24" s="6"/>
      <c r="IG24" s="4"/>
      <c r="IH24" s="6"/>
      <c r="II24" s="5"/>
      <c r="IJ24" s="5"/>
      <c r="IK24" s="4"/>
      <c r="IL24" s="6"/>
      <c r="IM24" s="4"/>
      <c r="IN24" s="6"/>
      <c r="IO24" s="5"/>
      <c r="IP24" s="5"/>
      <c r="IQ24" s="4"/>
      <c r="IR24" s="6"/>
      <c r="IS24" s="4"/>
      <c r="IT24" s="6"/>
      <c r="IU24" s="5"/>
      <c r="IV24" s="5"/>
      <c r="IW24" s="4"/>
      <c r="IX24" s="6"/>
      <c r="IY24" s="4"/>
      <c r="IZ24" s="6"/>
      <c r="JA24" s="5"/>
      <c r="JB24" s="5"/>
      <c r="JC24" s="4"/>
      <c r="JD24" s="6"/>
      <c r="JE24" s="4"/>
      <c r="JF24" s="6"/>
      <c r="JG24" s="5"/>
      <c r="JH24" s="5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</row>
    <row r="25">
      <c r="A25" s="3" t="s">
        <v>136</v>
      </c>
      <c r="B25" s="3" t="s">
        <v>158</v>
      </c>
      <c r="C25" s="3" t="s">
        <v>155</v>
      </c>
      <c r="D25" s="3" t="s">
        <v>156</v>
      </c>
      <c r="E25" s="3" t="s">
        <v>159</v>
      </c>
      <c r="F25" s="3" t="s">
        <v>159</v>
      </c>
      <c r="G25" s="3" t="s">
        <v>159</v>
      </c>
      <c r="H25" s="3" t="s">
        <v>159</v>
      </c>
      <c r="I25" s="4">
        <v>24410</v>
      </c>
      <c r="J25" s="4">
        <f>=ROUNDDOWN(40.7921122994652,0)</f>
      </c>
      <c r="K25" s="4">
        <v>994</v>
      </c>
      <c r="L25" s="5">
        <v>1</v>
      </c>
      <c r="M25" s="4"/>
      <c r="N25" s="4">
        <f>=ROUNDDOWN({0},0)</f>
      </c>
      <c r="O25" s="4"/>
      <c r="P25" s="5"/>
      <c r="Q25" s="4">
        <v>7652</v>
      </c>
      <c r="R25" s="6">
        <v>47857.62</v>
      </c>
      <c r="S25" s="4">
        <v>7762</v>
      </c>
      <c r="T25" s="6">
        <v>46730.31</v>
      </c>
      <c r="U25" s="5">
        <v>-0.0142</v>
      </c>
      <c r="V25" s="5">
        <v>0.0241</v>
      </c>
      <c r="W25" s="4">
        <v>1993</v>
      </c>
      <c r="X25" s="6">
        <v>12999.52</v>
      </c>
      <c r="Y25" s="4">
        <v>2634</v>
      </c>
      <c r="Z25" s="6">
        <v>16628.51</v>
      </c>
      <c r="AA25" s="5">
        <v>-0.2434</v>
      </c>
      <c r="AB25" s="5">
        <v>-0.2182</v>
      </c>
      <c r="AC25" s="4">
        <v>562</v>
      </c>
      <c r="AD25" s="6">
        <v>3506.17</v>
      </c>
      <c r="AE25" s="4">
        <v>89</v>
      </c>
      <c r="AF25" s="6">
        <v>557.45</v>
      </c>
      <c r="AG25" s="5">
        <v>5.3146</v>
      </c>
      <c r="AH25" s="5">
        <v>5.2897</v>
      </c>
      <c r="AI25" s="4">
        <v>63</v>
      </c>
      <c r="AJ25" s="6">
        <v>240.15</v>
      </c>
      <c r="AK25" s="4"/>
      <c r="AL25" s="6"/>
      <c r="AM25" s="5"/>
      <c r="AN25" s="5"/>
      <c r="AO25" s="4">
        <v>240</v>
      </c>
      <c r="AP25" s="6">
        <v>1572.64</v>
      </c>
      <c r="AQ25" s="4">
        <v>160</v>
      </c>
      <c r="AR25" s="6">
        <v>925.44</v>
      </c>
      <c r="AS25" s="5">
        <v>0.5</v>
      </c>
      <c r="AT25" s="5">
        <v>0.6993</v>
      </c>
      <c r="AU25" s="4">
        <v>1459</v>
      </c>
      <c r="AV25" s="6">
        <v>9570.46</v>
      </c>
      <c r="AW25" s="4">
        <v>832</v>
      </c>
      <c r="AX25" s="6">
        <v>5426.3</v>
      </c>
      <c r="AY25" s="5">
        <v>0.7536</v>
      </c>
      <c r="AZ25" s="5">
        <v>0.7637</v>
      </c>
      <c r="BA25" s="4">
        <v>1405</v>
      </c>
      <c r="BB25" s="6">
        <v>9030.07</v>
      </c>
      <c r="BC25" s="4">
        <v>1208</v>
      </c>
      <c r="BD25" s="6">
        <v>7690.04</v>
      </c>
      <c r="BE25" s="5">
        <v>0.1631</v>
      </c>
      <c r="BF25" s="5">
        <v>0.1743</v>
      </c>
      <c r="BG25" s="4">
        <v>1273</v>
      </c>
      <c r="BH25" s="6">
        <v>6643.91</v>
      </c>
      <c r="BI25" s="4">
        <v>2131</v>
      </c>
      <c r="BJ25" s="6">
        <v>10981.58</v>
      </c>
      <c r="BK25" s="5">
        <v>-0.4026</v>
      </c>
      <c r="BL25" s="5">
        <v>-0.395</v>
      </c>
      <c r="BM25" s="4">
        <v>278</v>
      </c>
      <c r="BN25" s="6">
        <v>1514.22</v>
      </c>
      <c r="BO25" s="4">
        <v>279</v>
      </c>
      <c r="BP25" s="6">
        <v>1608.58</v>
      </c>
      <c r="BQ25" s="5">
        <v>-0.0036</v>
      </c>
      <c r="BR25" s="5">
        <v>-0.0587</v>
      </c>
      <c r="BS25" s="4"/>
      <c r="BT25" s="6"/>
      <c r="BU25" s="4">
        <v>296</v>
      </c>
      <c r="BV25" s="6">
        <v>1914.36</v>
      </c>
      <c r="BW25" s="5"/>
      <c r="BX25" s="5"/>
      <c r="BY25" s="4">
        <v>166</v>
      </c>
      <c r="BZ25" s="6">
        <v>1441.93</v>
      </c>
      <c r="CA25" s="4">
        <v>48</v>
      </c>
      <c r="CB25" s="6">
        <v>413.26</v>
      </c>
      <c r="CC25" s="5">
        <v>2.4583</v>
      </c>
      <c r="CD25" s="5">
        <v>2.4892</v>
      </c>
      <c r="CE25" s="4">
        <v>23</v>
      </c>
      <c r="CF25" s="6">
        <v>154.4</v>
      </c>
      <c r="CG25" s="4">
        <v>1</v>
      </c>
      <c r="CH25" s="6">
        <v>6</v>
      </c>
      <c r="CI25" s="5">
        <v>22</v>
      </c>
      <c r="CJ25" s="5">
        <v>24.7333</v>
      </c>
      <c r="CK25" s="4"/>
      <c r="CL25" s="6"/>
      <c r="CM25" s="4"/>
      <c r="CN25" s="6"/>
      <c r="CO25" s="5"/>
      <c r="CP25" s="5"/>
      <c r="CQ25" s="4">
        <v>152</v>
      </c>
      <c r="CR25" s="6">
        <v>945.6</v>
      </c>
      <c r="CS25" s="4"/>
      <c r="CT25" s="6"/>
      <c r="CU25" s="5"/>
      <c r="CV25" s="5"/>
      <c r="CW25" s="4">
        <v>5</v>
      </c>
      <c r="CX25" s="6">
        <v>26</v>
      </c>
      <c r="CY25" s="4">
        <v>2</v>
      </c>
      <c r="CZ25" s="6">
        <v>10.4</v>
      </c>
      <c r="DA25" s="5">
        <v>1.5</v>
      </c>
      <c r="DB25" s="5">
        <v>1.5</v>
      </c>
      <c r="DC25" s="4"/>
      <c r="DD25" s="6"/>
      <c r="DE25" s="4"/>
      <c r="DF25" s="6"/>
      <c r="DG25" s="5"/>
      <c r="DH25" s="5"/>
      <c r="DI25" s="4">
        <v>4</v>
      </c>
      <c r="DJ25" s="6">
        <v>23.96</v>
      </c>
      <c r="DK25" s="4">
        <v>6</v>
      </c>
      <c r="DL25" s="6">
        <v>59.34</v>
      </c>
      <c r="DM25" s="5">
        <v>-0.3333</v>
      </c>
      <c r="DN25" s="5">
        <v>-0.5962</v>
      </c>
      <c r="DO25" s="4"/>
      <c r="DP25" s="6"/>
      <c r="DQ25" s="4"/>
      <c r="DR25" s="6"/>
      <c r="DS25" s="5"/>
      <c r="DT25" s="5"/>
      <c r="DU25" s="4"/>
      <c r="DV25" s="6"/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>
        <v>23</v>
      </c>
      <c r="EH25" s="6">
        <v>150.82</v>
      </c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>
        <v>6</v>
      </c>
      <c r="ET25" s="6">
        <v>37.77</v>
      </c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>
        <v>61</v>
      </c>
      <c r="FT25" s="6">
        <v>413.8</v>
      </c>
      <c r="FU25" s="5"/>
      <c r="FV25" s="5"/>
      <c r="FW25" s="4"/>
      <c r="FX25" s="6"/>
      <c r="FY25" s="4">
        <v>15</v>
      </c>
      <c r="FZ25" s="6">
        <v>95.25</v>
      </c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6"/>
      <c r="IA25" s="4"/>
      <c r="IB25" s="6"/>
      <c r="IC25" s="5"/>
      <c r="ID25" s="5"/>
      <c r="IE25" s="4"/>
      <c r="IF25" s="6"/>
      <c r="IG25" s="4"/>
      <c r="IH25" s="6"/>
      <c r="II25" s="5"/>
      <c r="IJ25" s="5"/>
      <c r="IK25" s="4"/>
      <c r="IL25" s="6"/>
      <c r="IM25" s="4"/>
      <c r="IN25" s="6"/>
      <c r="IO25" s="5"/>
      <c r="IP25" s="5"/>
      <c r="IQ25" s="4"/>
      <c r="IR25" s="6"/>
      <c r="IS25" s="4"/>
      <c r="IT25" s="6"/>
      <c r="IU25" s="5"/>
      <c r="IV25" s="5"/>
      <c r="IW25" s="4"/>
      <c r="IX25" s="6"/>
      <c r="IY25" s="4"/>
      <c r="IZ25" s="6"/>
      <c r="JA25" s="5"/>
      <c r="JB25" s="5"/>
      <c r="JC25" s="4"/>
      <c r="JD25" s="6"/>
      <c r="JE25" s="4"/>
      <c r="JF25" s="6"/>
      <c r="JG25" s="5"/>
      <c r="JH25" s="5"/>
      <c r="JI25" s="4">
        <v>22830</v>
      </c>
      <c r="JJ25" s="4"/>
      <c r="JK25" s="4"/>
      <c r="JL25" s="4"/>
      <c r="JM25" s="4">
        <v>1580</v>
      </c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>
        <v>40</v>
      </c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>
        <v>200</v>
      </c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>
        <v>450</v>
      </c>
      <c r="KY25" s="4"/>
      <c r="KZ25" s="4"/>
      <c r="LA25" s="4"/>
      <c r="LB25" s="4"/>
      <c r="LC25" s="4"/>
      <c r="LD25" s="4"/>
      <c r="LE25" s="4">
        <v>304</v>
      </c>
      <c r="LF25" s="4"/>
      <c r="LG25" s="4"/>
      <c r="LH25" s="4"/>
      <c r="LI25" s="4"/>
      <c r="LJ25" s="4"/>
      <c r="LK25" s="4"/>
    </row>
    <row r="26">
      <c r="A26" s="3" t="s">
        <v>136</v>
      </c>
      <c r="B26" s="3" t="s">
        <v>164</v>
      </c>
      <c r="C26" s="3" t="s">
        <v>138</v>
      </c>
      <c r="D26" s="3" t="s">
        <v>139</v>
      </c>
      <c r="E26" s="3" t="s">
        <v>165</v>
      </c>
      <c r="F26" s="3" t="s">
        <v>165</v>
      </c>
      <c r="G26" s="3" t="s">
        <v>165</v>
      </c>
      <c r="H26" s="3" t="s">
        <v>141</v>
      </c>
      <c r="I26" s="4">
        <v>7843</v>
      </c>
      <c r="J26" s="4">
        <f>=ROUNDDOWN(8.33297917552061,0)</f>
      </c>
      <c r="K26" s="4">
        <v>19812</v>
      </c>
      <c r="L26" s="5">
        <v>0.9971</v>
      </c>
      <c r="M26" s="4"/>
      <c r="N26" s="4">
        <f>=ROUNDDOWN({0},0)</f>
      </c>
      <c r="O26" s="4"/>
      <c r="P26" s="5"/>
      <c r="Q26" s="4">
        <v>9359</v>
      </c>
      <c r="R26" s="6">
        <v>358474.28</v>
      </c>
      <c r="S26" s="4">
        <v>4134</v>
      </c>
      <c r="T26" s="6">
        <v>152497.19</v>
      </c>
      <c r="U26" s="5">
        <v>1.2639</v>
      </c>
      <c r="V26" s="5">
        <v>1.3507</v>
      </c>
      <c r="W26" s="4">
        <v>576</v>
      </c>
      <c r="X26" s="6">
        <v>21530.04</v>
      </c>
      <c r="Y26" s="4">
        <v>584</v>
      </c>
      <c r="Z26" s="6">
        <v>21826.36</v>
      </c>
      <c r="AA26" s="5">
        <v>-0.0137</v>
      </c>
      <c r="AB26" s="5">
        <v>-0.0136</v>
      </c>
      <c r="AC26" s="4">
        <v>5373</v>
      </c>
      <c r="AD26" s="6">
        <v>213783.01</v>
      </c>
      <c r="AE26" s="4">
        <v>60</v>
      </c>
      <c r="AF26" s="6">
        <v>2407.36</v>
      </c>
      <c r="AG26" s="5">
        <v>88.55</v>
      </c>
      <c r="AH26" s="5">
        <v>87.8039</v>
      </c>
      <c r="AI26" s="4"/>
      <c r="AJ26" s="6"/>
      <c r="AK26" s="4"/>
      <c r="AL26" s="6"/>
      <c r="AM26" s="5"/>
      <c r="AN26" s="5"/>
      <c r="AO26" s="4">
        <v>595</v>
      </c>
      <c r="AP26" s="6">
        <v>22552.25</v>
      </c>
      <c r="AQ26" s="4"/>
      <c r="AR26" s="6"/>
      <c r="AS26" s="5"/>
      <c r="AT26" s="5"/>
      <c r="AU26" s="4">
        <v>542</v>
      </c>
      <c r="AV26" s="6">
        <v>19794.72</v>
      </c>
      <c r="AW26" s="4">
        <v>518</v>
      </c>
      <c r="AX26" s="6">
        <v>19024</v>
      </c>
      <c r="AY26" s="5">
        <v>0.0463</v>
      </c>
      <c r="AZ26" s="5">
        <v>0.0405</v>
      </c>
      <c r="BA26" s="4">
        <v>78</v>
      </c>
      <c r="BB26" s="6">
        <v>3088.38</v>
      </c>
      <c r="BC26" s="4">
        <v>141</v>
      </c>
      <c r="BD26" s="6">
        <v>5591.53</v>
      </c>
      <c r="BE26" s="5">
        <v>-0.4468</v>
      </c>
      <c r="BF26" s="5">
        <v>-0.4477</v>
      </c>
      <c r="BG26" s="4">
        <v>369</v>
      </c>
      <c r="BH26" s="6">
        <v>13030.94</v>
      </c>
      <c r="BI26" s="4">
        <v>515</v>
      </c>
      <c r="BJ26" s="6">
        <v>18419.55</v>
      </c>
      <c r="BK26" s="5">
        <v>-0.2835</v>
      </c>
      <c r="BL26" s="5">
        <v>-0.2925</v>
      </c>
      <c r="BM26" s="4">
        <v>209</v>
      </c>
      <c r="BN26" s="6">
        <v>7121.29</v>
      </c>
      <c r="BO26" s="4">
        <v>35</v>
      </c>
      <c r="BP26" s="6">
        <v>1278.37</v>
      </c>
      <c r="BQ26" s="5">
        <v>4.9714</v>
      </c>
      <c r="BR26" s="5">
        <v>4.5706</v>
      </c>
      <c r="BS26" s="4">
        <v>986</v>
      </c>
      <c r="BT26" s="6">
        <v>36125.48</v>
      </c>
      <c r="BU26" s="4">
        <v>1695</v>
      </c>
      <c r="BV26" s="6">
        <v>61993.68</v>
      </c>
      <c r="BW26" s="5">
        <v>-0.4183</v>
      </c>
      <c r="BX26" s="5">
        <v>-0.4173</v>
      </c>
      <c r="BY26" s="4">
        <v>21</v>
      </c>
      <c r="BZ26" s="6">
        <v>826.58</v>
      </c>
      <c r="CA26" s="4">
        <v>77</v>
      </c>
      <c r="CB26" s="6">
        <v>2891.11</v>
      </c>
      <c r="CC26" s="5">
        <v>-0.7273</v>
      </c>
      <c r="CD26" s="5">
        <v>-0.7141</v>
      </c>
      <c r="CE26" s="4">
        <v>47</v>
      </c>
      <c r="CF26" s="6">
        <v>1743.06</v>
      </c>
      <c r="CG26" s="4"/>
      <c r="CH26" s="6"/>
      <c r="CI26" s="5"/>
      <c r="CJ26" s="5"/>
      <c r="CK26" s="4">
        <v>256</v>
      </c>
      <c r="CL26" s="6">
        <v>8850.57</v>
      </c>
      <c r="CM26" s="4">
        <v>155</v>
      </c>
      <c r="CN26" s="6">
        <v>5310.44</v>
      </c>
      <c r="CO26" s="5">
        <v>0.6516</v>
      </c>
      <c r="CP26" s="5">
        <v>0.6666</v>
      </c>
      <c r="CQ26" s="4">
        <v>90</v>
      </c>
      <c r="CR26" s="6">
        <v>3084.18</v>
      </c>
      <c r="CS26" s="4"/>
      <c r="CT26" s="6"/>
      <c r="CU26" s="5"/>
      <c r="CV26" s="5"/>
      <c r="CW26" s="4">
        <v>23</v>
      </c>
      <c r="CX26" s="6">
        <v>794.5</v>
      </c>
      <c r="CY26" s="4">
        <v>61</v>
      </c>
      <c r="CZ26" s="6">
        <v>2125.07</v>
      </c>
      <c r="DA26" s="5">
        <v>-0.623</v>
      </c>
      <c r="DB26" s="5">
        <v>-0.6261</v>
      </c>
      <c r="DC26" s="4">
        <v>152</v>
      </c>
      <c r="DD26" s="6">
        <v>4473.43</v>
      </c>
      <c r="DE26" s="4">
        <v>60</v>
      </c>
      <c r="DF26" s="6">
        <v>2140.02</v>
      </c>
      <c r="DG26" s="5">
        <v>1.5333</v>
      </c>
      <c r="DH26" s="5">
        <v>1.0904</v>
      </c>
      <c r="DI26" s="4">
        <v>8</v>
      </c>
      <c r="DJ26" s="6">
        <v>435.62</v>
      </c>
      <c r="DK26" s="4">
        <v>13</v>
      </c>
      <c r="DL26" s="6">
        <v>875.87</v>
      </c>
      <c r="DM26" s="5">
        <v>-0.3846</v>
      </c>
      <c r="DN26" s="5">
        <v>-0.5026</v>
      </c>
      <c r="DO26" s="4"/>
      <c r="DP26" s="6"/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>
        <v>13</v>
      </c>
      <c r="ET26" s="6">
        <v>508.53</v>
      </c>
      <c r="EU26" s="4">
        <v>2</v>
      </c>
      <c r="EV26" s="6">
        <v>84.26</v>
      </c>
      <c r="EW26" s="5">
        <v>5.5</v>
      </c>
      <c r="EX26" s="5">
        <v>5.0352</v>
      </c>
      <c r="EY26" s="4"/>
      <c r="EZ26" s="6"/>
      <c r="FA26" s="4"/>
      <c r="FB26" s="6"/>
      <c r="FC26" s="5"/>
      <c r="FD26" s="5"/>
      <c r="FE26" s="4">
        <v>21</v>
      </c>
      <c r="FF26" s="6">
        <v>731.7</v>
      </c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>
        <v>174</v>
      </c>
      <c r="FT26" s="6">
        <v>7013.01</v>
      </c>
      <c r="FU26" s="5"/>
      <c r="FV26" s="5"/>
      <c r="FW26" s="4"/>
      <c r="FX26" s="6"/>
      <c r="FY26" s="4">
        <v>44</v>
      </c>
      <c r="FZ26" s="6">
        <v>1516.56</v>
      </c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/>
      <c r="HZ26" s="6"/>
      <c r="IA26" s="4"/>
      <c r="IB26" s="6"/>
      <c r="IC26" s="5"/>
      <c r="ID26" s="5"/>
      <c r="IE26" s="4"/>
      <c r="IF26" s="6"/>
      <c r="IG26" s="4"/>
      <c r="IH26" s="6"/>
      <c r="II26" s="5"/>
      <c r="IJ26" s="5"/>
      <c r="IK26" s="4"/>
      <c r="IL26" s="6"/>
      <c r="IM26" s="4"/>
      <c r="IN26" s="6"/>
      <c r="IO26" s="5"/>
      <c r="IP26" s="5"/>
      <c r="IQ26" s="4"/>
      <c r="IR26" s="6"/>
      <c r="IS26" s="4"/>
      <c r="IT26" s="6"/>
      <c r="IU26" s="5"/>
      <c r="IV26" s="5"/>
      <c r="IW26" s="4"/>
      <c r="IX26" s="6"/>
      <c r="IY26" s="4"/>
      <c r="IZ26" s="6"/>
      <c r="JA26" s="5"/>
      <c r="JB26" s="5"/>
      <c r="JC26" s="4"/>
      <c r="JD26" s="6"/>
      <c r="JE26" s="4"/>
      <c r="JF26" s="6"/>
      <c r="JG26" s="5"/>
      <c r="JH26" s="5"/>
      <c r="JI26" s="4">
        <v>7843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>
        <v>1140</v>
      </c>
      <c r="KE26" s="4"/>
      <c r="KF26" s="4">
        <v>1736</v>
      </c>
      <c r="KG26" s="4"/>
      <c r="KH26" s="4">
        <v>792</v>
      </c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>
        <v>3400</v>
      </c>
      <c r="KZ26" s="4">
        <v>184</v>
      </c>
      <c r="LA26" s="4"/>
      <c r="LB26" s="4">
        <v>2970</v>
      </c>
      <c r="LC26" s="4"/>
      <c r="LD26" s="4"/>
      <c r="LE26" s="4"/>
      <c r="LF26" s="4"/>
      <c r="LG26" s="4">
        <v>9590</v>
      </c>
      <c r="LH26" s="4"/>
      <c r="LI26" s="4"/>
      <c r="LJ26" s="4"/>
      <c r="LK26" s="4"/>
    </row>
    <row r="27">
      <c r="A27" s="3" t="s">
        <v>136</v>
      </c>
      <c r="B27" s="3" t="s">
        <v>164</v>
      </c>
      <c r="C27" s="3" t="s">
        <v>138</v>
      </c>
      <c r="D27" s="3" t="s">
        <v>139</v>
      </c>
      <c r="E27" s="3" t="s">
        <v>142</v>
      </c>
      <c r="F27" s="3" t="s">
        <v>142</v>
      </c>
      <c r="G27" s="3" t="s">
        <v>142</v>
      </c>
      <c r="H27" s="3" t="s">
        <v>141</v>
      </c>
      <c r="I27" s="4">
        <v>17875</v>
      </c>
      <c r="J27" s="4">
        <f>=ROUNDDOWN(19.9854651162791,0)</f>
      </c>
      <c r="K27" s="4">
        <v>12997</v>
      </c>
      <c r="L27" s="5">
        <v>1</v>
      </c>
      <c r="M27" s="4"/>
      <c r="N27" s="4">
        <f>=ROUNDDOWN({0},0)</f>
      </c>
      <c r="O27" s="4"/>
      <c r="P27" s="5"/>
      <c r="Q27" s="4">
        <v>7680</v>
      </c>
      <c r="R27" s="6">
        <v>262836.79</v>
      </c>
      <c r="S27" s="4">
        <v>9301</v>
      </c>
      <c r="T27" s="6">
        <v>317026.79</v>
      </c>
      <c r="U27" s="5">
        <v>-0.1743</v>
      </c>
      <c r="V27" s="5">
        <v>-0.1709</v>
      </c>
      <c r="W27" s="4">
        <v>1399</v>
      </c>
      <c r="X27" s="6">
        <v>46646.99</v>
      </c>
      <c r="Y27" s="4">
        <v>2425</v>
      </c>
      <c r="Z27" s="6">
        <v>81043.7</v>
      </c>
      <c r="AA27" s="5">
        <v>-0.4231</v>
      </c>
      <c r="AB27" s="5">
        <v>-0.4244</v>
      </c>
      <c r="AC27" s="4">
        <v>1020</v>
      </c>
      <c r="AD27" s="6">
        <v>37452.85</v>
      </c>
      <c r="AE27" s="4">
        <v>176</v>
      </c>
      <c r="AF27" s="6">
        <v>6514.59</v>
      </c>
      <c r="AG27" s="5">
        <v>4.7955</v>
      </c>
      <c r="AH27" s="5">
        <v>4.7491</v>
      </c>
      <c r="AI27" s="4"/>
      <c r="AJ27" s="6"/>
      <c r="AK27" s="4"/>
      <c r="AL27" s="6"/>
      <c r="AM27" s="5"/>
      <c r="AN27" s="5"/>
      <c r="AO27" s="4">
        <v>556</v>
      </c>
      <c r="AP27" s="6">
        <v>19780.31</v>
      </c>
      <c r="AQ27" s="4">
        <v>255</v>
      </c>
      <c r="AR27" s="6">
        <v>8992.61</v>
      </c>
      <c r="AS27" s="5">
        <v>1.1804</v>
      </c>
      <c r="AT27" s="5">
        <v>1.1996</v>
      </c>
      <c r="AU27" s="4">
        <v>1455</v>
      </c>
      <c r="AV27" s="6">
        <v>50510.85</v>
      </c>
      <c r="AW27" s="4">
        <v>1578</v>
      </c>
      <c r="AX27" s="6">
        <v>54732.75</v>
      </c>
      <c r="AY27" s="5">
        <v>-0.0779</v>
      </c>
      <c r="AZ27" s="5">
        <v>-0.0771</v>
      </c>
      <c r="BA27" s="4">
        <v>236</v>
      </c>
      <c r="BB27" s="6">
        <v>8912.58</v>
      </c>
      <c r="BC27" s="4">
        <v>325</v>
      </c>
      <c r="BD27" s="6">
        <v>12204.85</v>
      </c>
      <c r="BE27" s="5">
        <v>-0.2738</v>
      </c>
      <c r="BF27" s="5">
        <v>-0.2698</v>
      </c>
      <c r="BG27" s="4">
        <v>758</v>
      </c>
      <c r="BH27" s="6">
        <v>25097.31</v>
      </c>
      <c r="BI27" s="4">
        <v>1017</v>
      </c>
      <c r="BJ27" s="6">
        <v>34218.61</v>
      </c>
      <c r="BK27" s="5">
        <v>-0.2547</v>
      </c>
      <c r="BL27" s="5">
        <v>-0.2666</v>
      </c>
      <c r="BM27" s="4">
        <v>735</v>
      </c>
      <c r="BN27" s="6">
        <v>23003.61</v>
      </c>
      <c r="BO27" s="4">
        <v>245</v>
      </c>
      <c r="BP27" s="6">
        <v>8233.97</v>
      </c>
      <c r="BQ27" s="5">
        <v>2</v>
      </c>
      <c r="BR27" s="5">
        <v>1.7937</v>
      </c>
      <c r="BS27" s="4">
        <v>202</v>
      </c>
      <c r="BT27" s="6">
        <v>7001.33</v>
      </c>
      <c r="BU27" s="4">
        <v>419</v>
      </c>
      <c r="BV27" s="6">
        <v>14536.27</v>
      </c>
      <c r="BW27" s="5">
        <v>-0.5179</v>
      </c>
      <c r="BX27" s="5">
        <v>-0.5184</v>
      </c>
      <c r="BY27" s="4">
        <v>181</v>
      </c>
      <c r="BZ27" s="6">
        <v>6233.28</v>
      </c>
      <c r="CA27" s="4">
        <v>1086</v>
      </c>
      <c r="CB27" s="6">
        <v>37364.5</v>
      </c>
      <c r="CC27" s="5">
        <v>-0.8333</v>
      </c>
      <c r="CD27" s="5">
        <v>-0.8332</v>
      </c>
      <c r="CE27" s="4">
        <v>116</v>
      </c>
      <c r="CF27" s="6">
        <v>4179.1</v>
      </c>
      <c r="CG27" s="4">
        <v>16</v>
      </c>
      <c r="CH27" s="6">
        <v>563.84</v>
      </c>
      <c r="CI27" s="5">
        <v>6.25</v>
      </c>
      <c r="CJ27" s="5">
        <v>6.4119</v>
      </c>
      <c r="CK27" s="4">
        <v>613</v>
      </c>
      <c r="CL27" s="6">
        <v>20421.07</v>
      </c>
      <c r="CM27" s="4">
        <v>246</v>
      </c>
      <c r="CN27" s="6">
        <v>8174.76</v>
      </c>
      <c r="CO27" s="5">
        <v>1.4919</v>
      </c>
      <c r="CP27" s="5">
        <v>1.4981</v>
      </c>
      <c r="CQ27" s="4">
        <v>207</v>
      </c>
      <c r="CR27" s="6">
        <v>6820.77</v>
      </c>
      <c r="CS27" s="4">
        <v>1033</v>
      </c>
      <c r="CT27" s="6">
        <v>33763.49</v>
      </c>
      <c r="CU27" s="5">
        <v>-0.7996</v>
      </c>
      <c r="CV27" s="5">
        <v>-0.798</v>
      </c>
      <c r="CW27" s="4">
        <v>96</v>
      </c>
      <c r="CX27" s="6">
        <v>2915.35</v>
      </c>
      <c r="CY27" s="4">
        <v>78</v>
      </c>
      <c r="CZ27" s="6">
        <v>2386.02</v>
      </c>
      <c r="DA27" s="5">
        <v>0.2308</v>
      </c>
      <c r="DB27" s="5">
        <v>0.2218</v>
      </c>
      <c r="DC27" s="4"/>
      <c r="DD27" s="6"/>
      <c r="DE27" s="4"/>
      <c r="DF27" s="6"/>
      <c r="DG27" s="5"/>
      <c r="DH27" s="5"/>
      <c r="DI27" s="4">
        <v>13</v>
      </c>
      <c r="DJ27" s="6">
        <v>718.48</v>
      </c>
      <c r="DK27" s="4">
        <v>2</v>
      </c>
      <c r="DL27" s="6">
        <v>119.98</v>
      </c>
      <c r="DM27" s="5">
        <v>5.5</v>
      </c>
      <c r="DN27" s="5">
        <v>4.9883</v>
      </c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>
        <v>31</v>
      </c>
      <c r="EB27" s="6">
        <v>1018.77</v>
      </c>
      <c r="EC27" s="4">
        <v>25</v>
      </c>
      <c r="ED27" s="6">
        <v>813.53</v>
      </c>
      <c r="EE27" s="5">
        <v>0.24</v>
      </c>
      <c r="EF27" s="5">
        <v>0.2523</v>
      </c>
      <c r="EG27" s="4">
        <v>37</v>
      </c>
      <c r="EH27" s="6">
        <v>1291.97</v>
      </c>
      <c r="EI27" s="4">
        <v>36</v>
      </c>
      <c r="EJ27" s="6">
        <v>1271.16</v>
      </c>
      <c r="EK27" s="5">
        <v>0.0278</v>
      </c>
      <c r="EL27" s="5">
        <v>0.0164</v>
      </c>
      <c r="EM27" s="4"/>
      <c r="EN27" s="6"/>
      <c r="EO27" s="4"/>
      <c r="EP27" s="6"/>
      <c r="EQ27" s="5"/>
      <c r="ER27" s="5"/>
      <c r="ES27" s="4">
        <v>3</v>
      </c>
      <c r="ET27" s="6">
        <v>104.87</v>
      </c>
      <c r="EU27" s="4">
        <v>5</v>
      </c>
      <c r="EV27" s="6">
        <v>196.6</v>
      </c>
      <c r="EW27" s="5">
        <v>-0.4</v>
      </c>
      <c r="EX27" s="5">
        <v>-0.4666</v>
      </c>
      <c r="EY27" s="4"/>
      <c r="EZ27" s="6"/>
      <c r="FA27" s="4"/>
      <c r="FB27" s="6"/>
      <c r="FC27" s="5"/>
      <c r="FD27" s="5"/>
      <c r="FE27" s="4">
        <v>20</v>
      </c>
      <c r="FF27" s="6">
        <v>652.28</v>
      </c>
      <c r="FG27" s="4"/>
      <c r="FH27" s="6"/>
      <c r="FI27" s="5"/>
      <c r="FJ27" s="5"/>
      <c r="FK27" s="4">
        <v>2</v>
      </c>
      <c r="FL27" s="6">
        <v>75.02</v>
      </c>
      <c r="FM27" s="4"/>
      <c r="FN27" s="6"/>
      <c r="FO27" s="5"/>
      <c r="FP27" s="5"/>
      <c r="FQ27" s="4"/>
      <c r="FR27" s="6"/>
      <c r="FS27" s="4">
        <v>193</v>
      </c>
      <c r="FT27" s="6">
        <v>7170.39</v>
      </c>
      <c r="FU27" s="5"/>
      <c r="FV27" s="5"/>
      <c r="FW27" s="4"/>
      <c r="FX27" s="6"/>
      <c r="FY27" s="4">
        <v>120</v>
      </c>
      <c r="FZ27" s="6">
        <v>3992.86</v>
      </c>
      <c r="GA27" s="5"/>
      <c r="GB27" s="5"/>
      <c r="GC27" s="4"/>
      <c r="GD27" s="6"/>
      <c r="GE27" s="4">
        <v>21</v>
      </c>
      <c r="GF27" s="6">
        <v>732.31</v>
      </c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/>
      <c r="HZ27" s="6"/>
      <c r="IA27" s="4"/>
      <c r="IB27" s="6"/>
      <c r="IC27" s="5"/>
      <c r="ID27" s="5"/>
      <c r="IE27" s="4"/>
      <c r="IF27" s="6"/>
      <c r="IG27" s="4"/>
      <c r="IH27" s="6"/>
      <c r="II27" s="5"/>
      <c r="IJ27" s="5"/>
      <c r="IK27" s="4"/>
      <c r="IL27" s="6"/>
      <c r="IM27" s="4"/>
      <c r="IN27" s="6"/>
      <c r="IO27" s="5"/>
      <c r="IP27" s="5"/>
      <c r="IQ27" s="4"/>
      <c r="IR27" s="6"/>
      <c r="IS27" s="4"/>
      <c r="IT27" s="6"/>
      <c r="IU27" s="5"/>
      <c r="IV27" s="5"/>
      <c r="IW27" s="4"/>
      <c r="IX27" s="6"/>
      <c r="IY27" s="4"/>
      <c r="IZ27" s="6"/>
      <c r="JA27" s="5"/>
      <c r="JB27" s="5"/>
      <c r="JC27" s="4"/>
      <c r="JD27" s="6"/>
      <c r="JE27" s="4"/>
      <c r="JF27" s="6"/>
      <c r="JG27" s="5"/>
      <c r="JH27" s="5"/>
      <c r="JI27" s="4">
        <v>16578</v>
      </c>
      <c r="JJ27" s="4"/>
      <c r="JK27" s="4"/>
      <c r="JL27" s="4"/>
      <c r="JM27" s="4"/>
      <c r="JN27" s="4"/>
      <c r="JO27" s="4"/>
      <c r="JP27" s="4">
        <v>1297</v>
      </c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>
        <v>3602</v>
      </c>
      <c r="KB27" s="4"/>
      <c r="KC27" s="4">
        <v>121</v>
      </c>
      <c r="KD27" s="4"/>
      <c r="KE27" s="4"/>
      <c r="KF27" s="4">
        <v>1086</v>
      </c>
      <c r="KG27" s="4"/>
      <c r="KH27" s="4">
        <v>3250</v>
      </c>
      <c r="KI27" s="4"/>
      <c r="KJ27" s="4"/>
      <c r="KK27" s="4"/>
      <c r="KL27" s="4"/>
      <c r="KM27" s="4"/>
      <c r="KN27" s="4"/>
      <c r="KO27" s="4"/>
      <c r="KP27" s="4">
        <v>298</v>
      </c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>
        <v>4200</v>
      </c>
      <c r="LF27" s="4"/>
      <c r="LG27" s="4"/>
      <c r="LH27" s="4"/>
      <c r="LI27" s="4"/>
      <c r="LJ27" s="4"/>
      <c r="LK27" s="4">
        <v>440</v>
      </c>
    </row>
    <row r="28">
      <c r="A28" s="3" t="s">
        <v>136</v>
      </c>
      <c r="B28" s="3" t="s">
        <v>164</v>
      </c>
      <c r="C28" s="3" t="s">
        <v>138</v>
      </c>
      <c r="D28" s="3" t="s">
        <v>139</v>
      </c>
      <c r="E28" s="3" t="s">
        <v>166</v>
      </c>
      <c r="F28" s="3" t="s">
        <v>166</v>
      </c>
      <c r="G28" s="3" t="s">
        <v>166</v>
      </c>
      <c r="H28" s="3" t="s">
        <v>167</v>
      </c>
      <c r="I28" s="4">
        <v>853</v>
      </c>
      <c r="J28" s="4">
        <f>=ROUNDDOWN(2.43366619115549,0)</f>
      </c>
      <c r="K28" s="4">
        <v>2463</v>
      </c>
      <c r="L28" s="5">
        <v>0.6969</v>
      </c>
      <c r="M28" s="4"/>
      <c r="N28" s="4">
        <f>=ROUNDDOWN({0},0)</f>
      </c>
      <c r="O28" s="4"/>
      <c r="P28" s="5"/>
      <c r="Q28" s="4">
        <v>2299</v>
      </c>
      <c r="R28" s="6">
        <v>71911.71</v>
      </c>
      <c r="S28" s="4">
        <v>931</v>
      </c>
      <c r="T28" s="6">
        <v>29976.64</v>
      </c>
      <c r="U28" s="5">
        <v>1.4694</v>
      </c>
      <c r="V28" s="5">
        <v>1.3989</v>
      </c>
      <c r="W28" s="4">
        <v>1391</v>
      </c>
      <c r="X28" s="6">
        <v>43345.45</v>
      </c>
      <c r="Y28" s="4">
        <v>363</v>
      </c>
      <c r="Z28" s="6">
        <v>11434.71</v>
      </c>
      <c r="AA28" s="5">
        <v>2.832</v>
      </c>
      <c r="AB28" s="5">
        <v>2.7907</v>
      </c>
      <c r="AC28" s="4">
        <v>49</v>
      </c>
      <c r="AD28" s="6">
        <v>1485.9</v>
      </c>
      <c r="AE28" s="4">
        <v>9</v>
      </c>
      <c r="AF28" s="6">
        <v>274.34</v>
      </c>
      <c r="AG28" s="5">
        <v>4.4444</v>
      </c>
      <c r="AH28" s="5">
        <v>4.4163</v>
      </c>
      <c r="AI28" s="4"/>
      <c r="AJ28" s="6"/>
      <c r="AK28" s="4"/>
      <c r="AL28" s="6"/>
      <c r="AM28" s="5"/>
      <c r="AN28" s="5"/>
      <c r="AO28" s="4">
        <v>95</v>
      </c>
      <c r="AP28" s="6">
        <v>2909.16</v>
      </c>
      <c r="AQ28" s="4"/>
      <c r="AR28" s="6"/>
      <c r="AS28" s="5"/>
      <c r="AT28" s="5"/>
      <c r="AU28" s="4">
        <v>76</v>
      </c>
      <c r="AV28" s="6">
        <v>2380.66</v>
      </c>
      <c r="AW28" s="4">
        <v>126</v>
      </c>
      <c r="AX28" s="6">
        <v>4049.64</v>
      </c>
      <c r="AY28" s="5">
        <v>-0.3968</v>
      </c>
      <c r="AZ28" s="5">
        <v>-0.4121</v>
      </c>
      <c r="BA28" s="4">
        <v>172</v>
      </c>
      <c r="BB28" s="6">
        <v>5455.89</v>
      </c>
      <c r="BC28" s="4">
        <v>86</v>
      </c>
      <c r="BD28" s="6">
        <v>2997.1</v>
      </c>
      <c r="BE28" s="5">
        <v>1</v>
      </c>
      <c r="BF28" s="5">
        <v>0.8204</v>
      </c>
      <c r="BG28" s="4">
        <v>117</v>
      </c>
      <c r="BH28" s="6">
        <v>3378.41</v>
      </c>
      <c r="BI28" s="4">
        <v>56</v>
      </c>
      <c r="BJ28" s="6">
        <v>1757.28</v>
      </c>
      <c r="BK28" s="5">
        <v>1.0893</v>
      </c>
      <c r="BL28" s="5">
        <v>0.9225</v>
      </c>
      <c r="BM28" s="4">
        <v>91</v>
      </c>
      <c r="BN28" s="6">
        <v>2535.54</v>
      </c>
      <c r="BO28" s="4">
        <v>11</v>
      </c>
      <c r="BP28" s="6">
        <v>341.44</v>
      </c>
      <c r="BQ28" s="5">
        <v>7.2727</v>
      </c>
      <c r="BR28" s="5">
        <v>6.426</v>
      </c>
      <c r="BS28" s="4">
        <v>95</v>
      </c>
      <c r="BT28" s="6">
        <v>3320.9</v>
      </c>
      <c r="BU28" s="4">
        <v>52</v>
      </c>
      <c r="BV28" s="6">
        <v>1686.76</v>
      </c>
      <c r="BW28" s="5">
        <v>0.8269</v>
      </c>
      <c r="BX28" s="5">
        <v>0.9688</v>
      </c>
      <c r="BY28" s="4">
        <v>123</v>
      </c>
      <c r="BZ28" s="6">
        <v>3764.9</v>
      </c>
      <c r="CA28" s="4">
        <v>46</v>
      </c>
      <c r="CB28" s="6">
        <v>1464.27</v>
      </c>
      <c r="CC28" s="5">
        <v>1.6739</v>
      </c>
      <c r="CD28" s="5">
        <v>1.5712</v>
      </c>
      <c r="CE28" s="4">
        <v>27</v>
      </c>
      <c r="CF28" s="6">
        <v>964.75</v>
      </c>
      <c r="CG28" s="4">
        <v>31</v>
      </c>
      <c r="CH28" s="6">
        <v>1082.74</v>
      </c>
      <c r="CI28" s="5">
        <v>-0.129</v>
      </c>
      <c r="CJ28" s="5">
        <v>-0.109</v>
      </c>
      <c r="CK28" s="4">
        <v>14</v>
      </c>
      <c r="CL28" s="6">
        <v>436.73</v>
      </c>
      <c r="CM28" s="4">
        <v>19</v>
      </c>
      <c r="CN28" s="6">
        <v>567.58</v>
      </c>
      <c r="CO28" s="5">
        <v>-0.2632</v>
      </c>
      <c r="CP28" s="5">
        <v>-0.2305</v>
      </c>
      <c r="CQ28" s="4">
        <v>3</v>
      </c>
      <c r="CR28" s="6">
        <v>90.48</v>
      </c>
      <c r="CS28" s="4">
        <v>36</v>
      </c>
      <c r="CT28" s="6">
        <v>1114.29</v>
      </c>
      <c r="CU28" s="5">
        <v>-0.9167</v>
      </c>
      <c r="CV28" s="5">
        <v>-0.9188</v>
      </c>
      <c r="CW28" s="4"/>
      <c r="CX28" s="6"/>
      <c r="CY28" s="4"/>
      <c r="CZ28" s="6"/>
      <c r="DA28" s="5"/>
      <c r="DB28" s="5"/>
      <c r="DC28" s="4">
        <v>30</v>
      </c>
      <c r="DD28" s="6">
        <v>933</v>
      </c>
      <c r="DE28" s="4">
        <v>30</v>
      </c>
      <c r="DF28" s="6">
        <v>1008.6</v>
      </c>
      <c r="DG28" s="5"/>
      <c r="DH28" s="5">
        <v>-0.075</v>
      </c>
      <c r="DI28" s="4">
        <v>16</v>
      </c>
      <c r="DJ28" s="6">
        <v>909.94</v>
      </c>
      <c r="DK28" s="4">
        <v>1</v>
      </c>
      <c r="DL28" s="6">
        <v>62.99</v>
      </c>
      <c r="DM28" s="5">
        <v>15</v>
      </c>
      <c r="DN28" s="5">
        <v>13.4458</v>
      </c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>
        <v>52</v>
      </c>
      <c r="FT28" s="6">
        <v>1729.71</v>
      </c>
      <c r="FU28" s="5"/>
      <c r="FV28" s="5"/>
      <c r="FW28" s="4"/>
      <c r="FX28" s="6"/>
      <c r="FY28" s="4">
        <v>13</v>
      </c>
      <c r="FZ28" s="6">
        <v>405.19</v>
      </c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6"/>
      <c r="IA28" s="4"/>
      <c r="IB28" s="6"/>
      <c r="IC28" s="5"/>
      <c r="ID28" s="5"/>
      <c r="IE28" s="4"/>
      <c r="IF28" s="6"/>
      <c r="IG28" s="4"/>
      <c r="IH28" s="6"/>
      <c r="II28" s="5"/>
      <c r="IJ28" s="5"/>
      <c r="IK28" s="4"/>
      <c r="IL28" s="6"/>
      <c r="IM28" s="4"/>
      <c r="IN28" s="6"/>
      <c r="IO28" s="5"/>
      <c r="IP28" s="5"/>
      <c r="IQ28" s="4"/>
      <c r="IR28" s="6"/>
      <c r="IS28" s="4"/>
      <c r="IT28" s="6"/>
      <c r="IU28" s="5"/>
      <c r="IV28" s="5"/>
      <c r="IW28" s="4"/>
      <c r="IX28" s="6"/>
      <c r="IY28" s="4"/>
      <c r="IZ28" s="6"/>
      <c r="JA28" s="5"/>
      <c r="JB28" s="5"/>
      <c r="JC28" s="4"/>
      <c r="JD28" s="6"/>
      <c r="JE28" s="4"/>
      <c r="JF28" s="6"/>
      <c r="JG28" s="5"/>
      <c r="JH28" s="5"/>
      <c r="JI28" s="4">
        <v>853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>
        <v>2463</v>
      </c>
      <c r="LD28" s="4"/>
      <c r="LE28" s="4"/>
      <c r="LF28" s="4"/>
      <c r="LG28" s="4"/>
      <c r="LH28" s="4"/>
      <c r="LI28" s="4"/>
      <c r="LJ28" s="4"/>
      <c r="LK28" s="4"/>
    </row>
    <row r="29">
      <c r="A29" s="3" t="s">
        <v>136</v>
      </c>
      <c r="B29" s="3" t="s">
        <v>164</v>
      </c>
      <c r="C29" s="3" t="s">
        <v>138</v>
      </c>
      <c r="D29" s="3" t="s">
        <v>139</v>
      </c>
      <c r="E29" s="3" t="s">
        <v>168</v>
      </c>
      <c r="F29" s="3" t="s">
        <v>168</v>
      </c>
      <c r="G29" s="3" t="s">
        <v>168</v>
      </c>
      <c r="H29" s="3" t="s">
        <v>141</v>
      </c>
      <c r="I29" s="4">
        <v>2084</v>
      </c>
      <c r="J29" s="4">
        <f>=ROUNDDOWN(25.352798053528,0)</f>
      </c>
      <c r="K29" s="4"/>
      <c r="L29" s="5"/>
      <c r="M29" s="4"/>
      <c r="N29" s="4">
        <f>=ROUNDDOWN({0},0)</f>
      </c>
      <c r="O29" s="4"/>
      <c r="P29" s="5"/>
      <c r="Q29" s="4">
        <v>876</v>
      </c>
      <c r="R29" s="6">
        <v>31191.54</v>
      </c>
      <c r="S29" s="4">
        <v>993</v>
      </c>
      <c r="T29" s="6">
        <v>35496.25</v>
      </c>
      <c r="U29" s="5">
        <v>-0.1178</v>
      </c>
      <c r="V29" s="5">
        <v>-0.1213</v>
      </c>
      <c r="W29" s="4">
        <v>151</v>
      </c>
      <c r="X29" s="6">
        <v>5397.07</v>
      </c>
      <c r="Y29" s="4">
        <v>135</v>
      </c>
      <c r="Z29" s="6">
        <v>4953.62</v>
      </c>
      <c r="AA29" s="5">
        <v>0.1185</v>
      </c>
      <c r="AB29" s="5">
        <v>0.0895</v>
      </c>
      <c r="AC29" s="4">
        <v>97</v>
      </c>
      <c r="AD29" s="6">
        <v>3782.89</v>
      </c>
      <c r="AE29" s="4">
        <v>7</v>
      </c>
      <c r="AF29" s="6">
        <v>288.5</v>
      </c>
      <c r="AG29" s="5">
        <v>12.8571</v>
      </c>
      <c r="AH29" s="5">
        <v>12.1123</v>
      </c>
      <c r="AI29" s="4"/>
      <c r="AJ29" s="6"/>
      <c r="AK29" s="4"/>
      <c r="AL29" s="6"/>
      <c r="AM29" s="5"/>
      <c r="AN29" s="5"/>
      <c r="AO29" s="4"/>
      <c r="AP29" s="6"/>
      <c r="AQ29" s="4"/>
      <c r="AR29" s="6"/>
      <c r="AS29" s="5"/>
      <c r="AT29" s="5"/>
      <c r="AU29" s="4">
        <v>411</v>
      </c>
      <c r="AV29" s="6">
        <v>14569.64</v>
      </c>
      <c r="AW29" s="4">
        <v>538</v>
      </c>
      <c r="AX29" s="6">
        <v>19273.14</v>
      </c>
      <c r="AY29" s="5">
        <v>-0.2361</v>
      </c>
      <c r="AZ29" s="5">
        <v>-0.244</v>
      </c>
      <c r="BA29" s="4"/>
      <c r="BB29" s="6"/>
      <c r="BC29" s="4"/>
      <c r="BD29" s="6"/>
      <c r="BE29" s="5"/>
      <c r="BF29" s="5"/>
      <c r="BG29" s="4">
        <v>50</v>
      </c>
      <c r="BH29" s="6">
        <v>1788.74</v>
      </c>
      <c r="BI29" s="4">
        <v>20</v>
      </c>
      <c r="BJ29" s="6">
        <v>699.8</v>
      </c>
      <c r="BK29" s="5">
        <v>1.5</v>
      </c>
      <c r="BL29" s="5">
        <v>1.5561</v>
      </c>
      <c r="BM29" s="4">
        <v>12</v>
      </c>
      <c r="BN29" s="6">
        <v>376.51</v>
      </c>
      <c r="BO29" s="4">
        <v>4</v>
      </c>
      <c r="BP29" s="6">
        <v>126.79</v>
      </c>
      <c r="BQ29" s="5">
        <v>2</v>
      </c>
      <c r="BR29" s="5">
        <v>1.9696</v>
      </c>
      <c r="BS29" s="4">
        <v>54</v>
      </c>
      <c r="BT29" s="6">
        <v>1895.96</v>
      </c>
      <c r="BU29" s="4">
        <v>129</v>
      </c>
      <c r="BV29" s="6">
        <v>4594.88</v>
      </c>
      <c r="BW29" s="5">
        <v>-0.5814</v>
      </c>
      <c r="BX29" s="5">
        <v>-0.5874</v>
      </c>
      <c r="BY29" s="4">
        <v>9</v>
      </c>
      <c r="BZ29" s="6">
        <v>312.43</v>
      </c>
      <c r="CA29" s="4">
        <v>55</v>
      </c>
      <c r="CB29" s="6">
        <v>1885.88</v>
      </c>
      <c r="CC29" s="5">
        <v>-0.8364</v>
      </c>
      <c r="CD29" s="5">
        <v>-0.8343</v>
      </c>
      <c r="CE29" s="4"/>
      <c r="CF29" s="6"/>
      <c r="CG29" s="4"/>
      <c r="CH29" s="6"/>
      <c r="CI29" s="5"/>
      <c r="CJ29" s="5"/>
      <c r="CK29" s="4">
        <v>37</v>
      </c>
      <c r="CL29" s="6">
        <v>1245.04</v>
      </c>
      <c r="CM29" s="4">
        <v>22</v>
      </c>
      <c r="CN29" s="6">
        <v>730.76</v>
      </c>
      <c r="CO29" s="5">
        <v>0.6818</v>
      </c>
      <c r="CP29" s="5">
        <v>0.7038</v>
      </c>
      <c r="CQ29" s="4">
        <v>22</v>
      </c>
      <c r="CR29" s="6">
        <v>738.96</v>
      </c>
      <c r="CS29" s="4"/>
      <c r="CT29" s="6"/>
      <c r="CU29" s="5"/>
      <c r="CV29" s="5"/>
      <c r="CW29" s="4"/>
      <c r="CX29" s="6"/>
      <c r="CY29" s="4"/>
      <c r="CZ29" s="6"/>
      <c r="DA29" s="5"/>
      <c r="DB29" s="5"/>
      <c r="DC29" s="4">
        <v>31</v>
      </c>
      <c r="DD29" s="6">
        <v>974.82</v>
      </c>
      <c r="DE29" s="4">
        <v>18</v>
      </c>
      <c r="DF29" s="6">
        <v>657.42</v>
      </c>
      <c r="DG29" s="5">
        <v>0.7222</v>
      </c>
      <c r="DH29" s="5">
        <v>0.4828</v>
      </c>
      <c r="DI29" s="4">
        <v>2</v>
      </c>
      <c r="DJ29" s="6">
        <v>109.48</v>
      </c>
      <c r="DK29" s="4">
        <v>6</v>
      </c>
      <c r="DL29" s="6">
        <v>206.94</v>
      </c>
      <c r="DM29" s="5">
        <v>-0.6667</v>
      </c>
      <c r="DN29" s="5">
        <v>-0.471</v>
      </c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>
        <v>47</v>
      </c>
      <c r="FT29" s="6">
        <v>1677.72</v>
      </c>
      <c r="FU29" s="5"/>
      <c r="FV29" s="5"/>
      <c r="FW29" s="4"/>
      <c r="FX29" s="6"/>
      <c r="FY29" s="4">
        <v>12</v>
      </c>
      <c r="FZ29" s="6">
        <v>400.8</v>
      </c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6"/>
      <c r="IA29" s="4"/>
      <c r="IB29" s="6"/>
      <c r="IC29" s="5"/>
      <c r="ID29" s="5"/>
      <c r="IE29" s="4"/>
      <c r="IF29" s="6"/>
      <c r="IG29" s="4"/>
      <c r="IH29" s="6"/>
      <c r="II29" s="5"/>
      <c r="IJ29" s="5"/>
      <c r="IK29" s="4"/>
      <c r="IL29" s="6"/>
      <c r="IM29" s="4"/>
      <c r="IN29" s="6"/>
      <c r="IO29" s="5"/>
      <c r="IP29" s="5"/>
      <c r="IQ29" s="4"/>
      <c r="IR29" s="6"/>
      <c r="IS29" s="4"/>
      <c r="IT29" s="6"/>
      <c r="IU29" s="5"/>
      <c r="IV29" s="5"/>
      <c r="IW29" s="4"/>
      <c r="IX29" s="6"/>
      <c r="IY29" s="4"/>
      <c r="IZ29" s="6"/>
      <c r="JA29" s="5"/>
      <c r="JB29" s="5"/>
      <c r="JC29" s="4"/>
      <c r="JD29" s="6"/>
      <c r="JE29" s="4"/>
      <c r="JF29" s="6"/>
      <c r="JG29" s="5"/>
      <c r="JH29" s="5"/>
      <c r="JI29" s="4">
        <v>2083</v>
      </c>
      <c r="JJ29" s="4">
        <v>1</v>
      </c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</row>
    <row r="30">
      <c r="A30" s="3" t="s">
        <v>136</v>
      </c>
      <c r="B30" s="3" t="s">
        <v>164</v>
      </c>
      <c r="C30" s="3" t="s">
        <v>138</v>
      </c>
      <c r="D30" s="3" t="s">
        <v>139</v>
      </c>
      <c r="E30" s="3" t="s">
        <v>169</v>
      </c>
      <c r="F30" s="3" t="s">
        <v>169</v>
      </c>
      <c r="G30" s="3" t="s">
        <v>169</v>
      </c>
      <c r="H30" s="3" t="s">
        <v>143</v>
      </c>
      <c r="I30" s="4">
        <v>691</v>
      </c>
      <c r="J30" s="4">
        <f>=ROUNDDOWN(10.2674591381872,0)</f>
      </c>
      <c r="K30" s="4">
        <v>2528</v>
      </c>
      <c r="L30" s="5"/>
      <c r="M30" s="4"/>
      <c r="N30" s="4">
        <f>=ROUNDDOWN({0},0)</f>
      </c>
      <c r="O30" s="4"/>
      <c r="P30" s="5"/>
      <c r="Q30" s="4">
        <v>632</v>
      </c>
      <c r="R30" s="6">
        <v>26584.95</v>
      </c>
      <c r="S30" s="4">
        <v>706</v>
      </c>
      <c r="T30" s="6">
        <v>28185.01</v>
      </c>
      <c r="U30" s="5">
        <v>-0.1048</v>
      </c>
      <c r="V30" s="5">
        <v>-0.0568</v>
      </c>
      <c r="W30" s="4">
        <v>147</v>
      </c>
      <c r="X30" s="6">
        <v>6076.73</v>
      </c>
      <c r="Y30" s="4">
        <v>131</v>
      </c>
      <c r="Z30" s="6">
        <v>5294.69</v>
      </c>
      <c r="AA30" s="5">
        <v>0.1221</v>
      </c>
      <c r="AB30" s="5">
        <v>0.1477</v>
      </c>
      <c r="AC30" s="4">
        <v>203</v>
      </c>
      <c r="AD30" s="6">
        <v>9178.47</v>
      </c>
      <c r="AE30" s="4">
        <v>26</v>
      </c>
      <c r="AF30" s="6">
        <v>1169.08</v>
      </c>
      <c r="AG30" s="5">
        <v>6.8077</v>
      </c>
      <c r="AH30" s="5">
        <v>6.851</v>
      </c>
      <c r="AI30" s="4"/>
      <c r="AJ30" s="6"/>
      <c r="AK30" s="4"/>
      <c r="AL30" s="6"/>
      <c r="AM30" s="5"/>
      <c r="AN30" s="5"/>
      <c r="AO30" s="4"/>
      <c r="AP30" s="6"/>
      <c r="AQ30" s="4"/>
      <c r="AR30" s="6"/>
      <c r="AS30" s="5"/>
      <c r="AT30" s="5"/>
      <c r="AU30" s="4">
        <v>108</v>
      </c>
      <c r="AV30" s="6">
        <v>4404.56</v>
      </c>
      <c r="AW30" s="4">
        <v>149</v>
      </c>
      <c r="AX30" s="6">
        <v>6016.38</v>
      </c>
      <c r="AY30" s="5">
        <v>-0.2752</v>
      </c>
      <c r="AZ30" s="5">
        <v>-0.2679</v>
      </c>
      <c r="BA30" s="4"/>
      <c r="BB30" s="6"/>
      <c r="BC30" s="4"/>
      <c r="BD30" s="6"/>
      <c r="BE30" s="5"/>
      <c r="BF30" s="5"/>
      <c r="BG30" s="4">
        <v>10</v>
      </c>
      <c r="BH30" s="6">
        <v>389.16</v>
      </c>
      <c r="BI30" s="4">
        <v>29</v>
      </c>
      <c r="BJ30" s="6">
        <v>1105.72</v>
      </c>
      <c r="BK30" s="5">
        <v>-0.6552</v>
      </c>
      <c r="BL30" s="5">
        <v>-0.648</v>
      </c>
      <c r="BM30" s="4">
        <v>42</v>
      </c>
      <c r="BN30" s="6">
        <v>1519.77</v>
      </c>
      <c r="BO30" s="4">
        <v>81</v>
      </c>
      <c r="BP30" s="6">
        <v>2824.68</v>
      </c>
      <c r="BQ30" s="5">
        <v>-0.4815</v>
      </c>
      <c r="BR30" s="5">
        <v>-0.462</v>
      </c>
      <c r="BS30" s="4">
        <v>11</v>
      </c>
      <c r="BT30" s="6">
        <v>442.45</v>
      </c>
      <c r="BU30" s="4">
        <v>71</v>
      </c>
      <c r="BV30" s="6">
        <v>2815.01</v>
      </c>
      <c r="BW30" s="5">
        <v>-0.8451</v>
      </c>
      <c r="BX30" s="5">
        <v>-0.8428</v>
      </c>
      <c r="BY30" s="4">
        <v>24</v>
      </c>
      <c r="BZ30" s="6">
        <v>1091.81</v>
      </c>
      <c r="CA30" s="4">
        <v>75</v>
      </c>
      <c r="CB30" s="6">
        <v>3025.8</v>
      </c>
      <c r="CC30" s="5">
        <v>-0.68</v>
      </c>
      <c r="CD30" s="5">
        <v>-0.6392</v>
      </c>
      <c r="CE30" s="4"/>
      <c r="CF30" s="6"/>
      <c r="CG30" s="4"/>
      <c r="CH30" s="6"/>
      <c r="CI30" s="5"/>
      <c r="CJ30" s="5"/>
      <c r="CK30" s="4">
        <v>65</v>
      </c>
      <c r="CL30" s="6">
        <v>2577.74</v>
      </c>
      <c r="CM30" s="4">
        <v>76</v>
      </c>
      <c r="CN30" s="6">
        <v>2966.25</v>
      </c>
      <c r="CO30" s="5">
        <v>-0.1447</v>
      </c>
      <c r="CP30" s="5">
        <v>-0.131</v>
      </c>
      <c r="CQ30" s="4">
        <v>7</v>
      </c>
      <c r="CR30" s="6">
        <v>277.84</v>
      </c>
      <c r="CS30" s="4"/>
      <c r="CT30" s="6"/>
      <c r="CU30" s="5"/>
      <c r="CV30" s="5"/>
      <c r="CW30" s="4">
        <v>10</v>
      </c>
      <c r="CX30" s="6">
        <v>397.32</v>
      </c>
      <c r="CY30" s="4">
        <v>17</v>
      </c>
      <c r="CZ30" s="6">
        <v>661.3</v>
      </c>
      <c r="DA30" s="5">
        <v>-0.4118</v>
      </c>
      <c r="DB30" s="5">
        <v>-0.3992</v>
      </c>
      <c r="DC30" s="4"/>
      <c r="DD30" s="6"/>
      <c r="DE30" s="4"/>
      <c r="DF30" s="6"/>
      <c r="DG30" s="5"/>
      <c r="DH30" s="5"/>
      <c r="DI30" s="4">
        <v>3</v>
      </c>
      <c r="DJ30" s="6">
        <v>137.47</v>
      </c>
      <c r="DK30" s="4">
        <v>3</v>
      </c>
      <c r="DL30" s="6">
        <v>187.47</v>
      </c>
      <c r="DM30" s="5"/>
      <c r="DN30" s="5">
        <v>-0.2667</v>
      </c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>
        <v>2</v>
      </c>
      <c r="ET30" s="6">
        <v>91.63</v>
      </c>
      <c r="EU30" s="4">
        <v>1</v>
      </c>
      <c r="EV30" s="6">
        <v>41.07</v>
      </c>
      <c r="EW30" s="5">
        <v>1</v>
      </c>
      <c r="EX30" s="5">
        <v>1.2311</v>
      </c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>
        <v>1</v>
      </c>
      <c r="FN30" s="6">
        <v>38.9</v>
      </c>
      <c r="FO30" s="5"/>
      <c r="FP30" s="5"/>
      <c r="FQ30" s="4"/>
      <c r="FR30" s="6"/>
      <c r="FS30" s="4">
        <v>39</v>
      </c>
      <c r="FT30" s="6">
        <v>1760.82</v>
      </c>
      <c r="FU30" s="5"/>
      <c r="FV30" s="5"/>
      <c r="FW30" s="4"/>
      <c r="FX30" s="6"/>
      <c r="FY30" s="4">
        <v>7</v>
      </c>
      <c r="FZ30" s="6">
        <v>277.84</v>
      </c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6"/>
      <c r="IA30" s="4"/>
      <c r="IB30" s="6"/>
      <c r="IC30" s="5"/>
      <c r="ID30" s="5"/>
      <c r="IE30" s="4"/>
      <c r="IF30" s="6"/>
      <c r="IG30" s="4"/>
      <c r="IH30" s="6"/>
      <c r="II30" s="5"/>
      <c r="IJ30" s="5"/>
      <c r="IK30" s="4"/>
      <c r="IL30" s="6"/>
      <c r="IM30" s="4"/>
      <c r="IN30" s="6"/>
      <c r="IO30" s="5"/>
      <c r="IP30" s="5"/>
      <c r="IQ30" s="4"/>
      <c r="IR30" s="6"/>
      <c r="IS30" s="4"/>
      <c r="IT30" s="6"/>
      <c r="IU30" s="5"/>
      <c r="IV30" s="5"/>
      <c r="IW30" s="4"/>
      <c r="IX30" s="6"/>
      <c r="IY30" s="4"/>
      <c r="IZ30" s="6"/>
      <c r="JA30" s="5"/>
      <c r="JB30" s="5"/>
      <c r="JC30" s="4"/>
      <c r="JD30" s="6"/>
      <c r="JE30" s="4"/>
      <c r="JF30" s="6"/>
      <c r="JG30" s="5"/>
      <c r="JH30" s="5"/>
      <c r="JI30" s="4">
        <v>659</v>
      </c>
      <c r="JJ30" s="4">
        <v>32</v>
      </c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>
        <v>900</v>
      </c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>
        <v>1628</v>
      </c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</row>
    <row r="31">
      <c r="A31" s="3" t="s">
        <v>136</v>
      </c>
      <c r="B31" s="3" t="s">
        <v>164</v>
      </c>
      <c r="C31" s="3" t="s">
        <v>138</v>
      </c>
      <c r="D31" s="3" t="s">
        <v>139</v>
      </c>
      <c r="E31" s="3" t="s">
        <v>170</v>
      </c>
      <c r="F31" s="3" t="s">
        <v>170</v>
      </c>
      <c r="G31" s="3" t="s">
        <v>170</v>
      </c>
      <c r="H31" s="3" t="s">
        <v>171</v>
      </c>
      <c r="I31" s="4">
        <v>1162</v>
      </c>
      <c r="J31" s="4">
        <f>=ROUNDDOWN(30.3394255874674,0)</f>
      </c>
      <c r="K31" s="4"/>
      <c r="L31" s="5"/>
      <c r="M31" s="4"/>
      <c r="N31" s="4">
        <f>=ROUNDDOWN({0},0)</f>
      </c>
      <c r="O31" s="4"/>
      <c r="P31" s="5"/>
      <c r="Q31" s="4">
        <v>204</v>
      </c>
      <c r="R31" s="6">
        <v>6237.98</v>
      </c>
      <c r="S31" s="4">
        <v>27</v>
      </c>
      <c r="T31" s="6">
        <v>933.34</v>
      </c>
      <c r="U31" s="5">
        <v>6.5556</v>
      </c>
      <c r="V31" s="5">
        <v>5.6835</v>
      </c>
      <c r="W31" s="4">
        <v>6</v>
      </c>
      <c r="X31" s="6">
        <v>205.29</v>
      </c>
      <c r="Y31" s="4"/>
      <c r="Z31" s="6"/>
      <c r="AA31" s="5"/>
      <c r="AB31" s="5"/>
      <c r="AC31" s="4">
        <v>45</v>
      </c>
      <c r="AD31" s="6">
        <v>1379.34</v>
      </c>
      <c r="AE31" s="4">
        <v>4</v>
      </c>
      <c r="AF31" s="6">
        <v>136.86</v>
      </c>
      <c r="AG31" s="5">
        <v>10.25</v>
      </c>
      <c r="AH31" s="5">
        <v>9.0785</v>
      </c>
      <c r="AI31" s="4"/>
      <c r="AJ31" s="6"/>
      <c r="AK31" s="4"/>
      <c r="AL31" s="6"/>
      <c r="AM31" s="5"/>
      <c r="AN31" s="5"/>
      <c r="AO31" s="4">
        <v>34</v>
      </c>
      <c r="AP31" s="6">
        <v>1122.43</v>
      </c>
      <c r="AQ31" s="4"/>
      <c r="AR31" s="6"/>
      <c r="AS31" s="5"/>
      <c r="AT31" s="5"/>
      <c r="AU31" s="4">
        <v>12</v>
      </c>
      <c r="AV31" s="6">
        <v>393.54</v>
      </c>
      <c r="AW31" s="4"/>
      <c r="AX31" s="6"/>
      <c r="AY31" s="5"/>
      <c r="AZ31" s="5"/>
      <c r="BA31" s="4">
        <v>18</v>
      </c>
      <c r="BB31" s="6">
        <v>574.95</v>
      </c>
      <c r="BC31" s="4">
        <v>11</v>
      </c>
      <c r="BD31" s="6">
        <v>381.33</v>
      </c>
      <c r="BE31" s="5">
        <v>0.6364</v>
      </c>
      <c r="BF31" s="5">
        <v>0.5077</v>
      </c>
      <c r="BG31" s="4">
        <v>14</v>
      </c>
      <c r="BH31" s="6">
        <v>472.46</v>
      </c>
      <c r="BI31" s="4">
        <v>11</v>
      </c>
      <c r="BJ31" s="6">
        <v>367.03</v>
      </c>
      <c r="BK31" s="5">
        <v>0.2727</v>
      </c>
      <c r="BL31" s="5">
        <v>0.2873</v>
      </c>
      <c r="BM31" s="4">
        <v>26</v>
      </c>
      <c r="BN31" s="6">
        <v>549.53</v>
      </c>
      <c r="BO31" s="4"/>
      <c r="BP31" s="6"/>
      <c r="BQ31" s="5"/>
      <c r="BR31" s="5"/>
      <c r="BS31" s="4">
        <v>13</v>
      </c>
      <c r="BT31" s="6">
        <v>406.02</v>
      </c>
      <c r="BU31" s="4"/>
      <c r="BV31" s="6"/>
      <c r="BW31" s="5"/>
      <c r="BX31" s="5"/>
      <c r="BY31" s="4">
        <v>26</v>
      </c>
      <c r="BZ31" s="6">
        <v>865.42</v>
      </c>
      <c r="CA31" s="4">
        <v>1</v>
      </c>
      <c r="CB31" s="6">
        <v>48.12</v>
      </c>
      <c r="CC31" s="5">
        <v>25</v>
      </c>
      <c r="CD31" s="5">
        <v>16.9846</v>
      </c>
      <c r="CE31" s="4">
        <v>5</v>
      </c>
      <c r="CF31" s="6">
        <v>161.11</v>
      </c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/>
      <c r="CR31" s="6"/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>
        <v>3</v>
      </c>
      <c r="DD31" s="6">
        <v>47.91</v>
      </c>
      <c r="DE31" s="4"/>
      <c r="DF31" s="6"/>
      <c r="DG31" s="5"/>
      <c r="DH31" s="5"/>
      <c r="DI31" s="4">
        <v>2</v>
      </c>
      <c r="DJ31" s="6">
        <v>59.98</v>
      </c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6"/>
      <c r="IA31" s="4"/>
      <c r="IB31" s="6"/>
      <c r="IC31" s="5"/>
      <c r="ID31" s="5"/>
      <c r="IE31" s="4"/>
      <c r="IF31" s="6"/>
      <c r="IG31" s="4"/>
      <c r="IH31" s="6"/>
      <c r="II31" s="5"/>
      <c r="IJ31" s="5"/>
      <c r="IK31" s="4"/>
      <c r="IL31" s="6"/>
      <c r="IM31" s="4"/>
      <c r="IN31" s="6"/>
      <c r="IO31" s="5"/>
      <c r="IP31" s="5"/>
      <c r="IQ31" s="4"/>
      <c r="IR31" s="6"/>
      <c r="IS31" s="4"/>
      <c r="IT31" s="6"/>
      <c r="IU31" s="5"/>
      <c r="IV31" s="5"/>
      <c r="IW31" s="4"/>
      <c r="IX31" s="6"/>
      <c r="IY31" s="4"/>
      <c r="IZ31" s="6"/>
      <c r="JA31" s="5"/>
      <c r="JB31" s="5"/>
      <c r="JC31" s="4"/>
      <c r="JD31" s="6"/>
      <c r="JE31" s="4"/>
      <c r="JF31" s="6"/>
      <c r="JG31" s="5"/>
      <c r="JH31" s="5"/>
      <c r="JI31" s="4">
        <v>1162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</row>
    <row r="32">
      <c r="A32" s="3" t="s">
        <v>136</v>
      </c>
      <c r="B32" s="3" t="s">
        <v>172</v>
      </c>
      <c r="C32" s="3" t="s">
        <v>138</v>
      </c>
      <c r="D32" s="3" t="s">
        <v>139</v>
      </c>
      <c r="E32" s="3" t="s">
        <v>173</v>
      </c>
      <c r="F32" s="3" t="s">
        <v>173</v>
      </c>
      <c r="G32" s="3" t="s">
        <v>173</v>
      </c>
      <c r="H32" s="3" t="s">
        <v>167</v>
      </c>
      <c r="I32" s="4">
        <v>5494</v>
      </c>
      <c r="J32" s="4">
        <f>=ROUNDDOWN(1.16756986505154,0)</f>
      </c>
      <c r="K32" s="4">
        <v>42703</v>
      </c>
      <c r="L32" s="5">
        <v>0.5491</v>
      </c>
      <c r="M32" s="4"/>
      <c r="N32" s="4">
        <f>=ROUNDDOWN({0},0)</f>
      </c>
      <c r="O32" s="4"/>
      <c r="P32" s="5"/>
      <c r="Q32" s="4">
        <v>7612</v>
      </c>
      <c r="R32" s="6">
        <v>169999.58</v>
      </c>
      <c r="S32" s="4">
        <v>12400</v>
      </c>
      <c r="T32" s="6">
        <v>295302.14</v>
      </c>
      <c r="U32" s="5">
        <v>-0.3861</v>
      </c>
      <c r="V32" s="5">
        <v>-0.4243</v>
      </c>
      <c r="W32" s="4">
        <v>1265</v>
      </c>
      <c r="X32" s="6">
        <v>29902.34</v>
      </c>
      <c r="Y32" s="4">
        <v>2410</v>
      </c>
      <c r="Z32" s="6">
        <v>61440.78</v>
      </c>
      <c r="AA32" s="5">
        <v>-0.4751</v>
      </c>
      <c r="AB32" s="5">
        <v>-0.5133</v>
      </c>
      <c r="AC32" s="4">
        <v>116</v>
      </c>
      <c r="AD32" s="6">
        <v>2787.37</v>
      </c>
      <c r="AE32" s="4">
        <v>105</v>
      </c>
      <c r="AF32" s="6">
        <v>2868.9</v>
      </c>
      <c r="AG32" s="5">
        <v>0.1048</v>
      </c>
      <c r="AH32" s="5">
        <v>-0.0284</v>
      </c>
      <c r="AI32" s="4">
        <v>3</v>
      </c>
      <c r="AJ32" s="6">
        <v>28.7</v>
      </c>
      <c r="AK32" s="4"/>
      <c r="AL32" s="6"/>
      <c r="AM32" s="5"/>
      <c r="AN32" s="5"/>
      <c r="AO32" s="4">
        <v>2891</v>
      </c>
      <c r="AP32" s="6">
        <v>63008.54</v>
      </c>
      <c r="AQ32" s="4">
        <v>6117</v>
      </c>
      <c r="AR32" s="6">
        <v>137293.15</v>
      </c>
      <c r="AS32" s="5">
        <v>-0.5274</v>
      </c>
      <c r="AT32" s="5">
        <v>-0.5411</v>
      </c>
      <c r="AU32" s="4">
        <v>206</v>
      </c>
      <c r="AV32" s="6">
        <v>4738.9</v>
      </c>
      <c r="AW32" s="4">
        <v>223</v>
      </c>
      <c r="AX32" s="6">
        <v>5847.56</v>
      </c>
      <c r="AY32" s="5">
        <v>-0.0762</v>
      </c>
      <c r="AZ32" s="5">
        <v>-0.1896</v>
      </c>
      <c r="BA32" s="4">
        <v>978</v>
      </c>
      <c r="BB32" s="6">
        <v>20848.14</v>
      </c>
      <c r="BC32" s="4">
        <v>1786</v>
      </c>
      <c r="BD32" s="6">
        <v>43690.27</v>
      </c>
      <c r="BE32" s="5">
        <v>-0.4524</v>
      </c>
      <c r="BF32" s="5">
        <v>-0.5228</v>
      </c>
      <c r="BG32" s="4">
        <v>423</v>
      </c>
      <c r="BH32" s="6">
        <v>9872.99</v>
      </c>
      <c r="BI32" s="4">
        <v>338</v>
      </c>
      <c r="BJ32" s="6">
        <v>8501.23</v>
      </c>
      <c r="BK32" s="5">
        <v>0.2515</v>
      </c>
      <c r="BL32" s="5">
        <v>0.1614</v>
      </c>
      <c r="BM32" s="4">
        <v>83</v>
      </c>
      <c r="BN32" s="6">
        <v>1717.45</v>
      </c>
      <c r="BO32" s="4">
        <v>111</v>
      </c>
      <c r="BP32" s="6">
        <v>2700.08</v>
      </c>
      <c r="BQ32" s="5">
        <v>-0.2523</v>
      </c>
      <c r="BR32" s="5">
        <v>-0.3639</v>
      </c>
      <c r="BS32" s="4">
        <v>128</v>
      </c>
      <c r="BT32" s="6">
        <v>3337.36</v>
      </c>
      <c r="BU32" s="4">
        <v>252</v>
      </c>
      <c r="BV32" s="6">
        <v>6927.18</v>
      </c>
      <c r="BW32" s="5">
        <v>-0.4921</v>
      </c>
      <c r="BX32" s="5">
        <v>-0.5182</v>
      </c>
      <c r="BY32" s="4">
        <v>19</v>
      </c>
      <c r="BZ32" s="6">
        <v>425.39</v>
      </c>
      <c r="CA32" s="4">
        <v>118</v>
      </c>
      <c r="CB32" s="6">
        <v>3191.99</v>
      </c>
      <c r="CC32" s="5">
        <v>-0.839</v>
      </c>
      <c r="CD32" s="5">
        <v>-0.8667</v>
      </c>
      <c r="CE32" s="4">
        <v>1299</v>
      </c>
      <c r="CF32" s="6">
        <v>28205.42</v>
      </c>
      <c r="CG32" s="4">
        <v>433</v>
      </c>
      <c r="CH32" s="6">
        <v>10478.2</v>
      </c>
      <c r="CI32" s="5">
        <v>2</v>
      </c>
      <c r="CJ32" s="5">
        <v>1.6918</v>
      </c>
      <c r="CK32" s="4"/>
      <c r="CL32" s="6"/>
      <c r="CM32" s="4"/>
      <c r="CN32" s="6"/>
      <c r="CO32" s="5"/>
      <c r="CP32" s="5"/>
      <c r="CQ32" s="4">
        <v>16</v>
      </c>
      <c r="CR32" s="6">
        <v>315.86</v>
      </c>
      <c r="CS32" s="4">
        <v>78</v>
      </c>
      <c r="CT32" s="6">
        <v>1799.32</v>
      </c>
      <c r="CU32" s="5">
        <v>-0.7949</v>
      </c>
      <c r="CV32" s="5">
        <v>-0.8245</v>
      </c>
      <c r="CW32" s="4">
        <v>134</v>
      </c>
      <c r="CX32" s="6">
        <v>2782.37</v>
      </c>
      <c r="CY32" s="4">
        <v>250</v>
      </c>
      <c r="CZ32" s="6">
        <v>5945.25</v>
      </c>
      <c r="DA32" s="5">
        <v>-0.464</v>
      </c>
      <c r="DB32" s="5">
        <v>-0.532</v>
      </c>
      <c r="DC32" s="4"/>
      <c r="DD32" s="6"/>
      <c r="DE32" s="4"/>
      <c r="DF32" s="6"/>
      <c r="DG32" s="5"/>
      <c r="DH32" s="5"/>
      <c r="DI32" s="4">
        <v>35</v>
      </c>
      <c r="DJ32" s="6">
        <v>1605.98</v>
      </c>
      <c r="DK32" s="4">
        <v>2</v>
      </c>
      <c r="DL32" s="6">
        <v>95.68</v>
      </c>
      <c r="DM32" s="5">
        <v>16.5</v>
      </c>
      <c r="DN32" s="5">
        <v>15.7849</v>
      </c>
      <c r="DO32" s="4">
        <v>13</v>
      </c>
      <c r="DP32" s="6">
        <v>348.04</v>
      </c>
      <c r="DQ32" s="4">
        <v>17</v>
      </c>
      <c r="DR32" s="6">
        <v>436.12</v>
      </c>
      <c r="DS32" s="5">
        <v>-0.2353</v>
      </c>
      <c r="DT32" s="5">
        <v>-0.202</v>
      </c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>
        <v>1</v>
      </c>
      <c r="ET32" s="6">
        <v>21.46</v>
      </c>
      <c r="EU32" s="4">
        <v>3</v>
      </c>
      <c r="EV32" s="6">
        <v>74.08</v>
      </c>
      <c r="EW32" s="5">
        <v>-0.6667</v>
      </c>
      <c r="EX32" s="5">
        <v>-0.7103</v>
      </c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>
        <v>2</v>
      </c>
      <c r="FL32" s="6">
        <v>53.27</v>
      </c>
      <c r="FM32" s="4"/>
      <c r="FN32" s="6"/>
      <c r="FO32" s="5"/>
      <c r="FP32" s="5"/>
      <c r="FQ32" s="4"/>
      <c r="FR32" s="6"/>
      <c r="FS32" s="4">
        <v>111</v>
      </c>
      <c r="FT32" s="6">
        <v>2870.72</v>
      </c>
      <c r="FU32" s="5"/>
      <c r="FV32" s="5"/>
      <c r="FW32" s="4"/>
      <c r="FX32" s="6"/>
      <c r="FY32" s="4">
        <v>46</v>
      </c>
      <c r="FZ32" s="6">
        <v>1141.63</v>
      </c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6"/>
      <c r="IA32" s="4"/>
      <c r="IB32" s="6"/>
      <c r="IC32" s="5"/>
      <c r="ID32" s="5"/>
      <c r="IE32" s="4"/>
      <c r="IF32" s="6"/>
      <c r="IG32" s="4"/>
      <c r="IH32" s="6"/>
      <c r="II32" s="5"/>
      <c r="IJ32" s="5"/>
      <c r="IK32" s="4"/>
      <c r="IL32" s="6"/>
      <c r="IM32" s="4"/>
      <c r="IN32" s="6"/>
      <c r="IO32" s="5"/>
      <c r="IP32" s="5"/>
      <c r="IQ32" s="4"/>
      <c r="IR32" s="6"/>
      <c r="IS32" s="4"/>
      <c r="IT32" s="6"/>
      <c r="IU32" s="5"/>
      <c r="IV32" s="5"/>
      <c r="IW32" s="4"/>
      <c r="IX32" s="6"/>
      <c r="IY32" s="4"/>
      <c r="IZ32" s="6"/>
      <c r="JA32" s="5"/>
      <c r="JB32" s="5"/>
      <c r="JC32" s="4"/>
      <c r="JD32" s="6"/>
      <c r="JE32" s="4"/>
      <c r="JF32" s="6"/>
      <c r="JG32" s="5"/>
      <c r="JH32" s="5"/>
      <c r="JI32" s="4">
        <v>5494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>
        <v>42703</v>
      </c>
      <c r="LD32" s="4"/>
      <c r="LE32" s="4"/>
      <c r="LF32" s="4"/>
      <c r="LG32" s="4"/>
      <c r="LH32" s="4"/>
      <c r="LI32" s="4"/>
      <c r="LJ32" s="4"/>
      <c r="LK32" s="4"/>
    </row>
    <row r="33">
      <c r="A33" s="3" t="s">
        <v>136</v>
      </c>
      <c r="B33" s="3" t="s">
        <v>172</v>
      </c>
      <c r="C33" s="3" t="s">
        <v>138</v>
      </c>
      <c r="D33" s="3" t="s">
        <v>139</v>
      </c>
      <c r="E33" s="3" t="s">
        <v>174</v>
      </c>
      <c r="F33" s="3" t="s">
        <v>174</v>
      </c>
      <c r="G33" s="3" t="s">
        <v>174</v>
      </c>
      <c r="H33" s="3" t="s">
        <v>175</v>
      </c>
      <c r="I33" s="4">
        <v>2879</v>
      </c>
      <c r="J33" s="4">
        <f>=ROUNDDOWN(2.06765297328354,0)</f>
      </c>
      <c r="K33" s="4">
        <v>9790</v>
      </c>
      <c r="L33" s="5">
        <v>0.7448</v>
      </c>
      <c r="M33" s="4"/>
      <c r="N33" s="4">
        <f>=ROUNDDOWN({0},0)</f>
      </c>
      <c r="O33" s="4"/>
      <c r="P33" s="5"/>
      <c r="Q33" s="4">
        <v>3733</v>
      </c>
      <c r="R33" s="6">
        <v>113506.51</v>
      </c>
      <c r="S33" s="4">
        <v>6570</v>
      </c>
      <c r="T33" s="6">
        <v>201881.48</v>
      </c>
      <c r="U33" s="5">
        <v>-0.4318</v>
      </c>
      <c r="V33" s="5">
        <v>-0.4378</v>
      </c>
      <c r="W33" s="4">
        <v>570</v>
      </c>
      <c r="X33" s="6">
        <v>17586.99</v>
      </c>
      <c r="Y33" s="4">
        <v>596</v>
      </c>
      <c r="Z33" s="6">
        <v>18963.42</v>
      </c>
      <c r="AA33" s="5">
        <v>-0.0436</v>
      </c>
      <c r="AB33" s="5">
        <v>-0.0726</v>
      </c>
      <c r="AC33" s="4">
        <v>115</v>
      </c>
      <c r="AD33" s="6">
        <v>3605.23</v>
      </c>
      <c r="AE33" s="4">
        <v>52</v>
      </c>
      <c r="AF33" s="6">
        <v>1601.34</v>
      </c>
      <c r="AG33" s="5">
        <v>1.2115</v>
      </c>
      <c r="AH33" s="5">
        <v>1.2514</v>
      </c>
      <c r="AI33" s="4"/>
      <c r="AJ33" s="6"/>
      <c r="AK33" s="4"/>
      <c r="AL33" s="6"/>
      <c r="AM33" s="5"/>
      <c r="AN33" s="5"/>
      <c r="AO33" s="4">
        <v>1419</v>
      </c>
      <c r="AP33" s="6">
        <v>41809.4</v>
      </c>
      <c r="AQ33" s="4">
        <v>3387</v>
      </c>
      <c r="AR33" s="6">
        <v>102433.91</v>
      </c>
      <c r="AS33" s="5">
        <v>-0.581</v>
      </c>
      <c r="AT33" s="5">
        <v>-0.5918</v>
      </c>
      <c r="AU33" s="4">
        <v>125</v>
      </c>
      <c r="AV33" s="6">
        <v>4014.11</v>
      </c>
      <c r="AW33" s="4">
        <v>345</v>
      </c>
      <c r="AX33" s="6">
        <v>11044.3</v>
      </c>
      <c r="AY33" s="5">
        <v>-0.6377</v>
      </c>
      <c r="AZ33" s="5">
        <v>-0.6365</v>
      </c>
      <c r="BA33" s="4">
        <v>161</v>
      </c>
      <c r="BB33" s="6">
        <v>4935.93</v>
      </c>
      <c r="BC33" s="4">
        <v>180</v>
      </c>
      <c r="BD33" s="6">
        <v>4942.66</v>
      </c>
      <c r="BE33" s="5">
        <v>-0.1056</v>
      </c>
      <c r="BF33" s="5">
        <v>-0.0014</v>
      </c>
      <c r="BG33" s="4">
        <v>964</v>
      </c>
      <c r="BH33" s="6">
        <v>29922.06</v>
      </c>
      <c r="BI33" s="4">
        <v>1206</v>
      </c>
      <c r="BJ33" s="6">
        <v>37360.51</v>
      </c>
      <c r="BK33" s="5">
        <v>-0.2007</v>
      </c>
      <c r="BL33" s="5">
        <v>-0.1991</v>
      </c>
      <c r="BM33" s="4">
        <v>92</v>
      </c>
      <c r="BN33" s="6">
        <v>2456.06</v>
      </c>
      <c r="BO33" s="4">
        <v>59</v>
      </c>
      <c r="BP33" s="6">
        <v>1628.33</v>
      </c>
      <c r="BQ33" s="5">
        <v>0.5593</v>
      </c>
      <c r="BR33" s="5">
        <v>0.5083</v>
      </c>
      <c r="BS33" s="4">
        <v>28</v>
      </c>
      <c r="BT33" s="6">
        <v>881.89</v>
      </c>
      <c r="BU33" s="4">
        <v>75</v>
      </c>
      <c r="BV33" s="6">
        <v>2270.51</v>
      </c>
      <c r="BW33" s="5">
        <v>-0.6267</v>
      </c>
      <c r="BX33" s="5">
        <v>-0.6116</v>
      </c>
      <c r="BY33" s="4">
        <v>6</v>
      </c>
      <c r="BZ33" s="6">
        <v>168.38</v>
      </c>
      <c r="CA33" s="4">
        <v>124</v>
      </c>
      <c r="CB33" s="6">
        <v>3770.59</v>
      </c>
      <c r="CC33" s="5">
        <v>-0.9516</v>
      </c>
      <c r="CD33" s="5">
        <v>-0.9553</v>
      </c>
      <c r="CE33" s="4">
        <v>169</v>
      </c>
      <c r="CF33" s="6">
        <v>5363.74</v>
      </c>
      <c r="CG33" s="4">
        <v>192</v>
      </c>
      <c r="CH33" s="6">
        <v>5881.5</v>
      </c>
      <c r="CI33" s="5">
        <v>-0.1198</v>
      </c>
      <c r="CJ33" s="5">
        <v>-0.088</v>
      </c>
      <c r="CK33" s="4"/>
      <c r="CL33" s="6"/>
      <c r="CM33" s="4"/>
      <c r="CN33" s="6"/>
      <c r="CO33" s="5"/>
      <c r="CP33" s="5"/>
      <c r="CQ33" s="4">
        <v>30</v>
      </c>
      <c r="CR33" s="6">
        <v>986.65</v>
      </c>
      <c r="CS33" s="4">
        <v>92</v>
      </c>
      <c r="CT33" s="6">
        <v>2989.75</v>
      </c>
      <c r="CU33" s="5">
        <v>-0.6739</v>
      </c>
      <c r="CV33" s="5">
        <v>-0.67</v>
      </c>
      <c r="CW33" s="4">
        <v>13</v>
      </c>
      <c r="CX33" s="6">
        <v>362.58</v>
      </c>
      <c r="CY33" s="4">
        <v>74</v>
      </c>
      <c r="CZ33" s="6">
        <v>2033.34</v>
      </c>
      <c r="DA33" s="5">
        <v>-0.8243</v>
      </c>
      <c r="DB33" s="5">
        <v>-0.8217</v>
      </c>
      <c r="DC33" s="4"/>
      <c r="DD33" s="6"/>
      <c r="DE33" s="4"/>
      <c r="DF33" s="6"/>
      <c r="DG33" s="5"/>
      <c r="DH33" s="5"/>
      <c r="DI33" s="4">
        <v>6</v>
      </c>
      <c r="DJ33" s="6">
        <v>327.84</v>
      </c>
      <c r="DK33" s="4">
        <v>35</v>
      </c>
      <c r="DL33" s="6">
        <v>1989.55</v>
      </c>
      <c r="DM33" s="5">
        <v>-0.8286</v>
      </c>
      <c r="DN33" s="5">
        <v>-0.8352</v>
      </c>
      <c r="DO33" s="4">
        <v>33</v>
      </c>
      <c r="DP33" s="6">
        <v>1025.74</v>
      </c>
      <c r="DQ33" s="4">
        <v>63</v>
      </c>
      <c r="DR33" s="6">
        <v>2175.32</v>
      </c>
      <c r="DS33" s="5">
        <v>-0.4762</v>
      </c>
      <c r="DT33" s="5">
        <v>-0.5285</v>
      </c>
      <c r="DU33" s="4"/>
      <c r="DV33" s="6"/>
      <c r="DW33" s="4"/>
      <c r="DX33" s="6"/>
      <c r="DY33" s="5"/>
      <c r="DZ33" s="5"/>
      <c r="EA33" s="4"/>
      <c r="EB33" s="6"/>
      <c r="EC33" s="4">
        <v>1</v>
      </c>
      <c r="ED33" s="6">
        <v>36.23</v>
      </c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>
        <v>2</v>
      </c>
      <c r="ET33" s="6">
        <v>59.91</v>
      </c>
      <c r="EU33" s="4">
        <v>1</v>
      </c>
      <c r="EV33" s="6">
        <v>25.14</v>
      </c>
      <c r="EW33" s="5">
        <v>1</v>
      </c>
      <c r="EX33" s="5">
        <v>1.3831</v>
      </c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>
        <v>2</v>
      </c>
      <c r="FN33" s="6">
        <v>68.09</v>
      </c>
      <c r="FO33" s="5"/>
      <c r="FP33" s="5"/>
      <c r="FQ33" s="4"/>
      <c r="FR33" s="6"/>
      <c r="FS33" s="4">
        <v>68</v>
      </c>
      <c r="FT33" s="6">
        <v>2120.35</v>
      </c>
      <c r="FU33" s="5"/>
      <c r="FV33" s="5"/>
      <c r="FW33" s="4"/>
      <c r="FX33" s="6"/>
      <c r="FY33" s="4">
        <v>13</v>
      </c>
      <c r="FZ33" s="6">
        <v>392.64</v>
      </c>
      <c r="GA33" s="5"/>
      <c r="GB33" s="5"/>
      <c r="GC33" s="4"/>
      <c r="GD33" s="6"/>
      <c r="GE33" s="4">
        <v>5</v>
      </c>
      <c r="GF33" s="6">
        <v>154</v>
      </c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6"/>
      <c r="IA33" s="4"/>
      <c r="IB33" s="6"/>
      <c r="IC33" s="5"/>
      <c r="ID33" s="5"/>
      <c r="IE33" s="4"/>
      <c r="IF33" s="6"/>
      <c r="IG33" s="4"/>
      <c r="IH33" s="6"/>
      <c r="II33" s="5"/>
      <c r="IJ33" s="5"/>
      <c r="IK33" s="4"/>
      <c r="IL33" s="6"/>
      <c r="IM33" s="4"/>
      <c r="IN33" s="6"/>
      <c r="IO33" s="5"/>
      <c r="IP33" s="5"/>
      <c r="IQ33" s="4"/>
      <c r="IR33" s="6"/>
      <c r="IS33" s="4"/>
      <c r="IT33" s="6"/>
      <c r="IU33" s="5"/>
      <c r="IV33" s="5"/>
      <c r="IW33" s="4"/>
      <c r="IX33" s="6"/>
      <c r="IY33" s="4"/>
      <c r="IZ33" s="6"/>
      <c r="JA33" s="5"/>
      <c r="JB33" s="5"/>
      <c r="JC33" s="4"/>
      <c r="JD33" s="6"/>
      <c r="JE33" s="4"/>
      <c r="JF33" s="6"/>
      <c r="JG33" s="5"/>
      <c r="JH33" s="5"/>
      <c r="JI33" s="4">
        <v>2879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>
        <v>9790</v>
      </c>
      <c r="LD33" s="4"/>
      <c r="LE33" s="4"/>
      <c r="LF33" s="4"/>
      <c r="LG33" s="4"/>
      <c r="LH33" s="4"/>
      <c r="LI33" s="4"/>
      <c r="LJ33" s="4"/>
      <c r="LK33" s="4"/>
    </row>
    <row r="34">
      <c r="A34" s="3" t="s">
        <v>136</v>
      </c>
      <c r="B34" s="3" t="s">
        <v>172</v>
      </c>
      <c r="C34" s="3" t="s">
        <v>138</v>
      </c>
      <c r="D34" s="3" t="s">
        <v>139</v>
      </c>
      <c r="E34" s="3" t="s">
        <v>176</v>
      </c>
      <c r="F34" s="3" t="s">
        <v>176</v>
      </c>
      <c r="G34" s="3" t="s">
        <v>176</v>
      </c>
      <c r="H34" s="3" t="s">
        <v>177</v>
      </c>
      <c r="I34" s="4">
        <v>1530</v>
      </c>
      <c r="J34" s="4">
        <f>=ROUNDDOWN(1.61443494776828,0)</f>
      </c>
      <c r="K34" s="4">
        <v>6220</v>
      </c>
      <c r="L34" s="5">
        <v>0.7709</v>
      </c>
      <c r="M34" s="4"/>
      <c r="N34" s="4">
        <f>=ROUNDDOWN({0},0)</f>
      </c>
      <c r="O34" s="4"/>
      <c r="P34" s="5"/>
      <c r="Q34" s="4">
        <v>1772</v>
      </c>
      <c r="R34" s="6">
        <v>52522.15</v>
      </c>
      <c r="S34" s="4">
        <v>3259</v>
      </c>
      <c r="T34" s="6">
        <v>98803.97</v>
      </c>
      <c r="U34" s="5">
        <v>-0.4563</v>
      </c>
      <c r="V34" s="5">
        <v>-0.4684</v>
      </c>
      <c r="W34" s="4">
        <v>125</v>
      </c>
      <c r="X34" s="6">
        <v>4004.08</v>
      </c>
      <c r="Y34" s="4">
        <v>130</v>
      </c>
      <c r="Z34" s="6">
        <v>4053.76</v>
      </c>
      <c r="AA34" s="5">
        <v>-0.0385</v>
      </c>
      <c r="AB34" s="5">
        <v>-0.0123</v>
      </c>
      <c r="AC34" s="4">
        <v>48</v>
      </c>
      <c r="AD34" s="6">
        <v>1631.97</v>
      </c>
      <c r="AE34" s="4">
        <v>46</v>
      </c>
      <c r="AF34" s="6">
        <v>1591.93</v>
      </c>
      <c r="AG34" s="5">
        <v>0.0435</v>
      </c>
      <c r="AH34" s="5">
        <v>0.0252</v>
      </c>
      <c r="AI34" s="4"/>
      <c r="AJ34" s="6"/>
      <c r="AK34" s="4"/>
      <c r="AL34" s="6"/>
      <c r="AM34" s="5"/>
      <c r="AN34" s="5"/>
      <c r="AO34" s="4">
        <v>383</v>
      </c>
      <c r="AP34" s="6">
        <v>11520.58</v>
      </c>
      <c r="AQ34" s="4">
        <v>1584</v>
      </c>
      <c r="AR34" s="6">
        <v>45509.46</v>
      </c>
      <c r="AS34" s="5">
        <v>-0.7582</v>
      </c>
      <c r="AT34" s="5">
        <v>-0.7469</v>
      </c>
      <c r="AU34" s="4">
        <v>8</v>
      </c>
      <c r="AV34" s="6">
        <v>263.68</v>
      </c>
      <c r="AW34" s="4">
        <v>16</v>
      </c>
      <c r="AX34" s="6">
        <v>534.8</v>
      </c>
      <c r="AY34" s="5">
        <v>-0.5</v>
      </c>
      <c r="AZ34" s="5">
        <v>-0.507</v>
      </c>
      <c r="BA34" s="4">
        <v>54</v>
      </c>
      <c r="BB34" s="6">
        <v>1487.81</v>
      </c>
      <c r="BC34" s="4"/>
      <c r="BD34" s="6"/>
      <c r="BE34" s="5"/>
      <c r="BF34" s="5"/>
      <c r="BG34" s="4">
        <v>478</v>
      </c>
      <c r="BH34" s="6">
        <v>14748.76</v>
      </c>
      <c r="BI34" s="4">
        <v>510</v>
      </c>
      <c r="BJ34" s="6">
        <v>16814.68</v>
      </c>
      <c r="BK34" s="5">
        <v>-0.0627</v>
      </c>
      <c r="BL34" s="5">
        <v>-0.1229</v>
      </c>
      <c r="BM34" s="4">
        <v>50</v>
      </c>
      <c r="BN34" s="6">
        <v>1422.71</v>
      </c>
      <c r="BO34" s="4">
        <v>208</v>
      </c>
      <c r="BP34" s="6">
        <v>6188.52</v>
      </c>
      <c r="BQ34" s="5">
        <v>-0.7596</v>
      </c>
      <c r="BR34" s="5">
        <v>-0.7701</v>
      </c>
      <c r="BS34" s="4">
        <v>8</v>
      </c>
      <c r="BT34" s="6">
        <v>218.06</v>
      </c>
      <c r="BU34" s="4">
        <v>7</v>
      </c>
      <c r="BV34" s="6">
        <v>203.31</v>
      </c>
      <c r="BW34" s="5">
        <v>0.1429</v>
      </c>
      <c r="BX34" s="5">
        <v>0.0725</v>
      </c>
      <c r="BY34" s="4">
        <v>51</v>
      </c>
      <c r="BZ34" s="6">
        <v>1656.47</v>
      </c>
      <c r="CA34" s="4">
        <v>239</v>
      </c>
      <c r="CB34" s="6">
        <v>7669.26</v>
      </c>
      <c r="CC34" s="5">
        <v>-0.7866</v>
      </c>
      <c r="CD34" s="5">
        <v>-0.784</v>
      </c>
      <c r="CE34" s="4">
        <v>553</v>
      </c>
      <c r="CF34" s="6">
        <v>15007.84</v>
      </c>
      <c r="CG34" s="4">
        <v>469</v>
      </c>
      <c r="CH34" s="6">
        <v>14485.28</v>
      </c>
      <c r="CI34" s="5">
        <v>0.1791</v>
      </c>
      <c r="CJ34" s="5">
        <v>0.0361</v>
      </c>
      <c r="CK34" s="4"/>
      <c r="CL34" s="6"/>
      <c r="CM34" s="4"/>
      <c r="CN34" s="6"/>
      <c r="CO34" s="5"/>
      <c r="CP34" s="5"/>
      <c r="CQ34" s="4"/>
      <c r="CR34" s="6"/>
      <c r="CS34" s="4">
        <v>2</v>
      </c>
      <c r="CT34" s="6">
        <v>66</v>
      </c>
      <c r="CU34" s="5"/>
      <c r="CV34" s="5"/>
      <c r="CW34" s="4">
        <v>4</v>
      </c>
      <c r="CX34" s="6">
        <v>110.54</v>
      </c>
      <c r="CY34" s="4">
        <v>11</v>
      </c>
      <c r="CZ34" s="6">
        <v>357.17</v>
      </c>
      <c r="DA34" s="5">
        <v>-0.6364</v>
      </c>
      <c r="DB34" s="5">
        <v>-0.6905</v>
      </c>
      <c r="DC34" s="4"/>
      <c r="DD34" s="6"/>
      <c r="DE34" s="4"/>
      <c r="DF34" s="6"/>
      <c r="DG34" s="5"/>
      <c r="DH34" s="5"/>
      <c r="DI34" s="4">
        <v>5</v>
      </c>
      <c r="DJ34" s="6">
        <v>283.89</v>
      </c>
      <c r="DK34" s="4">
        <v>5</v>
      </c>
      <c r="DL34" s="6">
        <v>234.85</v>
      </c>
      <c r="DM34" s="5"/>
      <c r="DN34" s="5">
        <v>0.2088</v>
      </c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>
        <v>4</v>
      </c>
      <c r="EB34" s="6">
        <v>125.54</v>
      </c>
      <c r="EC34" s="4">
        <v>1</v>
      </c>
      <c r="ED34" s="6">
        <v>29.77</v>
      </c>
      <c r="EE34" s="5">
        <v>3</v>
      </c>
      <c r="EF34" s="5">
        <v>3.217</v>
      </c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>
        <v>1</v>
      </c>
      <c r="ET34" s="6">
        <v>40.22</v>
      </c>
      <c r="EU34" s="4">
        <v>6</v>
      </c>
      <c r="EV34" s="6">
        <v>180.95</v>
      </c>
      <c r="EW34" s="5">
        <v>-0.8333</v>
      </c>
      <c r="EX34" s="5">
        <v>-0.7777</v>
      </c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>
        <v>23</v>
      </c>
      <c r="FT34" s="6">
        <v>818.55</v>
      </c>
      <c r="FU34" s="5"/>
      <c r="FV34" s="5"/>
      <c r="FW34" s="4"/>
      <c r="FX34" s="6"/>
      <c r="FY34" s="4">
        <v>1</v>
      </c>
      <c r="FZ34" s="6">
        <v>26.56</v>
      </c>
      <c r="GA34" s="5"/>
      <c r="GB34" s="5"/>
      <c r="GC34" s="4"/>
      <c r="GD34" s="6"/>
      <c r="GE34" s="4">
        <v>1</v>
      </c>
      <c r="GF34" s="6">
        <v>39.12</v>
      </c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6"/>
      <c r="IA34" s="4"/>
      <c r="IB34" s="6"/>
      <c r="IC34" s="5"/>
      <c r="ID34" s="5"/>
      <c r="IE34" s="4"/>
      <c r="IF34" s="6"/>
      <c r="IG34" s="4"/>
      <c r="IH34" s="6"/>
      <c r="II34" s="5"/>
      <c r="IJ34" s="5"/>
      <c r="IK34" s="4"/>
      <c r="IL34" s="6"/>
      <c r="IM34" s="4"/>
      <c r="IN34" s="6"/>
      <c r="IO34" s="5"/>
      <c r="IP34" s="5"/>
      <c r="IQ34" s="4"/>
      <c r="IR34" s="6"/>
      <c r="IS34" s="4"/>
      <c r="IT34" s="6"/>
      <c r="IU34" s="5"/>
      <c r="IV34" s="5"/>
      <c r="IW34" s="4"/>
      <c r="IX34" s="6"/>
      <c r="IY34" s="4"/>
      <c r="IZ34" s="6"/>
      <c r="JA34" s="5"/>
      <c r="JB34" s="5"/>
      <c r="JC34" s="4"/>
      <c r="JD34" s="6"/>
      <c r="JE34" s="4"/>
      <c r="JF34" s="6"/>
      <c r="JG34" s="5"/>
      <c r="JH34" s="5"/>
      <c r="JI34" s="4">
        <v>1530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>
        <v>6220</v>
      </c>
      <c r="LD34" s="4"/>
      <c r="LE34" s="4"/>
      <c r="LF34" s="4"/>
      <c r="LG34" s="4"/>
      <c r="LH34" s="4"/>
      <c r="LI34" s="4"/>
      <c r="LJ34" s="4"/>
      <c r="LK34" s="4"/>
    </row>
    <row r="35">
      <c r="A35" s="3" t="s">
        <v>136</v>
      </c>
      <c r="B35" s="3" t="s">
        <v>172</v>
      </c>
      <c r="C35" s="3" t="s">
        <v>178</v>
      </c>
      <c r="D35" s="3" t="s">
        <v>179</v>
      </c>
      <c r="E35" s="3" t="s">
        <v>180</v>
      </c>
      <c r="F35" s="3" t="s">
        <v>180</v>
      </c>
      <c r="G35" s="3" t="s">
        <v>180</v>
      </c>
      <c r="H35" s="3" t="s">
        <v>167</v>
      </c>
      <c r="I35" s="4">
        <v>379</v>
      </c>
      <c r="J35" s="4">
        <f>=ROUNDDOWN(6.09324758842444,0)</f>
      </c>
      <c r="K35" s="4"/>
      <c r="L35" s="5"/>
      <c r="M35" s="4"/>
      <c r="N35" s="4">
        <f>=ROUNDDOWN({0},0)</f>
      </c>
      <c r="O35" s="4"/>
      <c r="P35" s="5"/>
      <c r="Q35" s="4">
        <v>49</v>
      </c>
      <c r="R35" s="6">
        <v>1014.51</v>
      </c>
      <c r="S35" s="4">
        <v>505</v>
      </c>
      <c r="T35" s="6">
        <v>14587.64</v>
      </c>
      <c r="U35" s="5">
        <v>-0.903</v>
      </c>
      <c r="V35" s="5">
        <v>-0.9305</v>
      </c>
      <c r="W35" s="4"/>
      <c r="X35" s="6"/>
      <c r="Y35" s="4">
        <v>20</v>
      </c>
      <c r="Z35" s="6">
        <v>571.2</v>
      </c>
      <c r="AA35" s="5"/>
      <c r="AB35" s="5"/>
      <c r="AC35" s="4">
        <v>3</v>
      </c>
      <c r="AD35" s="6">
        <v>85.08</v>
      </c>
      <c r="AE35" s="4">
        <v>16</v>
      </c>
      <c r="AF35" s="6">
        <v>504.9</v>
      </c>
      <c r="AG35" s="5">
        <v>-0.8125</v>
      </c>
      <c r="AH35" s="5">
        <v>-0.8315</v>
      </c>
      <c r="AI35" s="4"/>
      <c r="AJ35" s="6"/>
      <c r="AK35" s="4"/>
      <c r="AL35" s="6"/>
      <c r="AM35" s="5"/>
      <c r="AN35" s="5"/>
      <c r="AO35" s="4"/>
      <c r="AP35" s="6"/>
      <c r="AQ35" s="4">
        <v>236</v>
      </c>
      <c r="AR35" s="6">
        <v>7483.34</v>
      </c>
      <c r="AS35" s="5"/>
      <c r="AT35" s="5"/>
      <c r="AU35" s="4"/>
      <c r="AV35" s="6"/>
      <c r="AW35" s="4">
        <v>12</v>
      </c>
      <c r="AX35" s="6">
        <v>380.37</v>
      </c>
      <c r="AY35" s="5"/>
      <c r="AZ35" s="5"/>
      <c r="BA35" s="4"/>
      <c r="BB35" s="6"/>
      <c r="BC35" s="4"/>
      <c r="BD35" s="6"/>
      <c r="BE35" s="5"/>
      <c r="BF35" s="5"/>
      <c r="BG35" s="4">
        <v>4</v>
      </c>
      <c r="BH35" s="6">
        <v>99.32</v>
      </c>
      <c r="BI35" s="4">
        <v>83</v>
      </c>
      <c r="BJ35" s="6">
        <v>1990.3</v>
      </c>
      <c r="BK35" s="5">
        <v>-0.9518</v>
      </c>
      <c r="BL35" s="5">
        <v>-0.95009999999999994</v>
      </c>
      <c r="BM35" s="4">
        <v>19</v>
      </c>
      <c r="BN35" s="6">
        <v>299.63</v>
      </c>
      <c r="BO35" s="4">
        <v>41</v>
      </c>
      <c r="BP35" s="6">
        <v>859.18</v>
      </c>
      <c r="BQ35" s="5">
        <v>-0.5366</v>
      </c>
      <c r="BR35" s="5">
        <v>-0.6513</v>
      </c>
      <c r="BS35" s="4"/>
      <c r="BT35" s="6"/>
      <c r="BU35" s="4">
        <v>9</v>
      </c>
      <c r="BV35" s="6">
        <v>277.85</v>
      </c>
      <c r="BW35" s="5"/>
      <c r="BX35" s="5"/>
      <c r="BY35" s="4">
        <v>5</v>
      </c>
      <c r="BZ35" s="6">
        <v>130.7</v>
      </c>
      <c r="CA35" s="4">
        <v>14</v>
      </c>
      <c r="CB35" s="6">
        <v>360</v>
      </c>
      <c r="CC35" s="5">
        <v>-0.6429</v>
      </c>
      <c r="CD35" s="5">
        <v>-0.6369</v>
      </c>
      <c r="CE35" s="4"/>
      <c r="CF35" s="6"/>
      <c r="CG35" s="4">
        <v>30</v>
      </c>
      <c r="CH35" s="6">
        <v>996.72</v>
      </c>
      <c r="CI35" s="5"/>
      <c r="CJ35" s="5"/>
      <c r="CK35" s="4"/>
      <c r="CL35" s="6"/>
      <c r="CM35" s="4"/>
      <c r="CN35" s="6"/>
      <c r="CO35" s="5"/>
      <c r="CP35" s="5"/>
      <c r="CQ35" s="4"/>
      <c r="CR35" s="6"/>
      <c r="CS35" s="4">
        <v>2</v>
      </c>
      <c r="CT35" s="6">
        <v>67.62</v>
      </c>
      <c r="CU35" s="5"/>
      <c r="CV35" s="5"/>
      <c r="CW35" s="4">
        <v>18</v>
      </c>
      <c r="CX35" s="6">
        <v>399.78</v>
      </c>
      <c r="CY35" s="4">
        <v>33</v>
      </c>
      <c r="CZ35" s="6">
        <v>822.61</v>
      </c>
      <c r="DA35" s="5">
        <v>-0.4545</v>
      </c>
      <c r="DB35" s="5">
        <v>-0.514</v>
      </c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>
        <v>3</v>
      </c>
      <c r="FT35" s="6">
        <v>85.18</v>
      </c>
      <c r="FU35" s="5"/>
      <c r="FV35" s="5"/>
      <c r="FW35" s="4"/>
      <c r="FX35" s="6"/>
      <c r="FY35" s="4">
        <v>6</v>
      </c>
      <c r="FZ35" s="6">
        <v>188.37</v>
      </c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6"/>
      <c r="IA35" s="4"/>
      <c r="IB35" s="6"/>
      <c r="IC35" s="5"/>
      <c r="ID35" s="5"/>
      <c r="IE35" s="4"/>
      <c r="IF35" s="6"/>
      <c r="IG35" s="4"/>
      <c r="IH35" s="6"/>
      <c r="II35" s="5"/>
      <c r="IJ35" s="5"/>
      <c r="IK35" s="4"/>
      <c r="IL35" s="6"/>
      <c r="IM35" s="4"/>
      <c r="IN35" s="6"/>
      <c r="IO35" s="5"/>
      <c r="IP35" s="5"/>
      <c r="IQ35" s="4"/>
      <c r="IR35" s="6"/>
      <c r="IS35" s="4"/>
      <c r="IT35" s="6"/>
      <c r="IU35" s="5"/>
      <c r="IV35" s="5"/>
      <c r="IW35" s="4"/>
      <c r="IX35" s="6"/>
      <c r="IY35" s="4"/>
      <c r="IZ35" s="6"/>
      <c r="JA35" s="5"/>
      <c r="JB35" s="5"/>
      <c r="JC35" s="4"/>
      <c r="JD35" s="6"/>
      <c r="JE35" s="4"/>
      <c r="JF35" s="6"/>
      <c r="JG35" s="5"/>
      <c r="JH35" s="5"/>
      <c r="JI35" s="4">
        <v>379</v>
      </c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</row>
    <row r="36">
      <c r="A36" s="3" t="s">
        <v>136</v>
      </c>
      <c r="B36" s="3" t="s">
        <v>181</v>
      </c>
      <c r="C36" s="3" t="s">
        <v>138</v>
      </c>
      <c r="D36" s="3" t="s">
        <v>139</v>
      </c>
      <c r="E36" s="3" t="s">
        <v>182</v>
      </c>
      <c r="F36" s="3" t="s">
        <v>182</v>
      </c>
      <c r="G36" s="3" t="s">
        <v>182</v>
      </c>
      <c r="H36" s="3" t="s">
        <v>183</v>
      </c>
      <c r="I36" s="4">
        <v>2524</v>
      </c>
      <c r="J36" s="4">
        <f>=ROUNDDOWN(6.63512092534175,0)</f>
      </c>
      <c r="K36" s="4">
        <v>10910</v>
      </c>
      <c r="L36" s="5">
        <v>0.8962</v>
      </c>
      <c r="M36" s="4"/>
      <c r="N36" s="4">
        <f>=ROUNDDOWN({0},0)</f>
      </c>
      <c r="O36" s="4"/>
      <c r="P36" s="5"/>
      <c r="Q36" s="4">
        <v>3560</v>
      </c>
      <c r="R36" s="6">
        <v>88827.92</v>
      </c>
      <c r="S36" s="4">
        <v>2714</v>
      </c>
      <c r="T36" s="6">
        <v>66493.22</v>
      </c>
      <c r="U36" s="5">
        <v>0.3117</v>
      </c>
      <c r="V36" s="5">
        <v>0.3359</v>
      </c>
      <c r="W36" s="4">
        <v>138</v>
      </c>
      <c r="X36" s="6">
        <v>3644.91</v>
      </c>
      <c r="Y36" s="4">
        <v>277</v>
      </c>
      <c r="Z36" s="6">
        <v>7370.42</v>
      </c>
      <c r="AA36" s="5">
        <v>-0.5018</v>
      </c>
      <c r="AB36" s="5">
        <v>-0.5055</v>
      </c>
      <c r="AC36" s="4">
        <v>161</v>
      </c>
      <c r="AD36" s="6">
        <v>4528.61</v>
      </c>
      <c r="AE36" s="4">
        <v>26</v>
      </c>
      <c r="AF36" s="6">
        <v>702.06</v>
      </c>
      <c r="AG36" s="5">
        <v>5.1923</v>
      </c>
      <c r="AH36" s="5">
        <v>5.4505</v>
      </c>
      <c r="AI36" s="4"/>
      <c r="AJ36" s="6"/>
      <c r="AK36" s="4"/>
      <c r="AL36" s="6"/>
      <c r="AM36" s="5"/>
      <c r="AN36" s="5"/>
      <c r="AO36" s="4">
        <v>1886</v>
      </c>
      <c r="AP36" s="6">
        <v>47516.44</v>
      </c>
      <c r="AQ36" s="4">
        <v>734</v>
      </c>
      <c r="AR36" s="6">
        <v>17946.04</v>
      </c>
      <c r="AS36" s="5">
        <v>1.5695</v>
      </c>
      <c r="AT36" s="5">
        <v>1.6477</v>
      </c>
      <c r="AU36" s="4">
        <v>123</v>
      </c>
      <c r="AV36" s="6">
        <v>3009.17</v>
      </c>
      <c r="AW36" s="4">
        <v>370</v>
      </c>
      <c r="AX36" s="6">
        <v>8984.7</v>
      </c>
      <c r="AY36" s="5">
        <v>-0.6676</v>
      </c>
      <c r="AZ36" s="5">
        <v>-0.6651</v>
      </c>
      <c r="BA36" s="4">
        <v>669</v>
      </c>
      <c r="BB36" s="6">
        <v>16350.93</v>
      </c>
      <c r="BC36" s="4">
        <v>652</v>
      </c>
      <c r="BD36" s="6">
        <v>15731.38</v>
      </c>
      <c r="BE36" s="5">
        <v>0.0261</v>
      </c>
      <c r="BF36" s="5">
        <v>0.0394</v>
      </c>
      <c r="BG36" s="4">
        <v>154</v>
      </c>
      <c r="BH36" s="6">
        <v>3907.9</v>
      </c>
      <c r="BI36" s="4">
        <v>142</v>
      </c>
      <c r="BJ36" s="6">
        <v>3562.14</v>
      </c>
      <c r="BK36" s="5">
        <v>0.0845</v>
      </c>
      <c r="BL36" s="5">
        <v>0.0971</v>
      </c>
      <c r="BM36" s="4">
        <v>183</v>
      </c>
      <c r="BN36" s="6">
        <v>3711.02</v>
      </c>
      <c r="BO36" s="4">
        <v>265</v>
      </c>
      <c r="BP36" s="6">
        <v>5771.87</v>
      </c>
      <c r="BQ36" s="5">
        <v>-0.3094</v>
      </c>
      <c r="BR36" s="5">
        <v>-0.3571</v>
      </c>
      <c r="BS36" s="4">
        <v>45</v>
      </c>
      <c r="BT36" s="6">
        <v>1141.34</v>
      </c>
      <c r="BU36" s="4">
        <v>100</v>
      </c>
      <c r="BV36" s="6">
        <v>2513.01</v>
      </c>
      <c r="BW36" s="5">
        <v>-0.55</v>
      </c>
      <c r="BX36" s="5">
        <v>-0.5458</v>
      </c>
      <c r="BY36" s="4">
        <v>7</v>
      </c>
      <c r="BZ36" s="6">
        <v>193.22</v>
      </c>
      <c r="CA36" s="4">
        <v>30</v>
      </c>
      <c r="CB36" s="6">
        <v>758.64</v>
      </c>
      <c r="CC36" s="5">
        <v>-0.7667</v>
      </c>
      <c r="CD36" s="5">
        <v>-0.7453</v>
      </c>
      <c r="CE36" s="4">
        <v>114</v>
      </c>
      <c r="CF36" s="6">
        <v>2880.17</v>
      </c>
      <c r="CG36" s="4">
        <v>38</v>
      </c>
      <c r="CH36" s="6">
        <v>989.88</v>
      </c>
      <c r="CI36" s="5">
        <v>2</v>
      </c>
      <c r="CJ36" s="5">
        <v>1.9096</v>
      </c>
      <c r="CK36" s="4"/>
      <c r="CL36" s="6"/>
      <c r="CM36" s="4"/>
      <c r="CN36" s="6"/>
      <c r="CO36" s="5"/>
      <c r="CP36" s="5"/>
      <c r="CQ36" s="4">
        <v>37</v>
      </c>
      <c r="CR36" s="6">
        <v>905.42</v>
      </c>
      <c r="CS36" s="4"/>
      <c r="CT36" s="6"/>
      <c r="CU36" s="5"/>
      <c r="CV36" s="5"/>
      <c r="CW36" s="4">
        <v>22</v>
      </c>
      <c r="CX36" s="6">
        <v>484.75</v>
      </c>
      <c r="CY36" s="4">
        <v>26</v>
      </c>
      <c r="CZ36" s="6">
        <v>585.08</v>
      </c>
      <c r="DA36" s="5">
        <v>-0.1538</v>
      </c>
      <c r="DB36" s="5">
        <v>-0.1715</v>
      </c>
      <c r="DC36" s="4"/>
      <c r="DD36" s="6"/>
      <c r="DE36" s="4"/>
      <c r="DF36" s="6"/>
      <c r="DG36" s="5"/>
      <c r="DH36" s="5"/>
      <c r="DI36" s="4"/>
      <c r="DJ36" s="6"/>
      <c r="DK36" s="4">
        <v>3</v>
      </c>
      <c r="DL36" s="6">
        <v>149.97</v>
      </c>
      <c r="DM36" s="5"/>
      <c r="DN36" s="5"/>
      <c r="DO36" s="4">
        <v>9</v>
      </c>
      <c r="DP36" s="6">
        <v>254.7</v>
      </c>
      <c r="DQ36" s="4">
        <v>5</v>
      </c>
      <c r="DR36" s="6">
        <v>141.5</v>
      </c>
      <c r="DS36" s="5">
        <v>0.8</v>
      </c>
      <c r="DT36" s="5">
        <v>0.8</v>
      </c>
      <c r="DU36" s="4"/>
      <c r="DV36" s="6"/>
      <c r="DW36" s="4"/>
      <c r="DX36" s="6"/>
      <c r="DY36" s="5"/>
      <c r="DZ36" s="5"/>
      <c r="EA36" s="4">
        <v>12</v>
      </c>
      <c r="EB36" s="6">
        <v>299.34</v>
      </c>
      <c r="EC36" s="4">
        <v>12</v>
      </c>
      <c r="ED36" s="6">
        <v>301.22</v>
      </c>
      <c r="EE36" s="5"/>
      <c r="EF36" s="5">
        <v>-0.0062</v>
      </c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>
        <v>32</v>
      </c>
      <c r="FT36" s="6">
        <v>934.33</v>
      </c>
      <c r="FU36" s="5"/>
      <c r="FV36" s="5"/>
      <c r="FW36" s="4"/>
      <c r="FX36" s="6"/>
      <c r="FY36" s="4">
        <v>2</v>
      </c>
      <c r="FZ36" s="6">
        <v>50.98</v>
      </c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6"/>
      <c r="IA36" s="4"/>
      <c r="IB36" s="6"/>
      <c r="IC36" s="5"/>
      <c r="ID36" s="5"/>
      <c r="IE36" s="4"/>
      <c r="IF36" s="6"/>
      <c r="IG36" s="4"/>
      <c r="IH36" s="6"/>
      <c r="II36" s="5"/>
      <c r="IJ36" s="5"/>
      <c r="IK36" s="4"/>
      <c r="IL36" s="6"/>
      <c r="IM36" s="4"/>
      <c r="IN36" s="6"/>
      <c r="IO36" s="5"/>
      <c r="IP36" s="5"/>
      <c r="IQ36" s="4"/>
      <c r="IR36" s="6"/>
      <c r="IS36" s="4"/>
      <c r="IT36" s="6"/>
      <c r="IU36" s="5"/>
      <c r="IV36" s="5"/>
      <c r="IW36" s="4"/>
      <c r="IX36" s="6"/>
      <c r="IY36" s="4"/>
      <c r="IZ36" s="6"/>
      <c r="JA36" s="5"/>
      <c r="JB36" s="5"/>
      <c r="JC36" s="4"/>
      <c r="JD36" s="6"/>
      <c r="JE36" s="4"/>
      <c r="JF36" s="6"/>
      <c r="JG36" s="5"/>
      <c r="JH36" s="5"/>
      <c r="JI36" s="4">
        <v>2524</v>
      </c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>
        <v>1010</v>
      </c>
      <c r="KA36" s="4"/>
      <c r="KB36" s="4"/>
      <c r="KC36" s="4"/>
      <c r="KD36" s="4"/>
      <c r="KE36" s="4"/>
      <c r="KF36" s="4"/>
      <c r="KG36" s="4">
        <v>1730</v>
      </c>
      <c r="KH36" s="4"/>
      <c r="KI36" s="4">
        <v>580</v>
      </c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>
        <v>3550</v>
      </c>
      <c r="KX36" s="4"/>
      <c r="KY36" s="4"/>
      <c r="KZ36" s="4"/>
      <c r="LA36" s="4"/>
      <c r="LB36" s="4"/>
      <c r="LC36" s="4"/>
      <c r="LD36" s="4"/>
      <c r="LE36" s="4">
        <v>1710</v>
      </c>
      <c r="LF36" s="4"/>
      <c r="LG36" s="4"/>
      <c r="LH36" s="4"/>
      <c r="LI36" s="4"/>
      <c r="LJ36" s="4">
        <v>2330</v>
      </c>
      <c r="LK36" s="4"/>
    </row>
    <row r="37">
      <c r="A37" s="3" t="s">
        <v>136</v>
      </c>
      <c r="B37" s="3" t="s">
        <v>181</v>
      </c>
      <c r="C37" s="3" t="s">
        <v>138</v>
      </c>
      <c r="D37" s="3" t="s">
        <v>139</v>
      </c>
      <c r="E37" s="3" t="s">
        <v>146</v>
      </c>
      <c r="F37" s="3" t="s">
        <v>146</v>
      </c>
      <c r="G37" s="3" t="s">
        <v>146</v>
      </c>
      <c r="H37" s="3" t="s">
        <v>146</v>
      </c>
      <c r="I37" s="4">
        <v>6853</v>
      </c>
      <c r="J37" s="4">
        <f>=ROUNDDOWN(13.618839427663,0)</f>
      </c>
      <c r="K37" s="4">
        <v>14702</v>
      </c>
      <c r="L37" s="5">
        <v>0.9734</v>
      </c>
      <c r="M37" s="4"/>
      <c r="N37" s="4">
        <f>=ROUNDDOWN({0},0)</f>
      </c>
      <c r="O37" s="4"/>
      <c r="P37" s="5"/>
      <c r="Q37" s="4">
        <v>5143</v>
      </c>
      <c r="R37" s="6">
        <v>75652.79</v>
      </c>
      <c r="S37" s="4">
        <v>5389</v>
      </c>
      <c r="T37" s="6">
        <v>79760.51</v>
      </c>
      <c r="U37" s="5">
        <v>-0.0456</v>
      </c>
      <c r="V37" s="5">
        <v>-0.0515</v>
      </c>
      <c r="W37" s="4">
        <v>1388</v>
      </c>
      <c r="X37" s="6">
        <v>19052.51</v>
      </c>
      <c r="Y37" s="4">
        <v>921</v>
      </c>
      <c r="Z37" s="6">
        <v>12733.73</v>
      </c>
      <c r="AA37" s="5">
        <v>0.5071</v>
      </c>
      <c r="AB37" s="5">
        <v>0.4962</v>
      </c>
      <c r="AC37" s="4">
        <v>87</v>
      </c>
      <c r="AD37" s="6">
        <v>1326.99</v>
      </c>
      <c r="AE37" s="4">
        <v>37</v>
      </c>
      <c r="AF37" s="6">
        <v>564.34</v>
      </c>
      <c r="AG37" s="5">
        <v>1.3514</v>
      </c>
      <c r="AH37" s="5">
        <v>1.3514</v>
      </c>
      <c r="AI37" s="4">
        <v>2</v>
      </c>
      <c r="AJ37" s="6">
        <v>73.23</v>
      </c>
      <c r="AK37" s="4"/>
      <c r="AL37" s="6"/>
      <c r="AM37" s="5"/>
      <c r="AN37" s="5"/>
      <c r="AO37" s="4">
        <v>713</v>
      </c>
      <c r="AP37" s="6">
        <v>11593.1</v>
      </c>
      <c r="AQ37" s="4">
        <v>478</v>
      </c>
      <c r="AR37" s="6">
        <v>8043.32</v>
      </c>
      <c r="AS37" s="5">
        <v>0.4916</v>
      </c>
      <c r="AT37" s="5">
        <v>0.4413</v>
      </c>
      <c r="AU37" s="4">
        <v>220</v>
      </c>
      <c r="AV37" s="6">
        <v>3305.76</v>
      </c>
      <c r="AW37" s="4">
        <v>329</v>
      </c>
      <c r="AX37" s="6">
        <v>4977.37</v>
      </c>
      <c r="AY37" s="5">
        <v>-0.3313</v>
      </c>
      <c r="AZ37" s="5">
        <v>-0.3358</v>
      </c>
      <c r="BA37" s="4">
        <v>1090</v>
      </c>
      <c r="BB37" s="6">
        <v>15535.47</v>
      </c>
      <c r="BC37" s="4">
        <v>1010</v>
      </c>
      <c r="BD37" s="6">
        <v>15029.09</v>
      </c>
      <c r="BE37" s="5">
        <v>0.0792</v>
      </c>
      <c r="BF37" s="5">
        <v>0.0337</v>
      </c>
      <c r="BG37" s="4">
        <v>215</v>
      </c>
      <c r="BH37" s="6">
        <v>2904.98</v>
      </c>
      <c r="BI37" s="4">
        <v>412</v>
      </c>
      <c r="BJ37" s="6">
        <v>5538.31</v>
      </c>
      <c r="BK37" s="5">
        <v>-0.4782</v>
      </c>
      <c r="BL37" s="5">
        <v>-0.4755</v>
      </c>
      <c r="BM37" s="4">
        <v>3</v>
      </c>
      <c r="BN37" s="6">
        <v>35.75</v>
      </c>
      <c r="BO37" s="4">
        <v>13</v>
      </c>
      <c r="BP37" s="6">
        <v>158.45</v>
      </c>
      <c r="BQ37" s="5">
        <v>-0.7692</v>
      </c>
      <c r="BR37" s="5">
        <v>-0.7744</v>
      </c>
      <c r="BS37" s="4">
        <v>75</v>
      </c>
      <c r="BT37" s="6">
        <v>1138.71</v>
      </c>
      <c r="BU37" s="4">
        <v>181</v>
      </c>
      <c r="BV37" s="6">
        <v>2756.09</v>
      </c>
      <c r="BW37" s="5">
        <v>-0.5856</v>
      </c>
      <c r="BX37" s="5">
        <v>-0.5868</v>
      </c>
      <c r="BY37" s="4">
        <v>267</v>
      </c>
      <c r="BZ37" s="6">
        <v>4155.73</v>
      </c>
      <c r="CA37" s="4">
        <v>300</v>
      </c>
      <c r="CB37" s="6">
        <v>4695.5</v>
      </c>
      <c r="CC37" s="5">
        <v>-0.11</v>
      </c>
      <c r="CD37" s="5">
        <v>-0.115</v>
      </c>
      <c r="CE37" s="4">
        <v>373</v>
      </c>
      <c r="CF37" s="6">
        <v>5489.64</v>
      </c>
      <c r="CG37" s="4">
        <v>290</v>
      </c>
      <c r="CH37" s="6">
        <v>4517.83</v>
      </c>
      <c r="CI37" s="5">
        <v>0.2862</v>
      </c>
      <c r="CJ37" s="5">
        <v>0.2151</v>
      </c>
      <c r="CK37" s="4"/>
      <c r="CL37" s="6"/>
      <c r="CM37" s="4"/>
      <c r="CN37" s="6"/>
      <c r="CO37" s="5"/>
      <c r="CP37" s="5"/>
      <c r="CQ37" s="4">
        <v>376</v>
      </c>
      <c r="CR37" s="6">
        <v>5893.86</v>
      </c>
      <c r="CS37" s="4">
        <v>403</v>
      </c>
      <c r="CT37" s="6">
        <v>6292.37</v>
      </c>
      <c r="CU37" s="5">
        <v>-0.067</v>
      </c>
      <c r="CV37" s="5">
        <v>-0.0633</v>
      </c>
      <c r="CW37" s="4">
        <v>83</v>
      </c>
      <c r="CX37" s="6">
        <v>1056.13</v>
      </c>
      <c r="CY37" s="4">
        <v>585</v>
      </c>
      <c r="CZ37" s="6">
        <v>7583.38</v>
      </c>
      <c r="DA37" s="5">
        <v>-0.8581</v>
      </c>
      <c r="DB37" s="5">
        <v>-0.8607</v>
      </c>
      <c r="DC37" s="4">
        <v>26</v>
      </c>
      <c r="DD37" s="6">
        <v>365.09</v>
      </c>
      <c r="DE37" s="4">
        <v>24</v>
      </c>
      <c r="DF37" s="6">
        <v>346.08</v>
      </c>
      <c r="DG37" s="5">
        <v>0.0833</v>
      </c>
      <c r="DH37" s="5">
        <v>0.0549</v>
      </c>
      <c r="DI37" s="4">
        <v>6</v>
      </c>
      <c r="DJ37" s="6">
        <v>184.94</v>
      </c>
      <c r="DK37" s="4">
        <v>3</v>
      </c>
      <c r="DL37" s="6">
        <v>95.67</v>
      </c>
      <c r="DM37" s="5">
        <v>1</v>
      </c>
      <c r="DN37" s="5">
        <v>0.9331</v>
      </c>
      <c r="DO37" s="4">
        <v>210</v>
      </c>
      <c r="DP37" s="6">
        <v>3409.51</v>
      </c>
      <c r="DQ37" s="4">
        <v>312</v>
      </c>
      <c r="DR37" s="6">
        <v>5045.65</v>
      </c>
      <c r="DS37" s="5">
        <v>-0.3269</v>
      </c>
      <c r="DT37" s="5">
        <v>-0.3243</v>
      </c>
      <c r="DU37" s="4"/>
      <c r="DV37" s="6"/>
      <c r="DW37" s="4"/>
      <c r="DX37" s="6"/>
      <c r="DY37" s="5"/>
      <c r="DZ37" s="5"/>
      <c r="EA37" s="4">
        <v>9</v>
      </c>
      <c r="EB37" s="6">
        <v>131.39</v>
      </c>
      <c r="EC37" s="4">
        <v>29</v>
      </c>
      <c r="ED37" s="6">
        <v>415.32</v>
      </c>
      <c r="EE37" s="5">
        <v>-0.6897</v>
      </c>
      <c r="EF37" s="5">
        <v>-0.6836</v>
      </c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>
        <v>1</v>
      </c>
      <c r="EV37" s="6">
        <v>13.03</v>
      </c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>
        <v>52</v>
      </c>
      <c r="FT37" s="6">
        <v>824.57</v>
      </c>
      <c r="FU37" s="5"/>
      <c r="FV37" s="5"/>
      <c r="FW37" s="4"/>
      <c r="FX37" s="6"/>
      <c r="FY37" s="4">
        <v>9</v>
      </c>
      <c r="FZ37" s="6">
        <v>130.41</v>
      </c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6"/>
      <c r="IA37" s="4"/>
      <c r="IB37" s="6"/>
      <c r="IC37" s="5"/>
      <c r="ID37" s="5"/>
      <c r="IE37" s="4"/>
      <c r="IF37" s="6"/>
      <c r="IG37" s="4"/>
      <c r="IH37" s="6"/>
      <c r="II37" s="5"/>
      <c r="IJ37" s="5"/>
      <c r="IK37" s="4"/>
      <c r="IL37" s="6"/>
      <c r="IM37" s="4"/>
      <c r="IN37" s="6"/>
      <c r="IO37" s="5"/>
      <c r="IP37" s="5"/>
      <c r="IQ37" s="4"/>
      <c r="IR37" s="6"/>
      <c r="IS37" s="4"/>
      <c r="IT37" s="6"/>
      <c r="IU37" s="5"/>
      <c r="IV37" s="5"/>
      <c r="IW37" s="4"/>
      <c r="IX37" s="6"/>
      <c r="IY37" s="4"/>
      <c r="IZ37" s="6"/>
      <c r="JA37" s="5"/>
      <c r="JB37" s="5"/>
      <c r="JC37" s="4"/>
      <c r="JD37" s="6"/>
      <c r="JE37" s="4"/>
      <c r="JF37" s="6"/>
      <c r="JG37" s="5"/>
      <c r="JH37" s="5"/>
      <c r="JI37" s="4">
        <v>6553</v>
      </c>
      <c r="JJ37" s="4"/>
      <c r="JK37" s="4"/>
      <c r="JL37" s="4"/>
      <c r="JM37" s="4"/>
      <c r="JN37" s="4"/>
      <c r="JO37" s="4"/>
      <c r="JP37" s="4">
        <v>300</v>
      </c>
      <c r="JQ37" s="4"/>
      <c r="JR37" s="4"/>
      <c r="JS37" s="4"/>
      <c r="JT37" s="4"/>
      <c r="JU37" s="4"/>
      <c r="JV37" s="4"/>
      <c r="JW37" s="4"/>
      <c r="JX37" s="4"/>
      <c r="JY37" s="4">
        <v>3810</v>
      </c>
      <c r="JZ37" s="4"/>
      <c r="KA37" s="4"/>
      <c r="KB37" s="4"/>
      <c r="KC37" s="4"/>
      <c r="KD37" s="4"/>
      <c r="KE37" s="4"/>
      <c r="KF37" s="4"/>
      <c r="KG37" s="4"/>
      <c r="KH37" s="4">
        <v>1950</v>
      </c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>
        <v>4330</v>
      </c>
      <c r="KT37" s="4"/>
      <c r="KU37" s="4"/>
      <c r="KV37" s="4"/>
      <c r="KW37" s="4"/>
      <c r="KX37" s="4">
        <v>1842</v>
      </c>
      <c r="KY37" s="4"/>
      <c r="KZ37" s="4"/>
      <c r="LA37" s="4"/>
      <c r="LB37" s="4">
        <v>260</v>
      </c>
      <c r="LC37" s="4"/>
      <c r="LD37" s="4"/>
      <c r="LE37" s="4">
        <v>2170</v>
      </c>
      <c r="LF37" s="4"/>
      <c r="LG37" s="4"/>
      <c r="LH37" s="4"/>
      <c r="LI37" s="4"/>
      <c r="LJ37" s="4"/>
      <c r="LK37" s="4">
        <v>340</v>
      </c>
    </row>
    <row r="38">
      <c r="A38" s="3" t="s">
        <v>136</v>
      </c>
      <c r="B38" s="3" t="s">
        <v>181</v>
      </c>
      <c r="C38" s="3" t="s">
        <v>138</v>
      </c>
      <c r="D38" s="3" t="s">
        <v>139</v>
      </c>
      <c r="E38" s="3" t="s">
        <v>184</v>
      </c>
      <c r="F38" s="3" t="s">
        <v>184</v>
      </c>
      <c r="G38" s="3" t="s">
        <v>184</v>
      </c>
      <c r="H38" s="3" t="s">
        <v>146</v>
      </c>
      <c r="I38" s="4">
        <v>2590</v>
      </c>
      <c r="J38" s="4">
        <f>=ROUNDDOWN(18.7953555878084,0)</f>
      </c>
      <c r="K38" s="4">
        <v>3122</v>
      </c>
      <c r="L38" s="5">
        <v>0.9539</v>
      </c>
      <c r="M38" s="4"/>
      <c r="N38" s="4">
        <f>=ROUNDDOWN({0},0)</f>
      </c>
      <c r="O38" s="4"/>
      <c r="P38" s="5"/>
      <c r="Q38" s="4">
        <v>1256</v>
      </c>
      <c r="R38" s="6">
        <v>24256.47</v>
      </c>
      <c r="S38" s="4">
        <v>2055</v>
      </c>
      <c r="T38" s="6">
        <v>40166.99</v>
      </c>
      <c r="U38" s="5">
        <v>-0.3888</v>
      </c>
      <c r="V38" s="5">
        <v>-0.3961</v>
      </c>
      <c r="W38" s="4">
        <v>44</v>
      </c>
      <c r="X38" s="6">
        <v>837.9</v>
      </c>
      <c r="Y38" s="4">
        <v>84</v>
      </c>
      <c r="Z38" s="6">
        <v>1577.8</v>
      </c>
      <c r="AA38" s="5">
        <v>-0.4762</v>
      </c>
      <c r="AB38" s="5">
        <v>-0.4689</v>
      </c>
      <c r="AC38" s="4">
        <v>92</v>
      </c>
      <c r="AD38" s="6">
        <v>1856.52</v>
      </c>
      <c r="AE38" s="4">
        <v>58</v>
      </c>
      <c r="AF38" s="6">
        <v>1164.48</v>
      </c>
      <c r="AG38" s="5">
        <v>0.5862</v>
      </c>
      <c r="AH38" s="5">
        <v>0.5943</v>
      </c>
      <c r="AI38" s="4">
        <v>3</v>
      </c>
      <c r="AJ38" s="6">
        <v>80.76</v>
      </c>
      <c r="AK38" s="4"/>
      <c r="AL38" s="6"/>
      <c r="AM38" s="5"/>
      <c r="AN38" s="5"/>
      <c r="AO38" s="4">
        <v>521</v>
      </c>
      <c r="AP38" s="6">
        <v>10233.45</v>
      </c>
      <c r="AQ38" s="4">
        <v>922</v>
      </c>
      <c r="AR38" s="6">
        <v>18229.9</v>
      </c>
      <c r="AS38" s="5">
        <v>-0.4349</v>
      </c>
      <c r="AT38" s="5">
        <v>-0.4386</v>
      </c>
      <c r="AU38" s="4">
        <v>65</v>
      </c>
      <c r="AV38" s="6">
        <v>1229.98</v>
      </c>
      <c r="AW38" s="4">
        <v>66</v>
      </c>
      <c r="AX38" s="6">
        <v>1229.74</v>
      </c>
      <c r="AY38" s="5">
        <v>-0.0152</v>
      </c>
      <c r="AZ38" s="5">
        <v>0.0002</v>
      </c>
      <c r="BA38" s="4">
        <v>277</v>
      </c>
      <c r="BB38" s="6">
        <v>5506.62</v>
      </c>
      <c r="BC38" s="4">
        <v>499</v>
      </c>
      <c r="BD38" s="6">
        <v>10061.94</v>
      </c>
      <c r="BE38" s="5">
        <v>-0.4449</v>
      </c>
      <c r="BF38" s="5">
        <v>-0.4527</v>
      </c>
      <c r="BG38" s="4">
        <v>35</v>
      </c>
      <c r="BH38" s="6">
        <v>617.35</v>
      </c>
      <c r="BI38" s="4">
        <v>57</v>
      </c>
      <c r="BJ38" s="6">
        <v>985.11</v>
      </c>
      <c r="BK38" s="5">
        <v>-0.386</v>
      </c>
      <c r="BL38" s="5">
        <v>-0.3733</v>
      </c>
      <c r="BM38" s="4">
        <v>49</v>
      </c>
      <c r="BN38" s="6">
        <v>764.57</v>
      </c>
      <c r="BO38" s="4">
        <v>35</v>
      </c>
      <c r="BP38" s="6">
        <v>611.06</v>
      </c>
      <c r="BQ38" s="5">
        <v>0.4</v>
      </c>
      <c r="BR38" s="5">
        <v>0.2512</v>
      </c>
      <c r="BS38" s="4">
        <v>7</v>
      </c>
      <c r="BT38" s="6">
        <v>127.3</v>
      </c>
      <c r="BU38" s="4">
        <v>12</v>
      </c>
      <c r="BV38" s="6">
        <v>224.81</v>
      </c>
      <c r="BW38" s="5">
        <v>-0.4167</v>
      </c>
      <c r="BX38" s="5">
        <v>-0.4337</v>
      </c>
      <c r="BY38" s="4">
        <v>10</v>
      </c>
      <c r="BZ38" s="6">
        <v>183.34</v>
      </c>
      <c r="CA38" s="4">
        <v>26</v>
      </c>
      <c r="CB38" s="6">
        <v>513.61</v>
      </c>
      <c r="CC38" s="5">
        <v>-0.6154</v>
      </c>
      <c r="CD38" s="5">
        <v>-0.643</v>
      </c>
      <c r="CE38" s="4">
        <v>135</v>
      </c>
      <c r="CF38" s="6">
        <v>2512.35</v>
      </c>
      <c r="CG38" s="4">
        <v>248</v>
      </c>
      <c r="CH38" s="6">
        <v>4713.83</v>
      </c>
      <c r="CI38" s="5">
        <v>-0.4556</v>
      </c>
      <c r="CJ38" s="5">
        <v>-0.467</v>
      </c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>
        <v>18</v>
      </c>
      <c r="CX38" s="6">
        <v>306.33</v>
      </c>
      <c r="CY38" s="4">
        <v>30</v>
      </c>
      <c r="CZ38" s="6">
        <v>522.12</v>
      </c>
      <c r="DA38" s="5">
        <v>-0.4</v>
      </c>
      <c r="DB38" s="5">
        <v>-0.4133</v>
      </c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>
        <v>1</v>
      </c>
      <c r="ED38" s="6">
        <v>16.17</v>
      </c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>
        <v>2</v>
      </c>
      <c r="EV38" s="6">
        <v>42.12</v>
      </c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>
        <v>10</v>
      </c>
      <c r="FT38" s="6">
        <v>190.72</v>
      </c>
      <c r="FU38" s="5"/>
      <c r="FV38" s="5"/>
      <c r="FW38" s="4"/>
      <c r="FX38" s="6"/>
      <c r="FY38" s="4">
        <v>5</v>
      </c>
      <c r="FZ38" s="6">
        <v>83.58</v>
      </c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6"/>
      <c r="IA38" s="4"/>
      <c r="IB38" s="6"/>
      <c r="IC38" s="5"/>
      <c r="ID38" s="5"/>
      <c r="IE38" s="4"/>
      <c r="IF38" s="6"/>
      <c r="IG38" s="4"/>
      <c r="IH38" s="6"/>
      <c r="II38" s="5"/>
      <c r="IJ38" s="5"/>
      <c r="IK38" s="4"/>
      <c r="IL38" s="6"/>
      <c r="IM38" s="4"/>
      <c r="IN38" s="6"/>
      <c r="IO38" s="5"/>
      <c r="IP38" s="5"/>
      <c r="IQ38" s="4"/>
      <c r="IR38" s="6"/>
      <c r="IS38" s="4"/>
      <c r="IT38" s="6"/>
      <c r="IU38" s="5"/>
      <c r="IV38" s="5"/>
      <c r="IW38" s="4"/>
      <c r="IX38" s="6"/>
      <c r="IY38" s="4"/>
      <c r="IZ38" s="6"/>
      <c r="JA38" s="5"/>
      <c r="JB38" s="5"/>
      <c r="JC38" s="4"/>
      <c r="JD38" s="6"/>
      <c r="JE38" s="4"/>
      <c r="JF38" s="6"/>
      <c r="JG38" s="5"/>
      <c r="JH38" s="5"/>
      <c r="JI38" s="4">
        <v>2590</v>
      </c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>
        <v>920</v>
      </c>
      <c r="JZ38" s="4"/>
      <c r="KA38" s="4"/>
      <c r="KB38" s="4"/>
      <c r="KC38" s="4"/>
      <c r="KD38" s="4"/>
      <c r="KE38" s="4"/>
      <c r="KF38" s="4"/>
      <c r="KG38" s="4"/>
      <c r="KH38" s="4">
        <v>680</v>
      </c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>
        <v>550</v>
      </c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>
        <v>972</v>
      </c>
      <c r="LG38" s="4"/>
      <c r="LH38" s="4"/>
      <c r="LI38" s="4"/>
      <c r="LJ38" s="4"/>
      <c r="LK38" s="4"/>
    </row>
    <row r="39">
      <c r="A39" s="3" t="s">
        <v>136</v>
      </c>
      <c r="B39" s="3" t="s">
        <v>181</v>
      </c>
      <c r="C39" s="3" t="s">
        <v>138</v>
      </c>
      <c r="D39" s="3" t="s">
        <v>139</v>
      </c>
      <c r="E39" s="3" t="s">
        <v>185</v>
      </c>
      <c r="F39" s="3" t="s">
        <v>185</v>
      </c>
      <c r="G39" s="3" t="s">
        <v>185</v>
      </c>
      <c r="H39" s="3" t="s">
        <v>167</v>
      </c>
      <c r="I39" s="4">
        <v>607</v>
      </c>
      <c r="J39" s="4">
        <f>=ROUNDDOWN(0.875522861676042,0)</f>
      </c>
      <c r="K39" s="4">
        <v>5867</v>
      </c>
      <c r="L39" s="5">
        <v>0.2773</v>
      </c>
      <c r="M39" s="4"/>
      <c r="N39" s="4">
        <f>=ROUNDDOWN({0},0)</f>
      </c>
      <c r="O39" s="4"/>
      <c r="P39" s="5"/>
      <c r="Q39" s="4">
        <v>916</v>
      </c>
      <c r="R39" s="6">
        <v>18176.36</v>
      </c>
      <c r="S39" s="4">
        <v>1873</v>
      </c>
      <c r="T39" s="6">
        <v>41918.78</v>
      </c>
      <c r="U39" s="5">
        <v>-0.5109</v>
      </c>
      <c r="V39" s="5">
        <v>-0.5664</v>
      </c>
      <c r="W39" s="4">
        <v>182</v>
      </c>
      <c r="X39" s="6">
        <v>3776.03</v>
      </c>
      <c r="Y39" s="4">
        <v>199</v>
      </c>
      <c r="Z39" s="6">
        <v>4657.01</v>
      </c>
      <c r="AA39" s="5">
        <v>-0.0854</v>
      </c>
      <c r="AB39" s="5">
        <v>-0.1892</v>
      </c>
      <c r="AC39" s="4">
        <v>34</v>
      </c>
      <c r="AD39" s="6">
        <v>677.53</v>
      </c>
      <c r="AE39" s="4">
        <v>25</v>
      </c>
      <c r="AF39" s="6">
        <v>601.81</v>
      </c>
      <c r="AG39" s="5">
        <v>0.36</v>
      </c>
      <c r="AH39" s="5">
        <v>0.1258</v>
      </c>
      <c r="AI39" s="4"/>
      <c r="AJ39" s="6"/>
      <c r="AK39" s="4"/>
      <c r="AL39" s="6"/>
      <c r="AM39" s="5"/>
      <c r="AN39" s="5"/>
      <c r="AO39" s="4">
        <v>249</v>
      </c>
      <c r="AP39" s="6">
        <v>4475.52</v>
      </c>
      <c r="AQ39" s="4">
        <v>460</v>
      </c>
      <c r="AR39" s="6">
        <v>9957.55</v>
      </c>
      <c r="AS39" s="5">
        <v>-0.4587</v>
      </c>
      <c r="AT39" s="5">
        <v>-0.5505</v>
      </c>
      <c r="AU39" s="4">
        <v>34</v>
      </c>
      <c r="AV39" s="6">
        <v>615.56</v>
      </c>
      <c r="AW39" s="4">
        <v>128</v>
      </c>
      <c r="AX39" s="6">
        <v>3038.34</v>
      </c>
      <c r="AY39" s="5">
        <v>-0.7344</v>
      </c>
      <c r="AZ39" s="5">
        <v>-0.7974</v>
      </c>
      <c r="BA39" s="4">
        <v>136</v>
      </c>
      <c r="BB39" s="6">
        <v>2878.97</v>
      </c>
      <c r="BC39" s="4">
        <v>378</v>
      </c>
      <c r="BD39" s="6">
        <v>8850.39</v>
      </c>
      <c r="BE39" s="5">
        <v>-0.6402</v>
      </c>
      <c r="BF39" s="5">
        <v>-0.6747</v>
      </c>
      <c r="BG39" s="4">
        <v>25</v>
      </c>
      <c r="BH39" s="6">
        <v>457.56</v>
      </c>
      <c r="BI39" s="4">
        <v>124</v>
      </c>
      <c r="BJ39" s="6">
        <v>2826.69</v>
      </c>
      <c r="BK39" s="5">
        <v>-0.7984</v>
      </c>
      <c r="BL39" s="5">
        <v>-0.8381</v>
      </c>
      <c r="BM39" s="4">
        <v>28</v>
      </c>
      <c r="BN39" s="6">
        <v>477.4</v>
      </c>
      <c r="BO39" s="4">
        <v>86</v>
      </c>
      <c r="BP39" s="6">
        <v>1832.81</v>
      </c>
      <c r="BQ39" s="5">
        <v>-0.6744</v>
      </c>
      <c r="BR39" s="5">
        <v>-0.7395</v>
      </c>
      <c r="BS39" s="4">
        <v>16</v>
      </c>
      <c r="BT39" s="6">
        <v>343.08</v>
      </c>
      <c r="BU39" s="4">
        <v>25</v>
      </c>
      <c r="BV39" s="6">
        <v>582.12</v>
      </c>
      <c r="BW39" s="5">
        <v>-0.36</v>
      </c>
      <c r="BX39" s="5">
        <v>-0.4106</v>
      </c>
      <c r="BY39" s="4">
        <v>2</v>
      </c>
      <c r="BZ39" s="6">
        <v>53.8</v>
      </c>
      <c r="CA39" s="4">
        <v>26</v>
      </c>
      <c r="CB39" s="6">
        <v>568.75</v>
      </c>
      <c r="CC39" s="5">
        <v>-0.9231</v>
      </c>
      <c r="CD39" s="5">
        <v>-0.9054</v>
      </c>
      <c r="CE39" s="4">
        <v>148</v>
      </c>
      <c r="CF39" s="6">
        <v>3014.47</v>
      </c>
      <c r="CG39" s="4">
        <v>299</v>
      </c>
      <c r="CH39" s="6">
        <v>6367.05</v>
      </c>
      <c r="CI39" s="5">
        <v>-0.505</v>
      </c>
      <c r="CJ39" s="5">
        <v>-0.5266</v>
      </c>
      <c r="CK39" s="4"/>
      <c r="CL39" s="6"/>
      <c r="CM39" s="4"/>
      <c r="CN39" s="6"/>
      <c r="CO39" s="5"/>
      <c r="CP39" s="5"/>
      <c r="CQ39" s="4">
        <v>6</v>
      </c>
      <c r="CR39" s="6">
        <v>131.88</v>
      </c>
      <c r="CS39" s="4"/>
      <c r="CT39" s="6"/>
      <c r="CU39" s="5"/>
      <c r="CV39" s="5"/>
      <c r="CW39" s="4">
        <v>36</v>
      </c>
      <c r="CX39" s="6">
        <v>572.88</v>
      </c>
      <c r="CY39" s="4">
        <v>54</v>
      </c>
      <c r="CZ39" s="6">
        <v>963.48</v>
      </c>
      <c r="DA39" s="5">
        <v>-0.3333</v>
      </c>
      <c r="DB39" s="5">
        <v>-0.4054</v>
      </c>
      <c r="DC39" s="4"/>
      <c r="DD39" s="6"/>
      <c r="DE39" s="4"/>
      <c r="DF39" s="6"/>
      <c r="DG39" s="5"/>
      <c r="DH39" s="5"/>
      <c r="DI39" s="4">
        <v>16</v>
      </c>
      <c r="DJ39" s="6">
        <v>627.69</v>
      </c>
      <c r="DK39" s="4">
        <v>3</v>
      </c>
      <c r="DL39" s="6">
        <v>132.67</v>
      </c>
      <c r="DM39" s="5">
        <v>4.3333</v>
      </c>
      <c r="DN39" s="5">
        <v>3.7312</v>
      </c>
      <c r="DO39" s="4">
        <v>1</v>
      </c>
      <c r="DP39" s="6">
        <v>17.58</v>
      </c>
      <c r="DQ39" s="4">
        <v>19</v>
      </c>
      <c r="DR39" s="6">
        <v>502.13</v>
      </c>
      <c r="DS39" s="5">
        <v>-0.9474</v>
      </c>
      <c r="DT39" s="5">
        <v>-0.965</v>
      </c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>
        <v>3</v>
      </c>
      <c r="ET39" s="6">
        <v>56.41</v>
      </c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>
        <v>23</v>
      </c>
      <c r="FT39" s="6">
        <v>530.35</v>
      </c>
      <c r="FU39" s="5"/>
      <c r="FV39" s="5"/>
      <c r="FW39" s="4"/>
      <c r="FX39" s="6"/>
      <c r="FY39" s="4">
        <v>24</v>
      </c>
      <c r="FZ39" s="6">
        <v>507.63</v>
      </c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6"/>
      <c r="IA39" s="4"/>
      <c r="IB39" s="6"/>
      <c r="IC39" s="5"/>
      <c r="ID39" s="5"/>
      <c r="IE39" s="4"/>
      <c r="IF39" s="6"/>
      <c r="IG39" s="4"/>
      <c r="IH39" s="6"/>
      <c r="II39" s="5"/>
      <c r="IJ39" s="5"/>
      <c r="IK39" s="4"/>
      <c r="IL39" s="6"/>
      <c r="IM39" s="4"/>
      <c r="IN39" s="6"/>
      <c r="IO39" s="5"/>
      <c r="IP39" s="5"/>
      <c r="IQ39" s="4"/>
      <c r="IR39" s="6"/>
      <c r="IS39" s="4"/>
      <c r="IT39" s="6"/>
      <c r="IU39" s="5"/>
      <c r="IV39" s="5"/>
      <c r="IW39" s="4"/>
      <c r="IX39" s="6"/>
      <c r="IY39" s="4"/>
      <c r="IZ39" s="6"/>
      <c r="JA39" s="5"/>
      <c r="JB39" s="5"/>
      <c r="JC39" s="4"/>
      <c r="JD39" s="6"/>
      <c r="JE39" s="4"/>
      <c r="JF39" s="6"/>
      <c r="JG39" s="5"/>
      <c r="JH39" s="5"/>
      <c r="JI39" s="4">
        <v>607</v>
      </c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>
        <v>5867</v>
      </c>
      <c r="LD39" s="4"/>
      <c r="LE39" s="4"/>
      <c r="LF39" s="4"/>
      <c r="LG39" s="4"/>
      <c r="LH39" s="4"/>
      <c r="LI39" s="4"/>
      <c r="LJ39" s="4"/>
      <c r="LK39" s="4"/>
    </row>
    <row r="40">
      <c r="A40" s="3" t="s">
        <v>136</v>
      </c>
      <c r="B40" s="3" t="s">
        <v>181</v>
      </c>
      <c r="C40" s="3" t="s">
        <v>138</v>
      </c>
      <c r="D40" s="3" t="s">
        <v>139</v>
      </c>
      <c r="E40" s="3" t="s">
        <v>186</v>
      </c>
      <c r="F40" s="3" t="s">
        <v>186</v>
      </c>
      <c r="G40" s="3" t="s">
        <v>186</v>
      </c>
      <c r="H40" s="3" t="s">
        <v>146</v>
      </c>
      <c r="I40" s="4">
        <v>1374</v>
      </c>
      <c r="J40" s="4">
        <f>=ROUNDDOWN(10.4566210045662,0)</f>
      </c>
      <c r="K40" s="4">
        <v>3685</v>
      </c>
      <c r="L40" s="5">
        <v>0.9562</v>
      </c>
      <c r="M40" s="4"/>
      <c r="N40" s="4">
        <f>=ROUNDDOWN({0},0)</f>
      </c>
      <c r="O40" s="4"/>
      <c r="P40" s="5"/>
      <c r="Q40" s="4">
        <v>1145</v>
      </c>
      <c r="R40" s="6">
        <v>17905.36</v>
      </c>
      <c r="S40" s="4">
        <v>1613</v>
      </c>
      <c r="T40" s="6">
        <v>26074.36</v>
      </c>
      <c r="U40" s="5">
        <v>-0.2901</v>
      </c>
      <c r="V40" s="5">
        <v>-0.3133</v>
      </c>
      <c r="W40" s="4">
        <v>566</v>
      </c>
      <c r="X40" s="6">
        <v>8701.84</v>
      </c>
      <c r="Y40" s="4">
        <v>258</v>
      </c>
      <c r="Z40" s="6">
        <v>3872.32</v>
      </c>
      <c r="AA40" s="5">
        <v>1.1938</v>
      </c>
      <c r="AB40" s="5">
        <v>1.2472</v>
      </c>
      <c r="AC40" s="4">
        <v>26</v>
      </c>
      <c r="AD40" s="6">
        <v>405.67</v>
      </c>
      <c r="AE40" s="4">
        <v>25</v>
      </c>
      <c r="AF40" s="6">
        <v>403.32</v>
      </c>
      <c r="AG40" s="5">
        <v>0.04</v>
      </c>
      <c r="AH40" s="5">
        <v>0.0058</v>
      </c>
      <c r="AI40" s="4">
        <v>1</v>
      </c>
      <c r="AJ40" s="6">
        <v>32.99</v>
      </c>
      <c r="AK40" s="4"/>
      <c r="AL40" s="6"/>
      <c r="AM40" s="5"/>
      <c r="AN40" s="5"/>
      <c r="AO40" s="4">
        <v>338</v>
      </c>
      <c r="AP40" s="6">
        <v>5573.38</v>
      </c>
      <c r="AQ40" s="4">
        <v>873</v>
      </c>
      <c r="AR40" s="6">
        <v>14801.06</v>
      </c>
      <c r="AS40" s="5">
        <v>-0.6128</v>
      </c>
      <c r="AT40" s="5">
        <v>-0.6234</v>
      </c>
      <c r="AU40" s="4"/>
      <c r="AV40" s="6"/>
      <c r="AW40" s="4"/>
      <c r="AX40" s="6"/>
      <c r="AY40" s="5"/>
      <c r="AZ40" s="5"/>
      <c r="BA40" s="4"/>
      <c r="BB40" s="6"/>
      <c r="BC40" s="4"/>
      <c r="BD40" s="6"/>
      <c r="BE40" s="5"/>
      <c r="BF40" s="5"/>
      <c r="BG40" s="4">
        <v>136</v>
      </c>
      <c r="BH40" s="6">
        <v>2117.02</v>
      </c>
      <c r="BI40" s="4">
        <v>203</v>
      </c>
      <c r="BJ40" s="6">
        <v>3206.47</v>
      </c>
      <c r="BK40" s="5">
        <v>-0.33</v>
      </c>
      <c r="BL40" s="5">
        <v>-0.3398</v>
      </c>
      <c r="BM40" s="4">
        <v>34</v>
      </c>
      <c r="BN40" s="6">
        <v>427.6</v>
      </c>
      <c r="BO40" s="4">
        <v>21</v>
      </c>
      <c r="BP40" s="6">
        <v>276.37</v>
      </c>
      <c r="BQ40" s="5">
        <v>0.619</v>
      </c>
      <c r="BR40" s="5">
        <v>0.5472</v>
      </c>
      <c r="BS40" s="4">
        <v>18</v>
      </c>
      <c r="BT40" s="6">
        <v>273.9</v>
      </c>
      <c r="BU40" s="4">
        <v>41</v>
      </c>
      <c r="BV40" s="6">
        <v>625.25</v>
      </c>
      <c r="BW40" s="5">
        <v>-0.561</v>
      </c>
      <c r="BX40" s="5">
        <v>-0.5619</v>
      </c>
      <c r="BY40" s="4"/>
      <c r="BZ40" s="6"/>
      <c r="CA40" s="4">
        <v>73</v>
      </c>
      <c r="CB40" s="6">
        <v>1015.18</v>
      </c>
      <c r="CC40" s="5"/>
      <c r="CD40" s="5"/>
      <c r="CE40" s="4">
        <v>1</v>
      </c>
      <c r="CF40" s="6">
        <v>17.41</v>
      </c>
      <c r="CG40" s="4">
        <v>43</v>
      </c>
      <c r="CH40" s="6">
        <v>722.68</v>
      </c>
      <c r="CI40" s="5">
        <v>-0.9767</v>
      </c>
      <c r="CJ40" s="5">
        <v>-0.9759</v>
      </c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>
        <v>23</v>
      </c>
      <c r="CX40" s="6">
        <v>306.9</v>
      </c>
      <c r="CY40" s="4">
        <v>56</v>
      </c>
      <c r="CZ40" s="6">
        <v>813.2</v>
      </c>
      <c r="DA40" s="5">
        <v>-0.5893</v>
      </c>
      <c r="DB40" s="5">
        <v>-0.6226</v>
      </c>
      <c r="DC40" s="4"/>
      <c r="DD40" s="6"/>
      <c r="DE40" s="4"/>
      <c r="DF40" s="6"/>
      <c r="DG40" s="5"/>
      <c r="DH40" s="5"/>
      <c r="DI40" s="4">
        <v>1</v>
      </c>
      <c r="DJ40" s="6">
        <v>30.99</v>
      </c>
      <c r="DK40" s="4">
        <v>1</v>
      </c>
      <c r="DL40" s="6">
        <v>37.99</v>
      </c>
      <c r="DM40" s="5"/>
      <c r="DN40" s="5">
        <v>-0.1843</v>
      </c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>
        <v>1</v>
      </c>
      <c r="ET40" s="6">
        <v>17.66</v>
      </c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>
        <v>16</v>
      </c>
      <c r="FT40" s="6">
        <v>258.47</v>
      </c>
      <c r="FU40" s="5"/>
      <c r="FV40" s="5"/>
      <c r="FW40" s="4"/>
      <c r="FX40" s="6"/>
      <c r="FY40" s="4">
        <v>3</v>
      </c>
      <c r="FZ40" s="6">
        <v>42.05</v>
      </c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6"/>
      <c r="IA40" s="4"/>
      <c r="IB40" s="6"/>
      <c r="IC40" s="5"/>
      <c r="ID40" s="5"/>
      <c r="IE40" s="4"/>
      <c r="IF40" s="6"/>
      <c r="IG40" s="4"/>
      <c r="IH40" s="6"/>
      <c r="II40" s="5"/>
      <c r="IJ40" s="5"/>
      <c r="IK40" s="4"/>
      <c r="IL40" s="6"/>
      <c r="IM40" s="4"/>
      <c r="IN40" s="6"/>
      <c r="IO40" s="5"/>
      <c r="IP40" s="5"/>
      <c r="IQ40" s="4"/>
      <c r="IR40" s="6"/>
      <c r="IS40" s="4"/>
      <c r="IT40" s="6"/>
      <c r="IU40" s="5"/>
      <c r="IV40" s="5"/>
      <c r="IW40" s="4"/>
      <c r="IX40" s="6"/>
      <c r="IY40" s="4"/>
      <c r="IZ40" s="6"/>
      <c r="JA40" s="5"/>
      <c r="JB40" s="5"/>
      <c r="JC40" s="4"/>
      <c r="JD40" s="6"/>
      <c r="JE40" s="4"/>
      <c r="JF40" s="6"/>
      <c r="JG40" s="5"/>
      <c r="JH40" s="5"/>
      <c r="JI40" s="4">
        <v>1354</v>
      </c>
      <c r="JJ40" s="4"/>
      <c r="JK40" s="4"/>
      <c r="JL40" s="4"/>
      <c r="JM40" s="4"/>
      <c r="JN40" s="4"/>
      <c r="JO40" s="4"/>
      <c r="JP40" s="4">
        <v>20</v>
      </c>
      <c r="JQ40" s="4"/>
      <c r="JR40" s="4"/>
      <c r="JS40" s="4"/>
      <c r="JT40" s="4"/>
      <c r="JU40" s="4"/>
      <c r="JV40" s="4"/>
      <c r="JW40" s="4"/>
      <c r="JX40" s="4"/>
      <c r="JY40" s="4">
        <v>710</v>
      </c>
      <c r="JZ40" s="4"/>
      <c r="KA40" s="4"/>
      <c r="KB40" s="4"/>
      <c r="KC40" s="4"/>
      <c r="KD40" s="4"/>
      <c r="KE40" s="4"/>
      <c r="KF40" s="4"/>
      <c r="KG40" s="4"/>
      <c r="KH40" s="4">
        <v>1445</v>
      </c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>
        <v>700</v>
      </c>
      <c r="LC40" s="4"/>
      <c r="LD40" s="4"/>
      <c r="LE40" s="4"/>
      <c r="LF40" s="4"/>
      <c r="LG40" s="4"/>
      <c r="LH40" s="4"/>
      <c r="LI40" s="4"/>
      <c r="LJ40" s="4"/>
      <c r="LK40" s="4">
        <v>830</v>
      </c>
    </row>
    <row r="41">
      <c r="A41" s="3" t="s">
        <v>136</v>
      </c>
      <c r="B41" s="3" t="s">
        <v>181</v>
      </c>
      <c r="C41" s="3" t="s">
        <v>138</v>
      </c>
      <c r="D41" s="3" t="s">
        <v>139</v>
      </c>
      <c r="E41" s="3" t="s">
        <v>187</v>
      </c>
      <c r="F41" s="3" t="s">
        <v>187</v>
      </c>
      <c r="G41" s="3" t="s">
        <v>187</v>
      </c>
      <c r="H41" s="3" t="s">
        <v>146</v>
      </c>
      <c r="I41" s="4">
        <v>502</v>
      </c>
      <c r="J41" s="4">
        <f>=ROUNDDOWN(9.12727272727273,0)</f>
      </c>
      <c r="K41" s="4">
        <v>1475</v>
      </c>
      <c r="L41" s="5">
        <v>0.8114</v>
      </c>
      <c r="M41" s="4"/>
      <c r="N41" s="4">
        <f>=ROUNDDOWN({0},0)</f>
      </c>
      <c r="O41" s="4"/>
      <c r="P41" s="5"/>
      <c r="Q41" s="4">
        <v>615</v>
      </c>
      <c r="R41" s="6">
        <v>9993.09</v>
      </c>
      <c r="S41" s="4">
        <v>20</v>
      </c>
      <c r="T41" s="6">
        <v>324.46</v>
      </c>
      <c r="U41" s="5">
        <v>29.75</v>
      </c>
      <c r="V41" s="5">
        <v>29.7991</v>
      </c>
      <c r="W41" s="4">
        <v>57</v>
      </c>
      <c r="X41" s="6">
        <v>897.81</v>
      </c>
      <c r="Y41" s="4"/>
      <c r="Z41" s="6"/>
      <c r="AA41" s="5"/>
      <c r="AB41" s="5"/>
      <c r="AC41" s="4">
        <v>6</v>
      </c>
      <c r="AD41" s="6">
        <v>91.83</v>
      </c>
      <c r="AE41" s="4"/>
      <c r="AF41" s="6"/>
      <c r="AG41" s="5"/>
      <c r="AH41" s="5"/>
      <c r="AI41" s="4"/>
      <c r="AJ41" s="6"/>
      <c r="AK41" s="4"/>
      <c r="AL41" s="6"/>
      <c r="AM41" s="5"/>
      <c r="AN41" s="5"/>
      <c r="AO41" s="4">
        <v>277</v>
      </c>
      <c r="AP41" s="6">
        <v>4696.54</v>
      </c>
      <c r="AQ41" s="4"/>
      <c r="AR41" s="6"/>
      <c r="AS41" s="5"/>
      <c r="AT41" s="5"/>
      <c r="AU41" s="4">
        <v>22</v>
      </c>
      <c r="AV41" s="6">
        <v>363.51</v>
      </c>
      <c r="AW41" s="4">
        <v>13</v>
      </c>
      <c r="AX41" s="6">
        <v>214.5</v>
      </c>
      <c r="AY41" s="5">
        <v>0.6923</v>
      </c>
      <c r="AZ41" s="5">
        <v>0.6947</v>
      </c>
      <c r="BA41" s="4">
        <v>194</v>
      </c>
      <c r="BB41" s="6">
        <v>2942.38</v>
      </c>
      <c r="BC41" s="4"/>
      <c r="BD41" s="6"/>
      <c r="BE41" s="5"/>
      <c r="BF41" s="5"/>
      <c r="BG41" s="4">
        <v>30</v>
      </c>
      <c r="BH41" s="6">
        <v>499.12</v>
      </c>
      <c r="BI41" s="4">
        <v>4</v>
      </c>
      <c r="BJ41" s="6">
        <v>67.37</v>
      </c>
      <c r="BK41" s="5">
        <v>6.5</v>
      </c>
      <c r="BL41" s="5">
        <v>6.4086</v>
      </c>
      <c r="BM41" s="4"/>
      <c r="BN41" s="6"/>
      <c r="BO41" s="4"/>
      <c r="BP41" s="6"/>
      <c r="BQ41" s="5"/>
      <c r="BR41" s="5"/>
      <c r="BS41" s="4">
        <v>6</v>
      </c>
      <c r="BT41" s="6">
        <v>106.41</v>
      </c>
      <c r="BU41" s="4"/>
      <c r="BV41" s="6"/>
      <c r="BW41" s="5"/>
      <c r="BX41" s="5"/>
      <c r="BY41" s="4">
        <v>6</v>
      </c>
      <c r="BZ41" s="6">
        <v>101.65</v>
      </c>
      <c r="CA41" s="4">
        <v>2</v>
      </c>
      <c r="CB41" s="6">
        <v>25.1</v>
      </c>
      <c r="CC41" s="5">
        <v>2</v>
      </c>
      <c r="CD41" s="5">
        <v>3.0498</v>
      </c>
      <c r="CE41" s="4">
        <v>17</v>
      </c>
      <c r="CF41" s="6">
        <v>293.84</v>
      </c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>
        <v>1</v>
      </c>
      <c r="DL41" s="6">
        <v>17.49</v>
      </c>
      <c r="DM41" s="5"/>
      <c r="DN41" s="5"/>
      <c r="DO41" s="4"/>
      <c r="DP41" s="6"/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6"/>
      <c r="IA41" s="4"/>
      <c r="IB41" s="6"/>
      <c r="IC41" s="5"/>
      <c r="ID41" s="5"/>
      <c r="IE41" s="4"/>
      <c r="IF41" s="6"/>
      <c r="IG41" s="4"/>
      <c r="IH41" s="6"/>
      <c r="II41" s="5"/>
      <c r="IJ41" s="5"/>
      <c r="IK41" s="4"/>
      <c r="IL41" s="6"/>
      <c r="IM41" s="4"/>
      <c r="IN41" s="6"/>
      <c r="IO41" s="5"/>
      <c r="IP41" s="5"/>
      <c r="IQ41" s="4"/>
      <c r="IR41" s="6"/>
      <c r="IS41" s="4"/>
      <c r="IT41" s="6"/>
      <c r="IU41" s="5"/>
      <c r="IV41" s="5"/>
      <c r="IW41" s="4"/>
      <c r="IX41" s="6"/>
      <c r="IY41" s="4"/>
      <c r="IZ41" s="6"/>
      <c r="JA41" s="5"/>
      <c r="JB41" s="5"/>
      <c r="JC41" s="4"/>
      <c r="JD41" s="6"/>
      <c r="JE41" s="4"/>
      <c r="JF41" s="6"/>
      <c r="JG41" s="5"/>
      <c r="JH41" s="5"/>
      <c r="JI41" s="4">
        <v>502</v>
      </c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>
        <v>330</v>
      </c>
      <c r="KT41" s="4"/>
      <c r="KU41" s="4"/>
      <c r="KV41" s="4"/>
      <c r="KW41" s="4"/>
      <c r="KX41" s="4">
        <v>235</v>
      </c>
      <c r="KY41" s="4"/>
      <c r="KZ41" s="4"/>
      <c r="LA41" s="4"/>
      <c r="LB41" s="4">
        <v>230</v>
      </c>
      <c r="LC41" s="4"/>
      <c r="LD41" s="4"/>
      <c r="LE41" s="4">
        <v>310</v>
      </c>
      <c r="LF41" s="4"/>
      <c r="LG41" s="4"/>
      <c r="LH41" s="4"/>
      <c r="LI41" s="4"/>
      <c r="LJ41" s="4"/>
      <c r="LK41" s="4">
        <v>370</v>
      </c>
    </row>
    <row r="42">
      <c r="A42" s="3" t="s">
        <v>136</v>
      </c>
      <c r="B42" s="3" t="s">
        <v>181</v>
      </c>
      <c r="C42" s="3" t="s">
        <v>138</v>
      </c>
      <c r="D42" s="3" t="s">
        <v>139</v>
      </c>
      <c r="E42" s="3" t="s">
        <v>162</v>
      </c>
      <c r="F42" s="3" t="s">
        <v>162</v>
      </c>
      <c r="G42" s="3" t="s">
        <v>162</v>
      </c>
      <c r="H42" s="3" t="s">
        <v>146</v>
      </c>
      <c r="I42" s="4">
        <v>1114</v>
      </c>
      <c r="J42" s="4">
        <f>=ROUNDDOWN(28.4183673469388,0)</f>
      </c>
      <c r="K42" s="4"/>
      <c r="L42" s="5"/>
      <c r="M42" s="4"/>
      <c r="N42" s="4">
        <f>=ROUNDDOWN({0},0)</f>
      </c>
      <c r="O42" s="4"/>
      <c r="P42" s="5"/>
      <c r="Q42" s="4">
        <v>136</v>
      </c>
      <c r="R42" s="6">
        <v>1747.56</v>
      </c>
      <c r="S42" s="4">
        <v>3486</v>
      </c>
      <c r="T42" s="6">
        <v>41998.66</v>
      </c>
      <c r="U42" s="5">
        <v>-0.961</v>
      </c>
      <c r="V42" s="5">
        <v>-0.9584</v>
      </c>
      <c r="W42" s="4"/>
      <c r="X42" s="6"/>
      <c r="Y42" s="4">
        <v>1254</v>
      </c>
      <c r="Z42" s="6">
        <v>15293.82</v>
      </c>
      <c r="AA42" s="5"/>
      <c r="AB42" s="5"/>
      <c r="AC42" s="4">
        <v>4</v>
      </c>
      <c r="AD42" s="6">
        <v>54.84</v>
      </c>
      <c r="AE42" s="4">
        <v>14</v>
      </c>
      <c r="AF42" s="6">
        <v>201.48</v>
      </c>
      <c r="AG42" s="5">
        <v>-0.7143</v>
      </c>
      <c r="AH42" s="5">
        <v>-0.7278</v>
      </c>
      <c r="AI42" s="4"/>
      <c r="AJ42" s="6"/>
      <c r="AK42" s="4"/>
      <c r="AL42" s="6"/>
      <c r="AM42" s="5"/>
      <c r="AN42" s="5"/>
      <c r="AO42" s="4">
        <v>16</v>
      </c>
      <c r="AP42" s="6">
        <v>218.04</v>
      </c>
      <c r="AQ42" s="4">
        <v>187</v>
      </c>
      <c r="AR42" s="6">
        <v>2819.4</v>
      </c>
      <c r="AS42" s="5">
        <v>-0.9144</v>
      </c>
      <c r="AT42" s="5">
        <v>-0.9227</v>
      </c>
      <c r="AU42" s="4">
        <v>14</v>
      </c>
      <c r="AV42" s="6">
        <v>202.56</v>
      </c>
      <c r="AW42" s="4">
        <v>223</v>
      </c>
      <c r="AX42" s="6">
        <v>3562.63</v>
      </c>
      <c r="AY42" s="5">
        <v>-0.9372</v>
      </c>
      <c r="AZ42" s="5">
        <v>-0.9431</v>
      </c>
      <c r="BA42" s="4">
        <v>39</v>
      </c>
      <c r="BB42" s="6">
        <v>505.83</v>
      </c>
      <c r="BC42" s="4">
        <v>34</v>
      </c>
      <c r="BD42" s="6">
        <v>440.98</v>
      </c>
      <c r="BE42" s="5">
        <v>0.1471</v>
      </c>
      <c r="BF42" s="5">
        <v>0.1471</v>
      </c>
      <c r="BG42" s="4"/>
      <c r="BH42" s="6"/>
      <c r="BI42" s="4">
        <v>1336</v>
      </c>
      <c r="BJ42" s="6">
        <v>13763.99</v>
      </c>
      <c r="BK42" s="5"/>
      <c r="BL42" s="5"/>
      <c r="BM42" s="4">
        <v>11</v>
      </c>
      <c r="BN42" s="6">
        <v>93.14</v>
      </c>
      <c r="BO42" s="4">
        <v>96</v>
      </c>
      <c r="BP42" s="6">
        <v>1239.95</v>
      </c>
      <c r="BQ42" s="5">
        <v>-0.8854</v>
      </c>
      <c r="BR42" s="5">
        <v>-0.9249</v>
      </c>
      <c r="BS42" s="4">
        <v>1</v>
      </c>
      <c r="BT42" s="6">
        <v>15.49</v>
      </c>
      <c r="BU42" s="4">
        <v>12</v>
      </c>
      <c r="BV42" s="6">
        <v>198.54</v>
      </c>
      <c r="BW42" s="5">
        <v>-0.9167</v>
      </c>
      <c r="BX42" s="5">
        <v>-0.922</v>
      </c>
      <c r="BY42" s="4">
        <v>3</v>
      </c>
      <c r="BZ42" s="6">
        <v>54.42</v>
      </c>
      <c r="CA42" s="4">
        <v>23</v>
      </c>
      <c r="CB42" s="6">
        <v>307.87</v>
      </c>
      <c r="CC42" s="5">
        <v>-0.8696</v>
      </c>
      <c r="CD42" s="5">
        <v>-0.8232</v>
      </c>
      <c r="CE42" s="4">
        <v>9</v>
      </c>
      <c r="CF42" s="6">
        <v>113.34</v>
      </c>
      <c r="CG42" s="4">
        <v>69</v>
      </c>
      <c r="CH42" s="6">
        <v>989.29</v>
      </c>
      <c r="CI42" s="5">
        <v>-0.8696</v>
      </c>
      <c r="CJ42" s="5">
        <v>-0.8854</v>
      </c>
      <c r="CK42" s="4"/>
      <c r="CL42" s="6"/>
      <c r="CM42" s="4"/>
      <c r="CN42" s="6"/>
      <c r="CO42" s="5"/>
      <c r="CP42" s="5"/>
      <c r="CQ42" s="4"/>
      <c r="CR42" s="6"/>
      <c r="CS42" s="4">
        <v>14</v>
      </c>
      <c r="CT42" s="6">
        <v>205.69</v>
      </c>
      <c r="CU42" s="5"/>
      <c r="CV42" s="5"/>
      <c r="CW42" s="4">
        <v>31</v>
      </c>
      <c r="CX42" s="6">
        <v>372.96</v>
      </c>
      <c r="CY42" s="4">
        <v>179</v>
      </c>
      <c r="CZ42" s="6">
        <v>2281.18</v>
      </c>
      <c r="DA42" s="5">
        <v>-0.8268</v>
      </c>
      <c r="DB42" s="5">
        <v>-0.8365</v>
      </c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>
        <v>4</v>
      </c>
      <c r="DP42" s="6">
        <v>61.89</v>
      </c>
      <c r="DQ42" s="4">
        <v>27</v>
      </c>
      <c r="DR42" s="6">
        <v>444</v>
      </c>
      <c r="DS42" s="5">
        <v>-0.8519</v>
      </c>
      <c r="DT42" s="5">
        <v>-0.8606</v>
      </c>
      <c r="DU42" s="4"/>
      <c r="DV42" s="6"/>
      <c r="DW42" s="4"/>
      <c r="DX42" s="6"/>
      <c r="DY42" s="5"/>
      <c r="DZ42" s="5"/>
      <c r="EA42" s="4">
        <v>4</v>
      </c>
      <c r="EB42" s="6">
        <v>55.05</v>
      </c>
      <c r="EC42" s="4">
        <v>4</v>
      </c>
      <c r="ED42" s="6">
        <v>59.54</v>
      </c>
      <c r="EE42" s="5"/>
      <c r="EF42" s="5">
        <v>-0.0754</v>
      </c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>
        <v>14</v>
      </c>
      <c r="FT42" s="6">
        <v>190.3</v>
      </c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6"/>
      <c r="IA42" s="4"/>
      <c r="IB42" s="6"/>
      <c r="IC42" s="5"/>
      <c r="ID42" s="5"/>
      <c r="IE42" s="4"/>
      <c r="IF42" s="6"/>
      <c r="IG42" s="4"/>
      <c r="IH42" s="6"/>
      <c r="II42" s="5"/>
      <c r="IJ42" s="5"/>
      <c r="IK42" s="4"/>
      <c r="IL42" s="6"/>
      <c r="IM42" s="4"/>
      <c r="IN42" s="6"/>
      <c r="IO42" s="5"/>
      <c r="IP42" s="5"/>
      <c r="IQ42" s="4"/>
      <c r="IR42" s="6"/>
      <c r="IS42" s="4"/>
      <c r="IT42" s="6"/>
      <c r="IU42" s="5"/>
      <c r="IV42" s="5"/>
      <c r="IW42" s="4"/>
      <c r="IX42" s="6"/>
      <c r="IY42" s="4"/>
      <c r="IZ42" s="6"/>
      <c r="JA42" s="5"/>
      <c r="JB42" s="5"/>
      <c r="JC42" s="4"/>
      <c r="JD42" s="6"/>
      <c r="JE42" s="4"/>
      <c r="JF42" s="6"/>
      <c r="JG42" s="5"/>
      <c r="JH42" s="5"/>
      <c r="JI42" s="4">
        <v>1114</v>
      </c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</row>
    <row r="43">
      <c r="A43" s="3" t="s">
        <v>136</v>
      </c>
      <c r="B43" s="3" t="s">
        <v>181</v>
      </c>
      <c r="C43" s="3" t="s">
        <v>138</v>
      </c>
      <c r="D43" s="3" t="s">
        <v>139</v>
      </c>
      <c r="E43" s="3" t="s">
        <v>162</v>
      </c>
      <c r="F43" s="3" t="s">
        <v>188</v>
      </c>
      <c r="G43" s="3" t="s">
        <v>188</v>
      </c>
      <c r="H43" s="3" t="s">
        <v>146</v>
      </c>
      <c r="I43" s="4"/>
      <c r="J43" s="4">
        <f>=ROUNDDOWN({0},0)</f>
      </c>
      <c r="K43" s="4"/>
      <c r="L43" s="5"/>
      <c r="M43" s="4"/>
      <c r="N43" s="4">
        <f>=ROUNDDOWN({0},0)</f>
      </c>
      <c r="O43" s="4"/>
      <c r="P43" s="5"/>
      <c r="Q43" s="4"/>
      <c r="R43" s="6"/>
      <c r="S43" s="4">
        <v>1269</v>
      </c>
      <c r="T43" s="6">
        <v>16177.14</v>
      </c>
      <c r="U43" s="5"/>
      <c r="V43" s="5"/>
      <c r="W43" s="4"/>
      <c r="X43" s="6"/>
      <c r="Y43" s="4">
        <v>328</v>
      </c>
      <c r="Z43" s="6">
        <v>4021.8</v>
      </c>
      <c r="AA43" s="5"/>
      <c r="AB43" s="5"/>
      <c r="AC43" s="4"/>
      <c r="AD43" s="6"/>
      <c r="AE43" s="4">
        <v>1</v>
      </c>
      <c r="AF43" s="6">
        <v>15.58</v>
      </c>
      <c r="AG43" s="5"/>
      <c r="AH43" s="5"/>
      <c r="AI43" s="4"/>
      <c r="AJ43" s="6"/>
      <c r="AK43" s="4"/>
      <c r="AL43" s="6"/>
      <c r="AM43" s="5"/>
      <c r="AN43" s="5"/>
      <c r="AO43" s="4"/>
      <c r="AP43" s="6"/>
      <c r="AQ43" s="4">
        <v>186</v>
      </c>
      <c r="AR43" s="6">
        <v>2950.9</v>
      </c>
      <c r="AS43" s="5"/>
      <c r="AT43" s="5"/>
      <c r="AU43" s="4"/>
      <c r="AV43" s="6"/>
      <c r="AW43" s="4">
        <v>61</v>
      </c>
      <c r="AX43" s="6">
        <v>1085.73</v>
      </c>
      <c r="AY43" s="5"/>
      <c r="AZ43" s="5"/>
      <c r="BA43" s="4"/>
      <c r="BB43" s="6"/>
      <c r="BC43" s="4">
        <v>12</v>
      </c>
      <c r="BD43" s="6">
        <v>137.88</v>
      </c>
      <c r="BE43" s="5"/>
      <c r="BF43" s="5"/>
      <c r="BG43" s="4"/>
      <c r="BH43" s="6"/>
      <c r="BI43" s="4">
        <v>622</v>
      </c>
      <c r="BJ43" s="6">
        <v>7028.61</v>
      </c>
      <c r="BK43" s="5"/>
      <c r="BL43" s="5"/>
      <c r="BM43" s="4"/>
      <c r="BN43" s="6"/>
      <c r="BO43" s="4">
        <v>8</v>
      </c>
      <c r="BP43" s="6">
        <v>110.85</v>
      </c>
      <c r="BQ43" s="5"/>
      <c r="BR43" s="5"/>
      <c r="BS43" s="4"/>
      <c r="BT43" s="6"/>
      <c r="BU43" s="4">
        <v>6</v>
      </c>
      <c r="BV43" s="6">
        <v>100.28</v>
      </c>
      <c r="BW43" s="5"/>
      <c r="BX43" s="5"/>
      <c r="BY43" s="4"/>
      <c r="BZ43" s="6"/>
      <c r="CA43" s="4">
        <v>5</v>
      </c>
      <c r="CB43" s="6">
        <v>75.6</v>
      </c>
      <c r="CC43" s="5"/>
      <c r="CD43" s="5"/>
      <c r="CE43" s="4"/>
      <c r="CF43" s="6"/>
      <c r="CG43" s="4">
        <v>13</v>
      </c>
      <c r="CH43" s="6">
        <v>216.68</v>
      </c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>
        <v>5</v>
      </c>
      <c r="CT43" s="6">
        <v>81.37</v>
      </c>
      <c r="CU43" s="5"/>
      <c r="CV43" s="5"/>
      <c r="CW43" s="4"/>
      <c r="CX43" s="6"/>
      <c r="CY43" s="4">
        <v>4</v>
      </c>
      <c r="CZ43" s="6">
        <v>59.56</v>
      </c>
      <c r="DA43" s="5"/>
      <c r="DB43" s="5"/>
      <c r="DC43" s="4"/>
      <c r="DD43" s="6"/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>
        <v>13</v>
      </c>
      <c r="DR43" s="6">
        <v>234.14</v>
      </c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>
        <v>1</v>
      </c>
      <c r="ED43" s="6">
        <v>13.31</v>
      </c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>
        <v>4</v>
      </c>
      <c r="FT43" s="6">
        <v>44.85</v>
      </c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6"/>
      <c r="IA43" s="4"/>
      <c r="IB43" s="6"/>
      <c r="IC43" s="5"/>
      <c r="ID43" s="5"/>
      <c r="IE43" s="4"/>
      <c r="IF43" s="6"/>
      <c r="IG43" s="4"/>
      <c r="IH43" s="6"/>
      <c r="II43" s="5"/>
      <c r="IJ43" s="5"/>
      <c r="IK43" s="4"/>
      <c r="IL43" s="6"/>
      <c r="IM43" s="4"/>
      <c r="IN43" s="6"/>
      <c r="IO43" s="5"/>
      <c r="IP43" s="5"/>
      <c r="IQ43" s="4"/>
      <c r="IR43" s="6"/>
      <c r="IS43" s="4"/>
      <c r="IT43" s="6"/>
      <c r="IU43" s="5"/>
      <c r="IV43" s="5"/>
      <c r="IW43" s="4"/>
      <c r="IX43" s="6"/>
      <c r="IY43" s="4"/>
      <c r="IZ43" s="6"/>
      <c r="JA43" s="5"/>
      <c r="JB43" s="5"/>
      <c r="JC43" s="4"/>
      <c r="JD43" s="6"/>
      <c r="JE43" s="4"/>
      <c r="JF43" s="6"/>
      <c r="JG43" s="5"/>
      <c r="JH43" s="5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</row>
    <row r="44">
      <c r="A44" s="3" t="s">
        <v>136</v>
      </c>
      <c r="B44" s="3" t="s">
        <v>181</v>
      </c>
      <c r="C44" s="3" t="s">
        <v>138</v>
      </c>
      <c r="D44" s="3" t="s">
        <v>139</v>
      </c>
      <c r="E44" s="3" t="s">
        <v>189</v>
      </c>
      <c r="F44" s="3" t="s">
        <v>189</v>
      </c>
      <c r="G44" s="3" t="s">
        <v>189</v>
      </c>
      <c r="H44" s="3" t="s">
        <v>146</v>
      </c>
      <c r="I44" s="4"/>
      <c r="J44" s="4">
        <f>=ROUNDDOWN({0},0)</f>
      </c>
      <c r="K44" s="4"/>
      <c r="L44" s="5"/>
      <c r="M44" s="4"/>
      <c r="N44" s="4">
        <f>=ROUNDDOWN({0},0)</f>
      </c>
      <c r="O44" s="4"/>
      <c r="P44" s="5"/>
      <c r="Q44" s="4"/>
      <c r="R44" s="6"/>
      <c r="S44" s="4">
        <v>42</v>
      </c>
      <c r="T44" s="6">
        <v>775.57</v>
      </c>
      <c r="U44" s="5"/>
      <c r="V44" s="5"/>
      <c r="W44" s="4"/>
      <c r="X44" s="6"/>
      <c r="Y44" s="4"/>
      <c r="Z44" s="6"/>
      <c r="AA44" s="5"/>
      <c r="AB44" s="5"/>
      <c r="AC44" s="4"/>
      <c r="AD44" s="6"/>
      <c r="AE44" s="4">
        <v>3</v>
      </c>
      <c r="AF44" s="6">
        <v>42.6</v>
      </c>
      <c r="AG44" s="5"/>
      <c r="AH44" s="5"/>
      <c r="AI44" s="4"/>
      <c r="AJ44" s="6"/>
      <c r="AK44" s="4"/>
      <c r="AL44" s="6"/>
      <c r="AM44" s="5"/>
      <c r="AN44" s="5"/>
      <c r="AO44" s="4"/>
      <c r="AP44" s="6"/>
      <c r="AQ44" s="4"/>
      <c r="AR44" s="6"/>
      <c r="AS44" s="5"/>
      <c r="AT44" s="5"/>
      <c r="AU44" s="4"/>
      <c r="AV44" s="6"/>
      <c r="AW44" s="4"/>
      <c r="AX44" s="6"/>
      <c r="AY44" s="5"/>
      <c r="AZ44" s="5"/>
      <c r="BA44" s="4"/>
      <c r="BB44" s="6"/>
      <c r="BC44" s="4"/>
      <c r="BD44" s="6"/>
      <c r="BE44" s="5"/>
      <c r="BF44" s="5"/>
      <c r="BG44" s="4"/>
      <c r="BH44" s="6"/>
      <c r="BI44" s="4">
        <v>7</v>
      </c>
      <c r="BJ44" s="6">
        <v>92.05</v>
      </c>
      <c r="BK44" s="5"/>
      <c r="BL44" s="5"/>
      <c r="BM44" s="4"/>
      <c r="BN44" s="6"/>
      <c r="BO44" s="4"/>
      <c r="BP44" s="6"/>
      <c r="BQ44" s="5"/>
      <c r="BR44" s="5"/>
      <c r="BS44" s="4"/>
      <c r="BT44" s="6"/>
      <c r="BU44" s="4">
        <v>6</v>
      </c>
      <c r="BV44" s="6">
        <v>116.1</v>
      </c>
      <c r="BW44" s="5"/>
      <c r="BX44" s="5"/>
      <c r="BY44" s="4"/>
      <c r="BZ44" s="6"/>
      <c r="CA44" s="4">
        <v>2</v>
      </c>
      <c r="CB44" s="6">
        <v>34.76</v>
      </c>
      <c r="CC44" s="5"/>
      <c r="CD44" s="5"/>
      <c r="CE44" s="4"/>
      <c r="CF44" s="6"/>
      <c r="CG44" s="4">
        <v>10</v>
      </c>
      <c r="CH44" s="6">
        <v>205.7</v>
      </c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/>
      <c r="CX44" s="6"/>
      <c r="CY44" s="4">
        <v>11</v>
      </c>
      <c r="CZ44" s="6">
        <v>209.55</v>
      </c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>
        <v>1</v>
      </c>
      <c r="DL44" s="6">
        <v>34.99</v>
      </c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/>
      <c r="ET44" s="6"/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>
        <v>2</v>
      </c>
      <c r="FT44" s="6">
        <v>39.82</v>
      </c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6"/>
      <c r="IA44" s="4"/>
      <c r="IB44" s="6"/>
      <c r="IC44" s="5"/>
      <c r="ID44" s="5"/>
      <c r="IE44" s="4"/>
      <c r="IF44" s="6"/>
      <c r="IG44" s="4"/>
      <c r="IH44" s="6"/>
      <c r="II44" s="5"/>
      <c r="IJ44" s="5"/>
      <c r="IK44" s="4"/>
      <c r="IL44" s="6"/>
      <c r="IM44" s="4"/>
      <c r="IN44" s="6"/>
      <c r="IO44" s="5"/>
      <c r="IP44" s="5"/>
      <c r="IQ44" s="4"/>
      <c r="IR44" s="6"/>
      <c r="IS44" s="4"/>
      <c r="IT44" s="6"/>
      <c r="IU44" s="5"/>
      <c r="IV44" s="5"/>
      <c r="IW44" s="4"/>
      <c r="IX44" s="6"/>
      <c r="IY44" s="4"/>
      <c r="IZ44" s="6"/>
      <c r="JA44" s="5"/>
      <c r="JB44" s="5"/>
      <c r="JC44" s="4"/>
      <c r="JD44" s="6"/>
      <c r="JE44" s="4"/>
      <c r="JF44" s="6"/>
      <c r="JG44" s="5"/>
      <c r="JH44" s="5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</row>
    <row r="45">
      <c r="A45" s="3" t="s">
        <v>136</v>
      </c>
      <c r="B45" s="3" t="s">
        <v>181</v>
      </c>
      <c r="C45" s="3" t="s">
        <v>190</v>
      </c>
      <c r="D45" s="3" t="s">
        <v>191</v>
      </c>
      <c r="E45" s="3" t="s">
        <v>192</v>
      </c>
      <c r="F45" s="3" t="s">
        <v>192</v>
      </c>
      <c r="G45" s="3" t="s">
        <v>192</v>
      </c>
      <c r="H45" s="3" t="s">
        <v>146</v>
      </c>
      <c r="I45" s="4">
        <v>272</v>
      </c>
      <c r="J45" s="4">
        <f>=ROUNDDOWN(29.247311827957,0)</f>
      </c>
      <c r="K45" s="4"/>
      <c r="L45" s="5"/>
      <c r="M45" s="4"/>
      <c r="N45" s="4">
        <f>=ROUNDDOWN({0},0)</f>
      </c>
      <c r="O45" s="4"/>
      <c r="P45" s="5"/>
      <c r="Q45" s="4">
        <v>23</v>
      </c>
      <c r="R45" s="6">
        <v>299.05</v>
      </c>
      <c r="S45" s="4">
        <v>30</v>
      </c>
      <c r="T45" s="6">
        <v>334.31</v>
      </c>
      <c r="U45" s="5">
        <v>-0.2333</v>
      </c>
      <c r="V45" s="5">
        <v>-0.1055</v>
      </c>
      <c r="W45" s="4">
        <v>2</v>
      </c>
      <c r="X45" s="6">
        <v>26.46</v>
      </c>
      <c r="Y45" s="4">
        <v>3</v>
      </c>
      <c r="Z45" s="6">
        <v>39.69</v>
      </c>
      <c r="AA45" s="5">
        <v>-0.3333</v>
      </c>
      <c r="AB45" s="5">
        <v>-0.3333</v>
      </c>
      <c r="AC45" s="4">
        <v>2</v>
      </c>
      <c r="AD45" s="6">
        <v>26.66</v>
      </c>
      <c r="AE45" s="4"/>
      <c r="AF45" s="6"/>
      <c r="AG45" s="5"/>
      <c r="AH45" s="5"/>
      <c r="AI45" s="4"/>
      <c r="AJ45" s="6"/>
      <c r="AK45" s="4"/>
      <c r="AL45" s="6"/>
      <c r="AM45" s="5"/>
      <c r="AN45" s="5"/>
      <c r="AO45" s="4"/>
      <c r="AP45" s="6"/>
      <c r="AQ45" s="4"/>
      <c r="AR45" s="6"/>
      <c r="AS45" s="5"/>
      <c r="AT45" s="5"/>
      <c r="AU45" s="4"/>
      <c r="AV45" s="6"/>
      <c r="AW45" s="4">
        <v>1</v>
      </c>
      <c r="AX45" s="6">
        <v>11.81</v>
      </c>
      <c r="AY45" s="5"/>
      <c r="AZ45" s="5"/>
      <c r="BA45" s="4">
        <v>2</v>
      </c>
      <c r="BB45" s="6">
        <v>24.8</v>
      </c>
      <c r="BC45" s="4">
        <v>12</v>
      </c>
      <c r="BD45" s="6">
        <v>149.73</v>
      </c>
      <c r="BE45" s="5">
        <v>-0.8333</v>
      </c>
      <c r="BF45" s="5">
        <v>-0.8344</v>
      </c>
      <c r="BG45" s="4">
        <v>7</v>
      </c>
      <c r="BH45" s="6">
        <v>61.67</v>
      </c>
      <c r="BI45" s="4">
        <v>11</v>
      </c>
      <c r="BJ45" s="6">
        <v>96.91</v>
      </c>
      <c r="BK45" s="5">
        <v>-0.3636</v>
      </c>
      <c r="BL45" s="5">
        <v>-0.3636</v>
      </c>
      <c r="BM45" s="4"/>
      <c r="BN45" s="6"/>
      <c r="BO45" s="4">
        <v>1</v>
      </c>
      <c r="BP45" s="6">
        <v>12.55</v>
      </c>
      <c r="BQ45" s="5"/>
      <c r="BR45" s="5"/>
      <c r="BS45" s="4"/>
      <c r="BT45" s="6"/>
      <c r="BU45" s="4"/>
      <c r="BV45" s="6"/>
      <c r="BW45" s="5"/>
      <c r="BX45" s="5"/>
      <c r="BY45" s="4">
        <v>7</v>
      </c>
      <c r="BZ45" s="6">
        <v>124.03</v>
      </c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>
        <v>3</v>
      </c>
      <c r="CX45" s="6">
        <v>35.43</v>
      </c>
      <c r="CY45" s="4">
        <v>2</v>
      </c>
      <c r="CZ45" s="6">
        <v>23.62</v>
      </c>
      <c r="DA45" s="5">
        <v>0.5</v>
      </c>
      <c r="DB45" s="5">
        <v>0.5</v>
      </c>
      <c r="DC45" s="4"/>
      <c r="DD45" s="6"/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6"/>
      <c r="IA45" s="4"/>
      <c r="IB45" s="6"/>
      <c r="IC45" s="5"/>
      <c r="ID45" s="5"/>
      <c r="IE45" s="4"/>
      <c r="IF45" s="6"/>
      <c r="IG45" s="4"/>
      <c r="IH45" s="6"/>
      <c r="II45" s="5"/>
      <c r="IJ45" s="5"/>
      <c r="IK45" s="4"/>
      <c r="IL45" s="6"/>
      <c r="IM45" s="4"/>
      <c r="IN45" s="6"/>
      <c r="IO45" s="5"/>
      <c r="IP45" s="5"/>
      <c r="IQ45" s="4"/>
      <c r="IR45" s="6"/>
      <c r="IS45" s="4"/>
      <c r="IT45" s="6"/>
      <c r="IU45" s="5"/>
      <c r="IV45" s="5"/>
      <c r="IW45" s="4"/>
      <c r="IX45" s="6"/>
      <c r="IY45" s="4"/>
      <c r="IZ45" s="6"/>
      <c r="JA45" s="5"/>
      <c r="JB45" s="5"/>
      <c r="JC45" s="4"/>
      <c r="JD45" s="6"/>
      <c r="JE45" s="4"/>
      <c r="JF45" s="6"/>
      <c r="JG45" s="5"/>
      <c r="JH45" s="5"/>
      <c r="JI45" s="4">
        <v>272</v>
      </c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</row>
    <row r="46">
      <c r="A46" s="3" t="s">
        <v>136</v>
      </c>
      <c r="B46" s="3" t="s">
        <v>193</v>
      </c>
      <c r="C46" s="3" t="s">
        <v>138</v>
      </c>
      <c r="D46" s="3" t="s">
        <v>139</v>
      </c>
      <c r="E46" s="3" t="s">
        <v>194</v>
      </c>
      <c r="F46" s="3" t="s">
        <v>194</v>
      </c>
      <c r="G46" s="3" t="s">
        <v>194</v>
      </c>
      <c r="H46" s="3" t="s">
        <v>195</v>
      </c>
      <c r="I46" s="4">
        <v>5213</v>
      </c>
      <c r="J46" s="4">
        <f>=ROUNDDOWN(25.679802955665,0)</f>
      </c>
      <c r="K46" s="4">
        <v>3210</v>
      </c>
      <c r="L46" s="5">
        <v>1</v>
      </c>
      <c r="M46" s="4"/>
      <c r="N46" s="4">
        <f>=ROUNDDOWN({0},0)</f>
      </c>
      <c r="O46" s="4"/>
      <c r="P46" s="5"/>
      <c r="Q46" s="4">
        <v>1640</v>
      </c>
      <c r="R46" s="6">
        <v>32800.07</v>
      </c>
      <c r="S46" s="4">
        <v>2074</v>
      </c>
      <c r="T46" s="6">
        <v>41887.57</v>
      </c>
      <c r="U46" s="5">
        <v>-0.2093</v>
      </c>
      <c r="V46" s="5">
        <v>-0.2169</v>
      </c>
      <c r="W46" s="4">
        <v>253</v>
      </c>
      <c r="X46" s="6">
        <v>5206.84</v>
      </c>
      <c r="Y46" s="4">
        <v>299</v>
      </c>
      <c r="Z46" s="6">
        <v>6101.97</v>
      </c>
      <c r="AA46" s="5">
        <v>-0.1538</v>
      </c>
      <c r="AB46" s="5">
        <v>-0.1467</v>
      </c>
      <c r="AC46" s="4">
        <v>33</v>
      </c>
      <c r="AD46" s="6">
        <v>749.11</v>
      </c>
      <c r="AE46" s="4">
        <v>23</v>
      </c>
      <c r="AF46" s="6">
        <v>502.94</v>
      </c>
      <c r="AG46" s="5">
        <v>0.4348</v>
      </c>
      <c r="AH46" s="5">
        <v>0.4895</v>
      </c>
      <c r="AI46" s="4"/>
      <c r="AJ46" s="6"/>
      <c r="AK46" s="4"/>
      <c r="AL46" s="6"/>
      <c r="AM46" s="5"/>
      <c r="AN46" s="5"/>
      <c r="AO46" s="4">
        <v>100</v>
      </c>
      <c r="AP46" s="6">
        <v>1927.14</v>
      </c>
      <c r="AQ46" s="4">
        <v>78</v>
      </c>
      <c r="AR46" s="6">
        <v>1439.8</v>
      </c>
      <c r="AS46" s="5">
        <v>0.2821</v>
      </c>
      <c r="AT46" s="5">
        <v>0.3385</v>
      </c>
      <c r="AU46" s="4">
        <v>74</v>
      </c>
      <c r="AV46" s="6">
        <v>1654.72</v>
      </c>
      <c r="AW46" s="4">
        <v>58</v>
      </c>
      <c r="AX46" s="6">
        <v>1253.53</v>
      </c>
      <c r="AY46" s="5">
        <v>0.2759</v>
      </c>
      <c r="AZ46" s="5">
        <v>0.32</v>
      </c>
      <c r="BA46" s="4">
        <v>411</v>
      </c>
      <c r="BB46" s="6">
        <v>7845.2</v>
      </c>
      <c r="BC46" s="4">
        <v>374</v>
      </c>
      <c r="BD46" s="6">
        <v>7186.78</v>
      </c>
      <c r="BE46" s="5">
        <v>0.0989</v>
      </c>
      <c r="BF46" s="5">
        <v>0.0916</v>
      </c>
      <c r="BG46" s="4">
        <v>289</v>
      </c>
      <c r="BH46" s="6">
        <v>5366.29</v>
      </c>
      <c r="BI46" s="4">
        <v>764</v>
      </c>
      <c r="BJ46" s="6">
        <v>15161.68</v>
      </c>
      <c r="BK46" s="5">
        <v>-0.6217</v>
      </c>
      <c r="BL46" s="5">
        <v>-0.6461</v>
      </c>
      <c r="BM46" s="4">
        <v>12</v>
      </c>
      <c r="BN46" s="6">
        <v>219.17</v>
      </c>
      <c r="BO46" s="4">
        <v>4</v>
      </c>
      <c r="BP46" s="6">
        <v>85.18</v>
      </c>
      <c r="BQ46" s="5">
        <v>2</v>
      </c>
      <c r="BR46" s="5">
        <v>1.573</v>
      </c>
      <c r="BS46" s="4">
        <v>88</v>
      </c>
      <c r="BT46" s="6">
        <v>1888.02</v>
      </c>
      <c r="BU46" s="4">
        <v>95</v>
      </c>
      <c r="BV46" s="6">
        <v>1992.6</v>
      </c>
      <c r="BW46" s="5">
        <v>-0.0737</v>
      </c>
      <c r="BX46" s="5">
        <v>-0.0525</v>
      </c>
      <c r="BY46" s="4">
        <v>247</v>
      </c>
      <c r="BZ46" s="6">
        <v>5004.21</v>
      </c>
      <c r="CA46" s="4">
        <v>74</v>
      </c>
      <c r="CB46" s="6">
        <v>1573.56</v>
      </c>
      <c r="CC46" s="5">
        <v>2.3378</v>
      </c>
      <c r="CD46" s="5">
        <v>2.1802</v>
      </c>
      <c r="CE46" s="4">
        <v>3</v>
      </c>
      <c r="CF46" s="6">
        <v>60.34</v>
      </c>
      <c r="CG46" s="4">
        <v>12</v>
      </c>
      <c r="CH46" s="6">
        <v>212.4</v>
      </c>
      <c r="CI46" s="5">
        <v>-0.75</v>
      </c>
      <c r="CJ46" s="5">
        <v>-0.7159</v>
      </c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>
        <v>2</v>
      </c>
      <c r="CX46" s="6">
        <v>34.02</v>
      </c>
      <c r="CY46" s="4">
        <v>15</v>
      </c>
      <c r="CZ46" s="6">
        <v>266.83</v>
      </c>
      <c r="DA46" s="5">
        <v>-0.8667</v>
      </c>
      <c r="DB46" s="5">
        <v>-0.8725</v>
      </c>
      <c r="DC46" s="4"/>
      <c r="DD46" s="6"/>
      <c r="DE46" s="4"/>
      <c r="DF46" s="6"/>
      <c r="DG46" s="5"/>
      <c r="DH46" s="5"/>
      <c r="DI46" s="4">
        <v>1</v>
      </c>
      <c r="DJ46" s="6">
        <v>30.35</v>
      </c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>
        <v>116</v>
      </c>
      <c r="DV46" s="6">
        <v>2595.2</v>
      </c>
      <c r="DW46" s="4">
        <v>161</v>
      </c>
      <c r="DX46" s="6">
        <v>3621.3</v>
      </c>
      <c r="DY46" s="5">
        <v>-0.2795</v>
      </c>
      <c r="DZ46" s="5">
        <v>-0.2834</v>
      </c>
      <c r="EA46" s="4">
        <v>11</v>
      </c>
      <c r="EB46" s="6">
        <v>219.46</v>
      </c>
      <c r="EC46" s="4">
        <v>11</v>
      </c>
      <c r="ED46" s="6">
        <v>219.5</v>
      </c>
      <c r="EE46" s="5"/>
      <c r="EF46" s="5">
        <v>-0.0002</v>
      </c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>
        <v>91</v>
      </c>
      <c r="FT46" s="6">
        <v>1947.74</v>
      </c>
      <c r="FU46" s="5"/>
      <c r="FV46" s="5"/>
      <c r="FW46" s="4"/>
      <c r="FX46" s="6"/>
      <c r="FY46" s="4">
        <v>8</v>
      </c>
      <c r="FZ46" s="6">
        <v>159.62</v>
      </c>
      <c r="GA46" s="5"/>
      <c r="GB46" s="5"/>
      <c r="GC46" s="4"/>
      <c r="GD46" s="6"/>
      <c r="GE46" s="4">
        <v>7</v>
      </c>
      <c r="GF46" s="6">
        <v>162.14</v>
      </c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6"/>
      <c r="IA46" s="4"/>
      <c r="IB46" s="6"/>
      <c r="IC46" s="5"/>
      <c r="ID46" s="5"/>
      <c r="IE46" s="4"/>
      <c r="IF46" s="6"/>
      <c r="IG46" s="4"/>
      <c r="IH46" s="6"/>
      <c r="II46" s="5"/>
      <c r="IJ46" s="5"/>
      <c r="IK46" s="4"/>
      <c r="IL46" s="6"/>
      <c r="IM46" s="4"/>
      <c r="IN46" s="6"/>
      <c r="IO46" s="5"/>
      <c r="IP46" s="5"/>
      <c r="IQ46" s="4"/>
      <c r="IR46" s="6"/>
      <c r="IS46" s="4"/>
      <c r="IT46" s="6"/>
      <c r="IU46" s="5"/>
      <c r="IV46" s="5"/>
      <c r="IW46" s="4"/>
      <c r="IX46" s="6"/>
      <c r="IY46" s="4"/>
      <c r="IZ46" s="6"/>
      <c r="JA46" s="5"/>
      <c r="JB46" s="5"/>
      <c r="JC46" s="4"/>
      <c r="JD46" s="6"/>
      <c r="JE46" s="4"/>
      <c r="JF46" s="6"/>
      <c r="JG46" s="5"/>
      <c r="JH46" s="5"/>
      <c r="JI46" s="4">
        <v>5211</v>
      </c>
      <c r="JJ46" s="4">
        <v>2</v>
      </c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>
        <v>1310</v>
      </c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>
        <v>590</v>
      </c>
      <c r="LC46" s="4"/>
      <c r="LD46" s="4"/>
      <c r="LE46" s="4"/>
      <c r="LF46" s="4"/>
      <c r="LG46" s="4"/>
      <c r="LH46" s="4"/>
      <c r="LI46" s="4"/>
      <c r="LJ46" s="4"/>
      <c r="LK46" s="4">
        <v>1310</v>
      </c>
    </row>
    <row r="47">
      <c r="A47" s="3" t="s">
        <v>136</v>
      </c>
      <c r="B47" s="3" t="s">
        <v>193</v>
      </c>
      <c r="C47" s="3" t="s">
        <v>138</v>
      </c>
      <c r="D47" s="3" t="s">
        <v>139</v>
      </c>
      <c r="E47" s="3" t="s">
        <v>196</v>
      </c>
      <c r="F47" s="3" t="s">
        <v>196</v>
      </c>
      <c r="G47" s="3" t="s">
        <v>196</v>
      </c>
      <c r="H47" s="3" t="s">
        <v>197</v>
      </c>
      <c r="I47" s="4">
        <v>814</v>
      </c>
      <c r="J47" s="4">
        <f>=ROUNDDOWN(15.3007518796992,0)</f>
      </c>
      <c r="K47" s="4"/>
      <c r="L47" s="5"/>
      <c r="M47" s="4"/>
      <c r="N47" s="4">
        <f>=ROUNDDOWN({0},0)</f>
      </c>
      <c r="O47" s="4"/>
      <c r="P47" s="5"/>
      <c r="Q47" s="4">
        <v>459</v>
      </c>
      <c r="R47" s="6">
        <v>19618.73</v>
      </c>
      <c r="S47" s="4">
        <v>661</v>
      </c>
      <c r="T47" s="6">
        <v>27152.68</v>
      </c>
      <c r="U47" s="5">
        <v>-0.3056</v>
      </c>
      <c r="V47" s="5">
        <v>-0.2775</v>
      </c>
      <c r="W47" s="4">
        <v>54</v>
      </c>
      <c r="X47" s="6">
        <v>2244.21</v>
      </c>
      <c r="Y47" s="4">
        <v>237</v>
      </c>
      <c r="Z47" s="6">
        <v>9220.08</v>
      </c>
      <c r="AA47" s="5">
        <v>-0.7722</v>
      </c>
      <c r="AB47" s="5">
        <v>-0.7566</v>
      </c>
      <c r="AC47" s="4">
        <v>121</v>
      </c>
      <c r="AD47" s="6">
        <v>5082.1</v>
      </c>
      <c r="AE47" s="4">
        <v>109</v>
      </c>
      <c r="AF47" s="6">
        <v>4659.76</v>
      </c>
      <c r="AG47" s="5">
        <v>0.1101</v>
      </c>
      <c r="AH47" s="5">
        <v>0.0906</v>
      </c>
      <c r="AI47" s="4"/>
      <c r="AJ47" s="6"/>
      <c r="AK47" s="4"/>
      <c r="AL47" s="6"/>
      <c r="AM47" s="5"/>
      <c r="AN47" s="5"/>
      <c r="AO47" s="4">
        <v>40</v>
      </c>
      <c r="AP47" s="6">
        <v>1569.16</v>
      </c>
      <c r="AQ47" s="4"/>
      <c r="AR47" s="6"/>
      <c r="AS47" s="5"/>
      <c r="AT47" s="5"/>
      <c r="AU47" s="4">
        <v>103</v>
      </c>
      <c r="AV47" s="6">
        <v>4445.26</v>
      </c>
      <c r="AW47" s="4">
        <v>58</v>
      </c>
      <c r="AX47" s="6">
        <v>2467.82</v>
      </c>
      <c r="AY47" s="5">
        <v>0.7759</v>
      </c>
      <c r="AZ47" s="5">
        <v>0.8013</v>
      </c>
      <c r="BA47" s="4"/>
      <c r="BB47" s="6"/>
      <c r="BC47" s="4"/>
      <c r="BD47" s="6"/>
      <c r="BE47" s="5"/>
      <c r="BF47" s="5"/>
      <c r="BG47" s="4">
        <v>34</v>
      </c>
      <c r="BH47" s="6">
        <v>1378.09</v>
      </c>
      <c r="BI47" s="4">
        <v>46</v>
      </c>
      <c r="BJ47" s="6">
        <v>1734.49</v>
      </c>
      <c r="BK47" s="5">
        <v>-0.2609</v>
      </c>
      <c r="BL47" s="5">
        <v>-0.2055</v>
      </c>
      <c r="BM47" s="4">
        <v>15</v>
      </c>
      <c r="BN47" s="6">
        <v>499.22</v>
      </c>
      <c r="BO47" s="4">
        <v>30</v>
      </c>
      <c r="BP47" s="6">
        <v>1157.65</v>
      </c>
      <c r="BQ47" s="5">
        <v>-0.5</v>
      </c>
      <c r="BR47" s="5">
        <v>-0.5688</v>
      </c>
      <c r="BS47" s="4">
        <v>29</v>
      </c>
      <c r="BT47" s="6">
        <v>1234.79</v>
      </c>
      <c r="BU47" s="4">
        <v>77</v>
      </c>
      <c r="BV47" s="6">
        <v>3216.21</v>
      </c>
      <c r="BW47" s="5">
        <v>-0.6234</v>
      </c>
      <c r="BX47" s="5">
        <v>-0.6161</v>
      </c>
      <c r="BY47" s="4">
        <v>45</v>
      </c>
      <c r="BZ47" s="6">
        <v>2402.38</v>
      </c>
      <c r="CA47" s="4">
        <v>46</v>
      </c>
      <c r="CB47" s="6">
        <v>2052.04</v>
      </c>
      <c r="CC47" s="5">
        <v>-0.0217</v>
      </c>
      <c r="CD47" s="5">
        <v>0.1707</v>
      </c>
      <c r="CE47" s="4">
        <v>5</v>
      </c>
      <c r="CF47" s="6">
        <v>239.5</v>
      </c>
      <c r="CG47" s="4">
        <v>7</v>
      </c>
      <c r="CH47" s="6">
        <v>312.74</v>
      </c>
      <c r="CI47" s="5">
        <v>-0.2857</v>
      </c>
      <c r="CJ47" s="5">
        <v>-0.2342</v>
      </c>
      <c r="CK47" s="4"/>
      <c r="CL47" s="6"/>
      <c r="CM47" s="4"/>
      <c r="CN47" s="6"/>
      <c r="CO47" s="5"/>
      <c r="CP47" s="5"/>
      <c r="CQ47" s="4">
        <v>12</v>
      </c>
      <c r="CR47" s="6">
        <v>478.5</v>
      </c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>
        <v>5</v>
      </c>
      <c r="DL47" s="6">
        <v>389.95</v>
      </c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>
        <v>1</v>
      </c>
      <c r="ET47" s="6">
        <v>45.52</v>
      </c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>
        <v>46</v>
      </c>
      <c r="FT47" s="6">
        <v>1941.94</v>
      </c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6"/>
      <c r="IA47" s="4"/>
      <c r="IB47" s="6"/>
      <c r="IC47" s="5"/>
      <c r="ID47" s="5"/>
      <c r="IE47" s="4"/>
      <c r="IF47" s="6"/>
      <c r="IG47" s="4"/>
      <c r="IH47" s="6"/>
      <c r="II47" s="5"/>
      <c r="IJ47" s="5"/>
      <c r="IK47" s="4"/>
      <c r="IL47" s="6"/>
      <c r="IM47" s="4"/>
      <c r="IN47" s="6"/>
      <c r="IO47" s="5"/>
      <c r="IP47" s="5"/>
      <c r="IQ47" s="4"/>
      <c r="IR47" s="6"/>
      <c r="IS47" s="4"/>
      <c r="IT47" s="6"/>
      <c r="IU47" s="5"/>
      <c r="IV47" s="5"/>
      <c r="IW47" s="4"/>
      <c r="IX47" s="6"/>
      <c r="IY47" s="4"/>
      <c r="IZ47" s="6"/>
      <c r="JA47" s="5"/>
      <c r="JB47" s="5"/>
      <c r="JC47" s="4"/>
      <c r="JD47" s="6"/>
      <c r="JE47" s="4"/>
      <c r="JF47" s="6"/>
      <c r="JG47" s="5"/>
      <c r="JH47" s="5"/>
      <c r="JI47" s="4">
        <v>814</v>
      </c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</row>
    <row r="48">
      <c r="A48" s="3" t="s">
        <v>136</v>
      </c>
      <c r="B48" s="3" t="s">
        <v>193</v>
      </c>
      <c r="C48" s="3" t="s">
        <v>138</v>
      </c>
      <c r="D48" s="3" t="s">
        <v>139</v>
      </c>
      <c r="E48" s="3" t="s">
        <v>198</v>
      </c>
      <c r="F48" s="3" t="s">
        <v>188</v>
      </c>
      <c r="G48" s="3" t="s">
        <v>188</v>
      </c>
      <c r="H48" s="3" t="s">
        <v>143</v>
      </c>
      <c r="I48" s="4"/>
      <c r="J48" s="4">
        <f>=ROUNDDOWN({0},0)</f>
      </c>
      <c r="K48" s="4"/>
      <c r="L48" s="5"/>
      <c r="M48" s="4"/>
      <c r="N48" s="4">
        <f>=ROUNDDOWN({0},0)</f>
      </c>
      <c r="O48" s="4"/>
      <c r="P48" s="5"/>
      <c r="Q48" s="4"/>
      <c r="R48" s="6"/>
      <c r="S48" s="4">
        <v>28</v>
      </c>
      <c r="T48" s="6">
        <v>1007.02</v>
      </c>
      <c r="U48" s="5"/>
      <c r="V48" s="5"/>
      <c r="W48" s="4"/>
      <c r="X48" s="6"/>
      <c r="Y48" s="4"/>
      <c r="Z48" s="6"/>
      <c r="AA48" s="5"/>
      <c r="AB48" s="5"/>
      <c r="AC48" s="4"/>
      <c r="AD48" s="6"/>
      <c r="AE48" s="4">
        <v>5</v>
      </c>
      <c r="AF48" s="6">
        <v>153.82</v>
      </c>
      <c r="AG48" s="5"/>
      <c r="AH48" s="5"/>
      <c r="AI48" s="4"/>
      <c r="AJ48" s="6"/>
      <c r="AK48" s="4"/>
      <c r="AL48" s="6"/>
      <c r="AM48" s="5"/>
      <c r="AN48" s="5"/>
      <c r="AO48" s="4"/>
      <c r="AP48" s="6"/>
      <c r="AQ48" s="4"/>
      <c r="AR48" s="6"/>
      <c r="AS48" s="5"/>
      <c r="AT48" s="5"/>
      <c r="AU48" s="4"/>
      <c r="AV48" s="6"/>
      <c r="AW48" s="4"/>
      <c r="AX48" s="6"/>
      <c r="AY48" s="5"/>
      <c r="AZ48" s="5"/>
      <c r="BA48" s="4"/>
      <c r="BB48" s="6"/>
      <c r="BC48" s="4">
        <v>6</v>
      </c>
      <c r="BD48" s="6">
        <v>228.84</v>
      </c>
      <c r="BE48" s="5"/>
      <c r="BF48" s="5"/>
      <c r="BG48" s="4"/>
      <c r="BH48" s="6"/>
      <c r="BI48" s="4"/>
      <c r="BJ48" s="6"/>
      <c r="BK48" s="5"/>
      <c r="BL48" s="5"/>
      <c r="BM48" s="4"/>
      <c r="BN48" s="6"/>
      <c r="BO48" s="4">
        <v>3</v>
      </c>
      <c r="BP48" s="6">
        <v>79.35</v>
      </c>
      <c r="BQ48" s="5"/>
      <c r="BR48" s="5"/>
      <c r="BS48" s="4"/>
      <c r="BT48" s="6"/>
      <c r="BU48" s="4">
        <v>4</v>
      </c>
      <c r="BV48" s="6">
        <v>155.72</v>
      </c>
      <c r="BW48" s="5"/>
      <c r="BX48" s="5"/>
      <c r="BY48" s="4"/>
      <c r="BZ48" s="6"/>
      <c r="CA48" s="4">
        <v>2</v>
      </c>
      <c r="CB48" s="6">
        <v>78.52</v>
      </c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>
        <v>2</v>
      </c>
      <c r="CZ48" s="6">
        <v>76.64</v>
      </c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>
        <v>1</v>
      </c>
      <c r="DL48" s="6">
        <v>69.99</v>
      </c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>
        <v>5</v>
      </c>
      <c r="EJ48" s="6">
        <v>164.14</v>
      </c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6"/>
      <c r="IA48" s="4"/>
      <c r="IB48" s="6"/>
      <c r="IC48" s="5"/>
      <c r="ID48" s="5"/>
      <c r="IE48" s="4"/>
      <c r="IF48" s="6"/>
      <c r="IG48" s="4"/>
      <c r="IH48" s="6"/>
      <c r="II48" s="5"/>
      <c r="IJ48" s="5"/>
      <c r="IK48" s="4"/>
      <c r="IL48" s="6"/>
      <c r="IM48" s="4"/>
      <c r="IN48" s="6"/>
      <c r="IO48" s="5"/>
      <c r="IP48" s="5"/>
      <c r="IQ48" s="4"/>
      <c r="IR48" s="6"/>
      <c r="IS48" s="4"/>
      <c r="IT48" s="6"/>
      <c r="IU48" s="5"/>
      <c r="IV48" s="5"/>
      <c r="IW48" s="4"/>
      <c r="IX48" s="6"/>
      <c r="IY48" s="4"/>
      <c r="IZ48" s="6"/>
      <c r="JA48" s="5"/>
      <c r="JB48" s="5"/>
      <c r="JC48" s="4"/>
      <c r="JD48" s="6"/>
      <c r="JE48" s="4"/>
      <c r="JF48" s="6"/>
      <c r="JG48" s="5"/>
      <c r="JH48" s="5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</row>
    <row r="49">
      <c r="A49" s="3" t="s">
        <v>136</v>
      </c>
      <c r="B49" s="3" t="s">
        <v>193</v>
      </c>
      <c r="C49" s="3" t="s">
        <v>155</v>
      </c>
      <c r="D49" s="3" t="s">
        <v>156</v>
      </c>
      <c r="E49" s="3" t="s">
        <v>198</v>
      </c>
      <c r="F49" s="3" t="s">
        <v>188</v>
      </c>
      <c r="G49" s="3" t="s">
        <v>188</v>
      </c>
      <c r="H49" s="3" t="s">
        <v>143</v>
      </c>
      <c r="I49" s="4"/>
      <c r="J49" s="4">
        <f>=ROUNDDOWN({0},0)</f>
      </c>
      <c r="K49" s="4"/>
      <c r="L49" s="5"/>
      <c r="M49" s="4"/>
      <c r="N49" s="4">
        <f>=ROUNDDOWN({0},0)</f>
      </c>
      <c r="O49" s="4"/>
      <c r="P49" s="5"/>
      <c r="Q49" s="4">
        <v>2</v>
      </c>
      <c r="R49" s="6">
        <v>16.64</v>
      </c>
      <c r="S49" s="4">
        <v>7</v>
      </c>
      <c r="T49" s="6">
        <v>78.72</v>
      </c>
      <c r="U49" s="5">
        <v>-0.7143</v>
      </c>
      <c r="V49" s="5">
        <v>-0.7886</v>
      </c>
      <c r="W49" s="4"/>
      <c r="X49" s="6"/>
      <c r="Y49" s="4"/>
      <c r="Z49" s="6"/>
      <c r="AA49" s="5"/>
      <c r="AB49" s="5"/>
      <c r="AC49" s="4">
        <v>2</v>
      </c>
      <c r="AD49" s="6">
        <v>16.64</v>
      </c>
      <c r="AE49" s="4"/>
      <c r="AF49" s="6"/>
      <c r="AG49" s="5"/>
      <c r="AH49" s="5"/>
      <c r="AI49" s="4"/>
      <c r="AJ49" s="6"/>
      <c r="AK49" s="4"/>
      <c r="AL49" s="6"/>
      <c r="AM49" s="5"/>
      <c r="AN49" s="5"/>
      <c r="AO49" s="4"/>
      <c r="AP49" s="6"/>
      <c r="AQ49" s="4"/>
      <c r="AR49" s="6"/>
      <c r="AS49" s="5"/>
      <c r="AT49" s="5"/>
      <c r="AU49" s="4"/>
      <c r="AV49" s="6"/>
      <c r="AW49" s="4"/>
      <c r="AX49" s="6"/>
      <c r="AY49" s="5"/>
      <c r="AZ49" s="5"/>
      <c r="BA49" s="4"/>
      <c r="BB49" s="6"/>
      <c r="BC49" s="4"/>
      <c r="BD49" s="6"/>
      <c r="BE49" s="5"/>
      <c r="BF49" s="5"/>
      <c r="BG49" s="4"/>
      <c r="BH49" s="6"/>
      <c r="BI49" s="4">
        <v>2</v>
      </c>
      <c r="BJ49" s="6">
        <v>23.38</v>
      </c>
      <c r="BK49" s="5"/>
      <c r="BL49" s="5"/>
      <c r="BM49" s="4"/>
      <c r="BN49" s="6"/>
      <c r="BO49" s="4"/>
      <c r="BP49" s="6"/>
      <c r="BQ49" s="5"/>
      <c r="BR49" s="5"/>
      <c r="BS49" s="4"/>
      <c r="BT49" s="6"/>
      <c r="BU49" s="4"/>
      <c r="BV49" s="6"/>
      <c r="BW49" s="5"/>
      <c r="BX49" s="5"/>
      <c r="BY49" s="4"/>
      <c r="BZ49" s="6"/>
      <c r="CA49" s="4">
        <v>3</v>
      </c>
      <c r="CB49" s="6">
        <v>34.86</v>
      </c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/>
      <c r="CR49" s="6"/>
      <c r="CS49" s="4"/>
      <c r="CT49" s="6"/>
      <c r="CU49" s="5"/>
      <c r="CV49" s="5"/>
      <c r="CW49" s="4"/>
      <c r="CX49" s="6"/>
      <c r="CY49" s="4">
        <v>2</v>
      </c>
      <c r="CZ49" s="6">
        <v>20.48</v>
      </c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6"/>
      <c r="IA49" s="4"/>
      <c r="IB49" s="6"/>
      <c r="IC49" s="5"/>
      <c r="ID49" s="5"/>
      <c r="IE49" s="4"/>
      <c r="IF49" s="6"/>
      <c r="IG49" s="4"/>
      <c r="IH49" s="6"/>
      <c r="II49" s="5"/>
      <c r="IJ49" s="5"/>
      <c r="IK49" s="4"/>
      <c r="IL49" s="6"/>
      <c r="IM49" s="4"/>
      <c r="IN49" s="6"/>
      <c r="IO49" s="5"/>
      <c r="IP49" s="5"/>
      <c r="IQ49" s="4"/>
      <c r="IR49" s="6"/>
      <c r="IS49" s="4"/>
      <c r="IT49" s="6"/>
      <c r="IU49" s="5"/>
      <c r="IV49" s="5"/>
      <c r="IW49" s="4"/>
      <c r="IX49" s="6"/>
      <c r="IY49" s="4"/>
      <c r="IZ49" s="6"/>
      <c r="JA49" s="5"/>
      <c r="JB49" s="5"/>
      <c r="JC49" s="4"/>
      <c r="JD49" s="6"/>
      <c r="JE49" s="4"/>
      <c r="JF49" s="6"/>
      <c r="JG49" s="5"/>
      <c r="JH49" s="5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</row>
    <row r="50">
      <c r="A50" s="3" t="s">
        <v>136</v>
      </c>
      <c r="B50" s="3" t="s">
        <v>199</v>
      </c>
      <c r="C50" s="3" t="s">
        <v>138</v>
      </c>
      <c r="D50" s="3" t="s">
        <v>139</v>
      </c>
      <c r="E50" s="3" t="s">
        <v>200</v>
      </c>
      <c r="F50" s="3" t="s">
        <v>200</v>
      </c>
      <c r="G50" s="3" t="s">
        <v>200</v>
      </c>
      <c r="H50" s="3" t="s">
        <v>143</v>
      </c>
      <c r="I50" s="4">
        <v>2483</v>
      </c>
      <c r="J50" s="4">
        <f>=ROUNDDOWN(20.5206611570248,0)</f>
      </c>
      <c r="K50" s="4">
        <v>2398</v>
      </c>
      <c r="L50" s="5">
        <v>0.9593</v>
      </c>
      <c r="M50" s="4"/>
      <c r="N50" s="4">
        <f>=ROUNDDOWN({0},0)</f>
      </c>
      <c r="O50" s="4"/>
      <c r="P50" s="5"/>
      <c r="Q50" s="4">
        <v>1187</v>
      </c>
      <c r="R50" s="6">
        <v>29520.63</v>
      </c>
      <c r="S50" s="4">
        <v>920</v>
      </c>
      <c r="T50" s="6">
        <v>22682.41</v>
      </c>
      <c r="U50" s="5">
        <v>0.2902</v>
      </c>
      <c r="V50" s="5">
        <v>0.3015</v>
      </c>
      <c r="W50" s="4">
        <v>148</v>
      </c>
      <c r="X50" s="6">
        <v>4180.01</v>
      </c>
      <c r="Y50" s="4">
        <v>84</v>
      </c>
      <c r="Z50" s="6">
        <v>2416.02</v>
      </c>
      <c r="AA50" s="5">
        <v>0.7619</v>
      </c>
      <c r="AB50" s="5">
        <v>0.7301</v>
      </c>
      <c r="AC50" s="4">
        <v>55</v>
      </c>
      <c r="AD50" s="6">
        <v>1552.88</v>
      </c>
      <c r="AE50" s="4">
        <v>14</v>
      </c>
      <c r="AF50" s="6">
        <v>414.79</v>
      </c>
      <c r="AG50" s="5">
        <v>2.9286</v>
      </c>
      <c r="AH50" s="5">
        <v>2.7438</v>
      </c>
      <c r="AI50" s="4"/>
      <c r="AJ50" s="6"/>
      <c r="AK50" s="4"/>
      <c r="AL50" s="6"/>
      <c r="AM50" s="5"/>
      <c r="AN50" s="5"/>
      <c r="AO50" s="4">
        <v>654</v>
      </c>
      <c r="AP50" s="6">
        <v>15347.55</v>
      </c>
      <c r="AQ50" s="4">
        <v>484</v>
      </c>
      <c r="AR50" s="6">
        <v>11392.81</v>
      </c>
      <c r="AS50" s="5">
        <v>0.3512</v>
      </c>
      <c r="AT50" s="5">
        <v>0.3471</v>
      </c>
      <c r="AU50" s="4"/>
      <c r="AV50" s="6"/>
      <c r="AW50" s="4"/>
      <c r="AX50" s="6"/>
      <c r="AY50" s="5"/>
      <c r="AZ50" s="5"/>
      <c r="BA50" s="4">
        <v>204</v>
      </c>
      <c r="BB50" s="6">
        <v>5340.92</v>
      </c>
      <c r="BC50" s="4">
        <v>156</v>
      </c>
      <c r="BD50" s="6">
        <v>3908.76</v>
      </c>
      <c r="BE50" s="5">
        <v>0.3077</v>
      </c>
      <c r="BF50" s="5">
        <v>0.3664</v>
      </c>
      <c r="BG50" s="4">
        <v>24</v>
      </c>
      <c r="BH50" s="6">
        <v>658.36</v>
      </c>
      <c r="BI50" s="4">
        <v>63</v>
      </c>
      <c r="BJ50" s="6">
        <v>1730.46</v>
      </c>
      <c r="BK50" s="5">
        <v>-0.619</v>
      </c>
      <c r="BL50" s="5">
        <v>-0.6195</v>
      </c>
      <c r="BM50" s="4">
        <v>60</v>
      </c>
      <c r="BN50" s="6">
        <v>1305.85</v>
      </c>
      <c r="BO50" s="4">
        <v>48</v>
      </c>
      <c r="BP50" s="6">
        <v>1012.42</v>
      </c>
      <c r="BQ50" s="5">
        <v>0.25</v>
      </c>
      <c r="BR50" s="5">
        <v>0.2898</v>
      </c>
      <c r="BS50" s="4">
        <v>11</v>
      </c>
      <c r="BT50" s="6">
        <v>288.04</v>
      </c>
      <c r="BU50" s="4">
        <v>12</v>
      </c>
      <c r="BV50" s="6">
        <v>322.62</v>
      </c>
      <c r="BW50" s="5">
        <v>-0.0833</v>
      </c>
      <c r="BX50" s="5">
        <v>-0.1072</v>
      </c>
      <c r="BY50" s="4">
        <v>3</v>
      </c>
      <c r="BZ50" s="6">
        <v>71.32</v>
      </c>
      <c r="CA50" s="4">
        <v>14</v>
      </c>
      <c r="CB50" s="6">
        <v>364.64</v>
      </c>
      <c r="CC50" s="5">
        <v>-0.7857</v>
      </c>
      <c r="CD50" s="5">
        <v>-0.8044</v>
      </c>
      <c r="CE50" s="4">
        <v>10</v>
      </c>
      <c r="CF50" s="6">
        <v>235.82</v>
      </c>
      <c r="CG50" s="4">
        <v>19</v>
      </c>
      <c r="CH50" s="6">
        <v>431.4</v>
      </c>
      <c r="CI50" s="5">
        <v>-0.4737</v>
      </c>
      <c r="CJ50" s="5">
        <v>-0.4534</v>
      </c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>
        <v>2</v>
      </c>
      <c r="CX50" s="6">
        <v>42</v>
      </c>
      <c r="CY50" s="4">
        <v>1</v>
      </c>
      <c r="CZ50" s="6">
        <v>23.63</v>
      </c>
      <c r="DA50" s="5">
        <v>1</v>
      </c>
      <c r="DB50" s="5">
        <v>0.7774</v>
      </c>
      <c r="DC50" s="4"/>
      <c r="DD50" s="6"/>
      <c r="DE50" s="4"/>
      <c r="DF50" s="6"/>
      <c r="DG50" s="5"/>
      <c r="DH50" s="5"/>
      <c r="DI50" s="4">
        <v>1</v>
      </c>
      <c r="DJ50" s="6">
        <v>45.11</v>
      </c>
      <c r="DK50" s="4"/>
      <c r="DL50" s="6"/>
      <c r="DM50" s="5"/>
      <c r="DN50" s="5"/>
      <c r="DO50" s="4">
        <v>15</v>
      </c>
      <c r="DP50" s="6">
        <v>452.77</v>
      </c>
      <c r="DQ50" s="4">
        <v>7</v>
      </c>
      <c r="DR50" s="6">
        <v>206.89</v>
      </c>
      <c r="DS50" s="5">
        <v>1.1429</v>
      </c>
      <c r="DT50" s="5">
        <v>1.1885</v>
      </c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>
        <v>9</v>
      </c>
      <c r="FT50" s="6">
        <v>221.24</v>
      </c>
      <c r="FU50" s="5"/>
      <c r="FV50" s="5"/>
      <c r="FW50" s="4"/>
      <c r="FX50" s="6"/>
      <c r="FY50" s="4">
        <v>9</v>
      </c>
      <c r="FZ50" s="6">
        <v>236.73</v>
      </c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6"/>
      <c r="IA50" s="4"/>
      <c r="IB50" s="6"/>
      <c r="IC50" s="5"/>
      <c r="ID50" s="5"/>
      <c r="IE50" s="4"/>
      <c r="IF50" s="6"/>
      <c r="IG50" s="4"/>
      <c r="IH50" s="6"/>
      <c r="II50" s="5"/>
      <c r="IJ50" s="5"/>
      <c r="IK50" s="4"/>
      <c r="IL50" s="6"/>
      <c r="IM50" s="4"/>
      <c r="IN50" s="6"/>
      <c r="IO50" s="5"/>
      <c r="IP50" s="5"/>
      <c r="IQ50" s="4"/>
      <c r="IR50" s="6"/>
      <c r="IS50" s="4"/>
      <c r="IT50" s="6"/>
      <c r="IU50" s="5"/>
      <c r="IV50" s="5"/>
      <c r="IW50" s="4"/>
      <c r="IX50" s="6"/>
      <c r="IY50" s="4"/>
      <c r="IZ50" s="6"/>
      <c r="JA50" s="5"/>
      <c r="JB50" s="5"/>
      <c r="JC50" s="4"/>
      <c r="JD50" s="6"/>
      <c r="JE50" s="4"/>
      <c r="JF50" s="6"/>
      <c r="JG50" s="5"/>
      <c r="JH50" s="5"/>
      <c r="JI50" s="4">
        <v>2483</v>
      </c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>
        <v>758</v>
      </c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>
        <v>970</v>
      </c>
      <c r="LD50" s="4"/>
      <c r="LE50" s="4"/>
      <c r="LF50" s="4"/>
      <c r="LG50" s="4"/>
      <c r="LH50" s="4"/>
      <c r="LI50" s="4">
        <v>670</v>
      </c>
      <c r="LJ50" s="4"/>
      <c r="LK50" s="4"/>
    </row>
    <row r="51">
      <c r="A51" s="3" t="s">
        <v>136</v>
      </c>
      <c r="B51" s="3" t="s">
        <v>199</v>
      </c>
      <c r="C51" s="3" t="s">
        <v>138</v>
      </c>
      <c r="D51" s="3" t="s">
        <v>139</v>
      </c>
      <c r="E51" s="3" t="s">
        <v>201</v>
      </c>
      <c r="F51" s="3" t="s">
        <v>201</v>
      </c>
      <c r="G51" s="3" t="s">
        <v>201</v>
      </c>
      <c r="H51" s="3" t="s">
        <v>146</v>
      </c>
      <c r="I51" s="4">
        <v>1345</v>
      </c>
      <c r="J51" s="4">
        <f>=ROUNDDOWN(31.0623556581986,0)</f>
      </c>
      <c r="K51" s="4"/>
      <c r="L51" s="5"/>
      <c r="M51" s="4"/>
      <c r="N51" s="4">
        <f>=ROUNDDOWN({0},0)</f>
      </c>
      <c r="O51" s="4"/>
      <c r="P51" s="5"/>
      <c r="Q51" s="4">
        <v>523</v>
      </c>
      <c r="R51" s="6">
        <v>8020.02</v>
      </c>
      <c r="S51" s="4">
        <v>332</v>
      </c>
      <c r="T51" s="6">
        <v>5126.98</v>
      </c>
      <c r="U51" s="5">
        <v>0.5753</v>
      </c>
      <c r="V51" s="5">
        <v>0.5643</v>
      </c>
      <c r="W51" s="4">
        <v>175</v>
      </c>
      <c r="X51" s="6">
        <v>2705.41</v>
      </c>
      <c r="Y51" s="4">
        <v>32</v>
      </c>
      <c r="Z51" s="6">
        <v>514.1</v>
      </c>
      <c r="AA51" s="5">
        <v>4.4688</v>
      </c>
      <c r="AB51" s="5">
        <v>4.2624</v>
      </c>
      <c r="AC51" s="4">
        <v>34</v>
      </c>
      <c r="AD51" s="6">
        <v>535.92</v>
      </c>
      <c r="AE51" s="4">
        <v>15</v>
      </c>
      <c r="AF51" s="6">
        <v>234.39</v>
      </c>
      <c r="AG51" s="5">
        <v>1.2667</v>
      </c>
      <c r="AH51" s="5">
        <v>1.2864</v>
      </c>
      <c r="AI51" s="4"/>
      <c r="AJ51" s="6"/>
      <c r="AK51" s="4"/>
      <c r="AL51" s="6"/>
      <c r="AM51" s="5"/>
      <c r="AN51" s="5"/>
      <c r="AO51" s="4">
        <v>200</v>
      </c>
      <c r="AP51" s="6">
        <v>3072.46</v>
      </c>
      <c r="AQ51" s="4">
        <v>131</v>
      </c>
      <c r="AR51" s="6">
        <v>1998.96</v>
      </c>
      <c r="AS51" s="5">
        <v>0.5267</v>
      </c>
      <c r="AT51" s="5">
        <v>0.537</v>
      </c>
      <c r="AU51" s="4"/>
      <c r="AV51" s="6"/>
      <c r="AW51" s="4"/>
      <c r="AX51" s="6"/>
      <c r="AY51" s="5"/>
      <c r="AZ51" s="5"/>
      <c r="BA51" s="4"/>
      <c r="BB51" s="6"/>
      <c r="BC51" s="4"/>
      <c r="BD51" s="6"/>
      <c r="BE51" s="5"/>
      <c r="BF51" s="5"/>
      <c r="BG51" s="4">
        <v>37</v>
      </c>
      <c r="BH51" s="6">
        <v>529.79</v>
      </c>
      <c r="BI51" s="4">
        <v>77</v>
      </c>
      <c r="BJ51" s="6">
        <v>1126.64</v>
      </c>
      <c r="BK51" s="5">
        <v>-0.5195</v>
      </c>
      <c r="BL51" s="5">
        <v>-0.5298</v>
      </c>
      <c r="BM51" s="4">
        <v>21</v>
      </c>
      <c r="BN51" s="6">
        <v>215.1</v>
      </c>
      <c r="BO51" s="4">
        <v>6</v>
      </c>
      <c r="BP51" s="6">
        <v>88.35</v>
      </c>
      <c r="BQ51" s="5">
        <v>2.5</v>
      </c>
      <c r="BR51" s="5">
        <v>1.4346</v>
      </c>
      <c r="BS51" s="4">
        <v>4</v>
      </c>
      <c r="BT51" s="6">
        <v>66.87</v>
      </c>
      <c r="BU51" s="4">
        <v>4</v>
      </c>
      <c r="BV51" s="6">
        <v>60.3</v>
      </c>
      <c r="BW51" s="5"/>
      <c r="BX51" s="5">
        <v>0.109</v>
      </c>
      <c r="BY51" s="4">
        <v>13</v>
      </c>
      <c r="BZ51" s="6">
        <v>236.8</v>
      </c>
      <c r="CA51" s="4">
        <v>30</v>
      </c>
      <c r="CB51" s="6">
        <v>503.13</v>
      </c>
      <c r="CC51" s="5">
        <v>-0.5667</v>
      </c>
      <c r="CD51" s="5">
        <v>-0.5293</v>
      </c>
      <c r="CE51" s="4">
        <v>32</v>
      </c>
      <c r="CF51" s="6">
        <v>510.97</v>
      </c>
      <c r="CG51" s="4">
        <v>22</v>
      </c>
      <c r="CH51" s="6">
        <v>359.7</v>
      </c>
      <c r="CI51" s="5">
        <v>0.4545</v>
      </c>
      <c r="CJ51" s="5">
        <v>0.4205</v>
      </c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>
        <v>3</v>
      </c>
      <c r="CX51" s="6">
        <v>37.8</v>
      </c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>
        <v>3</v>
      </c>
      <c r="DJ51" s="6">
        <v>92.97</v>
      </c>
      <c r="DK51" s="4">
        <v>1</v>
      </c>
      <c r="DL51" s="6">
        <v>27.99</v>
      </c>
      <c r="DM51" s="5">
        <v>2</v>
      </c>
      <c r="DN51" s="5">
        <v>2.3215</v>
      </c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>
        <v>1</v>
      </c>
      <c r="ET51" s="6">
        <v>15.93</v>
      </c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>
        <v>10</v>
      </c>
      <c r="FT51" s="6">
        <v>151.03</v>
      </c>
      <c r="FU51" s="5"/>
      <c r="FV51" s="5"/>
      <c r="FW51" s="4"/>
      <c r="FX51" s="6"/>
      <c r="FY51" s="4">
        <v>4</v>
      </c>
      <c r="FZ51" s="6">
        <v>62.39</v>
      </c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/>
      <c r="HZ51" s="6"/>
      <c r="IA51" s="4"/>
      <c r="IB51" s="6"/>
      <c r="IC51" s="5"/>
      <c r="ID51" s="5"/>
      <c r="IE51" s="4"/>
      <c r="IF51" s="6"/>
      <c r="IG51" s="4"/>
      <c r="IH51" s="6"/>
      <c r="II51" s="5"/>
      <c r="IJ51" s="5"/>
      <c r="IK51" s="4"/>
      <c r="IL51" s="6"/>
      <c r="IM51" s="4"/>
      <c r="IN51" s="6"/>
      <c r="IO51" s="5"/>
      <c r="IP51" s="5"/>
      <c r="IQ51" s="4"/>
      <c r="IR51" s="6"/>
      <c r="IS51" s="4"/>
      <c r="IT51" s="6"/>
      <c r="IU51" s="5"/>
      <c r="IV51" s="5"/>
      <c r="IW51" s="4"/>
      <c r="IX51" s="6"/>
      <c r="IY51" s="4"/>
      <c r="IZ51" s="6"/>
      <c r="JA51" s="5"/>
      <c r="JB51" s="5"/>
      <c r="JC51" s="4"/>
      <c r="JD51" s="6"/>
      <c r="JE51" s="4"/>
      <c r="JF51" s="6"/>
      <c r="JG51" s="5"/>
      <c r="JH51" s="5"/>
      <c r="JI51" s="4">
        <v>1345</v>
      </c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</row>
    <row r="52">
      <c r="A52" s="3" t="s">
        <v>136</v>
      </c>
      <c r="B52" s="3" t="s">
        <v>202</v>
      </c>
      <c r="C52" s="3" t="s">
        <v>138</v>
      </c>
      <c r="D52" s="3" t="s">
        <v>139</v>
      </c>
      <c r="E52" s="3" t="s">
        <v>203</v>
      </c>
      <c r="F52" s="3" t="s">
        <v>203</v>
      </c>
      <c r="G52" s="3" t="s">
        <v>203</v>
      </c>
      <c r="H52" s="3" t="s">
        <v>143</v>
      </c>
      <c r="I52" s="4">
        <v>590</v>
      </c>
      <c r="J52" s="4">
        <f>=ROUNDDOWN(11.3461538461538,0)</f>
      </c>
      <c r="K52" s="4">
        <v>1997</v>
      </c>
      <c r="L52" s="5">
        <v>0.9322</v>
      </c>
      <c r="M52" s="4"/>
      <c r="N52" s="4">
        <f>=ROUNDDOWN({0},0)</f>
      </c>
      <c r="O52" s="4"/>
      <c r="P52" s="5"/>
      <c r="Q52" s="4">
        <v>332</v>
      </c>
      <c r="R52" s="6">
        <v>24380.6</v>
      </c>
      <c r="S52" s="4">
        <v>61</v>
      </c>
      <c r="T52" s="6">
        <v>3391.26</v>
      </c>
      <c r="U52" s="5">
        <v>4.4426</v>
      </c>
      <c r="V52" s="5">
        <v>6.1892</v>
      </c>
      <c r="W52" s="4">
        <v>63</v>
      </c>
      <c r="X52" s="6">
        <v>4191.97</v>
      </c>
      <c r="Y52" s="4"/>
      <c r="Z52" s="6"/>
      <c r="AA52" s="5"/>
      <c r="AB52" s="5"/>
      <c r="AC52" s="4">
        <v>51</v>
      </c>
      <c r="AD52" s="6">
        <v>3868.64</v>
      </c>
      <c r="AE52" s="4"/>
      <c r="AF52" s="6"/>
      <c r="AG52" s="5"/>
      <c r="AH52" s="5"/>
      <c r="AI52" s="4"/>
      <c r="AJ52" s="6"/>
      <c r="AK52" s="4"/>
      <c r="AL52" s="6"/>
      <c r="AM52" s="5"/>
      <c r="AN52" s="5"/>
      <c r="AO52" s="4"/>
      <c r="AP52" s="6"/>
      <c r="AQ52" s="4"/>
      <c r="AR52" s="6"/>
      <c r="AS52" s="5"/>
      <c r="AT52" s="5"/>
      <c r="AU52" s="4">
        <v>86</v>
      </c>
      <c r="AV52" s="6">
        <v>6312.86</v>
      </c>
      <c r="AW52" s="4"/>
      <c r="AX52" s="6"/>
      <c r="AY52" s="5"/>
      <c r="AZ52" s="5"/>
      <c r="BA52" s="4"/>
      <c r="BB52" s="6"/>
      <c r="BC52" s="4"/>
      <c r="BD52" s="6"/>
      <c r="BE52" s="5"/>
      <c r="BF52" s="5"/>
      <c r="BG52" s="4"/>
      <c r="BH52" s="6"/>
      <c r="BI52" s="4"/>
      <c r="BJ52" s="6"/>
      <c r="BK52" s="5"/>
      <c r="BL52" s="5"/>
      <c r="BM52" s="4">
        <v>30</v>
      </c>
      <c r="BN52" s="6">
        <v>1965.58</v>
      </c>
      <c r="BO52" s="4"/>
      <c r="BP52" s="6"/>
      <c r="BQ52" s="5"/>
      <c r="BR52" s="5"/>
      <c r="BS52" s="4">
        <v>36</v>
      </c>
      <c r="BT52" s="6">
        <v>2738.77</v>
      </c>
      <c r="BU52" s="4"/>
      <c r="BV52" s="6"/>
      <c r="BW52" s="5"/>
      <c r="BX52" s="5"/>
      <c r="BY52" s="4">
        <v>45</v>
      </c>
      <c r="BZ52" s="6">
        <v>3899.38</v>
      </c>
      <c r="CA52" s="4">
        <v>47</v>
      </c>
      <c r="CB52" s="6">
        <v>2859.96</v>
      </c>
      <c r="CC52" s="5">
        <v>-0.0426</v>
      </c>
      <c r="CD52" s="5">
        <v>0.3634</v>
      </c>
      <c r="CE52" s="4"/>
      <c r="CF52" s="6"/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>
        <v>2</v>
      </c>
      <c r="ET52" s="6">
        <v>163.78</v>
      </c>
      <c r="EU52" s="4"/>
      <c r="EV52" s="6"/>
      <c r="EW52" s="5"/>
      <c r="EX52" s="5"/>
      <c r="EY52" s="4">
        <v>19</v>
      </c>
      <c r="EZ52" s="6">
        <v>1239.62</v>
      </c>
      <c r="FA52" s="4">
        <v>14</v>
      </c>
      <c r="FB52" s="6">
        <v>531.3</v>
      </c>
      <c r="FC52" s="5">
        <v>0.3571</v>
      </c>
      <c r="FD52" s="5">
        <v>1.3332</v>
      </c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/>
      <c r="HZ52" s="6"/>
      <c r="IA52" s="4"/>
      <c r="IB52" s="6"/>
      <c r="IC52" s="5"/>
      <c r="ID52" s="5"/>
      <c r="IE52" s="4"/>
      <c r="IF52" s="6"/>
      <c r="IG52" s="4"/>
      <c r="IH52" s="6"/>
      <c r="II52" s="5"/>
      <c r="IJ52" s="5"/>
      <c r="IK52" s="4"/>
      <c r="IL52" s="6"/>
      <c r="IM52" s="4"/>
      <c r="IN52" s="6"/>
      <c r="IO52" s="5"/>
      <c r="IP52" s="5"/>
      <c r="IQ52" s="4"/>
      <c r="IR52" s="6"/>
      <c r="IS52" s="4"/>
      <c r="IT52" s="6"/>
      <c r="IU52" s="5"/>
      <c r="IV52" s="5"/>
      <c r="IW52" s="4"/>
      <c r="IX52" s="6"/>
      <c r="IY52" s="4"/>
      <c r="IZ52" s="6"/>
      <c r="JA52" s="5"/>
      <c r="JB52" s="5"/>
      <c r="JC52" s="4"/>
      <c r="JD52" s="6"/>
      <c r="JE52" s="4"/>
      <c r="JF52" s="6"/>
      <c r="JG52" s="5"/>
      <c r="JH52" s="5"/>
      <c r="JI52" s="4">
        <v>590</v>
      </c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>
        <v>894</v>
      </c>
      <c r="KI52" s="4"/>
      <c r="KJ52" s="4"/>
      <c r="KK52" s="4"/>
      <c r="KL52" s="4"/>
      <c r="KM52" s="4"/>
      <c r="KN52" s="4">
        <v>1103</v>
      </c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</row>
    <row r="53">
      <c r="A53" s="3" t="s">
        <v>136</v>
      </c>
      <c r="B53" s="3" t="s">
        <v>202</v>
      </c>
      <c r="C53" s="3" t="s">
        <v>138</v>
      </c>
      <c r="D53" s="3" t="s">
        <v>139</v>
      </c>
      <c r="E53" s="3" t="s">
        <v>204</v>
      </c>
      <c r="F53" s="3" t="s">
        <v>204</v>
      </c>
      <c r="G53" s="3" t="s">
        <v>204</v>
      </c>
      <c r="H53" s="3" t="s">
        <v>143</v>
      </c>
      <c r="I53" s="4">
        <v>1381</v>
      </c>
      <c r="J53" s="4">
        <f>=ROUNDDOWN(98.6428571428571,0)</f>
      </c>
      <c r="K53" s="4"/>
      <c r="L53" s="5"/>
      <c r="M53" s="4"/>
      <c r="N53" s="4">
        <f>=ROUNDDOWN({0},0)</f>
      </c>
      <c r="O53" s="4"/>
      <c r="P53" s="5"/>
      <c r="Q53" s="4">
        <v>95</v>
      </c>
      <c r="R53" s="6">
        <v>4828.91</v>
      </c>
      <c r="S53" s="4">
        <v>67</v>
      </c>
      <c r="T53" s="6">
        <v>2690.39</v>
      </c>
      <c r="U53" s="5">
        <v>0.4179</v>
      </c>
      <c r="V53" s="5">
        <v>0.7949</v>
      </c>
      <c r="W53" s="4">
        <v>23</v>
      </c>
      <c r="X53" s="6">
        <v>1134.18</v>
      </c>
      <c r="Y53" s="4"/>
      <c r="Z53" s="6"/>
      <c r="AA53" s="5"/>
      <c r="AB53" s="5"/>
      <c r="AC53" s="4">
        <v>12</v>
      </c>
      <c r="AD53" s="6">
        <v>544.56</v>
      </c>
      <c r="AE53" s="4"/>
      <c r="AF53" s="6"/>
      <c r="AG53" s="5"/>
      <c r="AH53" s="5"/>
      <c r="AI53" s="4"/>
      <c r="AJ53" s="6"/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>
        <v>27</v>
      </c>
      <c r="AV53" s="6">
        <v>1334.83</v>
      </c>
      <c r="AW53" s="4"/>
      <c r="AX53" s="6"/>
      <c r="AY53" s="5"/>
      <c r="AZ53" s="5"/>
      <c r="BA53" s="4"/>
      <c r="BB53" s="6"/>
      <c r="BC53" s="4"/>
      <c r="BD53" s="6"/>
      <c r="BE53" s="5"/>
      <c r="BF53" s="5"/>
      <c r="BG53" s="4"/>
      <c r="BH53" s="6"/>
      <c r="BI53" s="4"/>
      <c r="BJ53" s="6"/>
      <c r="BK53" s="5"/>
      <c r="BL53" s="5"/>
      <c r="BM53" s="4">
        <v>2</v>
      </c>
      <c r="BN53" s="6">
        <v>74.1</v>
      </c>
      <c r="BO53" s="4"/>
      <c r="BP53" s="6"/>
      <c r="BQ53" s="5"/>
      <c r="BR53" s="5"/>
      <c r="BS53" s="4">
        <v>2</v>
      </c>
      <c r="BT53" s="6">
        <v>106.46</v>
      </c>
      <c r="BU53" s="4"/>
      <c r="BV53" s="6"/>
      <c r="BW53" s="5"/>
      <c r="BX53" s="5"/>
      <c r="BY53" s="4">
        <v>24</v>
      </c>
      <c r="BZ53" s="6">
        <v>1365.99</v>
      </c>
      <c r="CA53" s="4">
        <v>57</v>
      </c>
      <c r="CB53" s="6">
        <v>2285.87</v>
      </c>
      <c r="CC53" s="5">
        <v>-0.5789</v>
      </c>
      <c r="CD53" s="5">
        <v>-0.4024</v>
      </c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>
        <v>5</v>
      </c>
      <c r="EZ53" s="6">
        <v>268.79</v>
      </c>
      <c r="FA53" s="4">
        <v>10</v>
      </c>
      <c r="FB53" s="6">
        <v>404.52</v>
      </c>
      <c r="FC53" s="5">
        <v>-0.5</v>
      </c>
      <c r="FD53" s="5">
        <v>-0.3355</v>
      </c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/>
      <c r="HZ53" s="6"/>
      <c r="IA53" s="4"/>
      <c r="IB53" s="6"/>
      <c r="IC53" s="5"/>
      <c r="ID53" s="5"/>
      <c r="IE53" s="4"/>
      <c r="IF53" s="6"/>
      <c r="IG53" s="4"/>
      <c r="IH53" s="6"/>
      <c r="II53" s="5"/>
      <c r="IJ53" s="5"/>
      <c r="IK53" s="4"/>
      <c r="IL53" s="6"/>
      <c r="IM53" s="4"/>
      <c r="IN53" s="6"/>
      <c r="IO53" s="5"/>
      <c r="IP53" s="5"/>
      <c r="IQ53" s="4"/>
      <c r="IR53" s="6"/>
      <c r="IS53" s="4"/>
      <c r="IT53" s="6"/>
      <c r="IU53" s="5"/>
      <c r="IV53" s="5"/>
      <c r="IW53" s="4"/>
      <c r="IX53" s="6"/>
      <c r="IY53" s="4"/>
      <c r="IZ53" s="6"/>
      <c r="JA53" s="5"/>
      <c r="JB53" s="5"/>
      <c r="JC53" s="4"/>
      <c r="JD53" s="6"/>
      <c r="JE53" s="4"/>
      <c r="JF53" s="6"/>
      <c r="JG53" s="5"/>
      <c r="JH53" s="5"/>
      <c r="JI53" s="4">
        <v>1381</v>
      </c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</row>
    <row r="54">
      <c r="A54" s="3" t="s">
        <v>136</v>
      </c>
      <c r="B54" s="3" t="s">
        <v>205</v>
      </c>
      <c r="C54" s="3" t="s">
        <v>138</v>
      </c>
      <c r="D54" s="3" t="s">
        <v>139</v>
      </c>
      <c r="E54" s="3" t="s">
        <v>206</v>
      </c>
      <c r="F54" s="3" t="s">
        <v>206</v>
      </c>
      <c r="G54" s="3" t="s">
        <v>206</v>
      </c>
      <c r="H54" s="3" t="s">
        <v>167</v>
      </c>
      <c r="I54" s="4">
        <v>1633</v>
      </c>
      <c r="J54" s="4">
        <f>=ROUNDDOWN(1.60381064623846,0)</f>
      </c>
      <c r="K54" s="4">
        <v>8221</v>
      </c>
      <c r="L54" s="5">
        <v>0.8131</v>
      </c>
      <c r="M54" s="4"/>
      <c r="N54" s="4">
        <f>=ROUNDDOWN({0},0)</f>
      </c>
      <c r="O54" s="4"/>
      <c r="P54" s="5"/>
      <c r="Q54" s="4">
        <v>482</v>
      </c>
      <c r="R54" s="6">
        <v>14172.03</v>
      </c>
      <c r="S54" s="4">
        <v>2913</v>
      </c>
      <c r="T54" s="6">
        <v>95207.83</v>
      </c>
      <c r="U54" s="5">
        <v>-0.8345</v>
      </c>
      <c r="V54" s="5">
        <v>-0.8511</v>
      </c>
      <c r="W54" s="4">
        <v>108</v>
      </c>
      <c r="X54" s="6">
        <v>3385.53</v>
      </c>
      <c r="Y54" s="4">
        <v>967</v>
      </c>
      <c r="Z54" s="6">
        <v>31552.46</v>
      </c>
      <c r="AA54" s="5">
        <v>-0.8883</v>
      </c>
      <c r="AB54" s="5">
        <v>-0.8927</v>
      </c>
      <c r="AC54" s="4">
        <v>84</v>
      </c>
      <c r="AD54" s="6">
        <v>2506.89</v>
      </c>
      <c r="AE54" s="4">
        <v>71</v>
      </c>
      <c r="AF54" s="6">
        <v>2467.88</v>
      </c>
      <c r="AG54" s="5">
        <v>0.1831</v>
      </c>
      <c r="AH54" s="5">
        <v>0.0158</v>
      </c>
      <c r="AI54" s="4">
        <v>1</v>
      </c>
      <c r="AJ54" s="6">
        <v>8.02</v>
      </c>
      <c r="AK54" s="4"/>
      <c r="AL54" s="6"/>
      <c r="AM54" s="5"/>
      <c r="AN54" s="5"/>
      <c r="AO54" s="4">
        <v>36</v>
      </c>
      <c r="AP54" s="6">
        <v>1020.63</v>
      </c>
      <c r="AQ54" s="4">
        <v>414</v>
      </c>
      <c r="AR54" s="6">
        <v>13024.88</v>
      </c>
      <c r="AS54" s="5">
        <v>-0.913</v>
      </c>
      <c r="AT54" s="5">
        <v>-0.9216</v>
      </c>
      <c r="AU54" s="4">
        <v>18</v>
      </c>
      <c r="AV54" s="6">
        <v>544.34</v>
      </c>
      <c r="AW54" s="4">
        <v>315</v>
      </c>
      <c r="AX54" s="6">
        <v>10021.92</v>
      </c>
      <c r="AY54" s="5">
        <v>-0.9429</v>
      </c>
      <c r="AZ54" s="5">
        <v>-0.9457</v>
      </c>
      <c r="BA54" s="4">
        <v>91</v>
      </c>
      <c r="BB54" s="6">
        <v>2498.84</v>
      </c>
      <c r="BC54" s="4">
        <v>221</v>
      </c>
      <c r="BD54" s="6">
        <v>7957.37</v>
      </c>
      <c r="BE54" s="5">
        <v>-0.5882</v>
      </c>
      <c r="BF54" s="5">
        <v>-0.686</v>
      </c>
      <c r="BG54" s="4">
        <v>32</v>
      </c>
      <c r="BH54" s="6">
        <v>835.45</v>
      </c>
      <c r="BI54" s="4">
        <v>97</v>
      </c>
      <c r="BJ54" s="6">
        <v>2883.12</v>
      </c>
      <c r="BK54" s="5">
        <v>-0.6701</v>
      </c>
      <c r="BL54" s="5">
        <v>-0.7102</v>
      </c>
      <c r="BM54" s="4">
        <v>23</v>
      </c>
      <c r="BN54" s="6">
        <v>429.73</v>
      </c>
      <c r="BO54" s="4">
        <v>3</v>
      </c>
      <c r="BP54" s="6">
        <v>91</v>
      </c>
      <c r="BQ54" s="5">
        <v>6.6667</v>
      </c>
      <c r="BR54" s="5">
        <v>3.7223</v>
      </c>
      <c r="BS54" s="4">
        <v>9</v>
      </c>
      <c r="BT54" s="6">
        <v>239.13</v>
      </c>
      <c r="BU54" s="4">
        <v>99</v>
      </c>
      <c r="BV54" s="6">
        <v>3085.53</v>
      </c>
      <c r="BW54" s="5">
        <v>-0.9091</v>
      </c>
      <c r="BX54" s="5">
        <v>-0.9225</v>
      </c>
      <c r="BY54" s="4">
        <v>7</v>
      </c>
      <c r="BZ54" s="6">
        <v>209.09</v>
      </c>
      <c r="CA54" s="4">
        <v>216</v>
      </c>
      <c r="CB54" s="6">
        <v>6710.95</v>
      </c>
      <c r="CC54" s="5">
        <v>-0.9676</v>
      </c>
      <c r="CD54" s="5">
        <v>-0.9688</v>
      </c>
      <c r="CE54" s="4">
        <v>19</v>
      </c>
      <c r="CF54" s="6">
        <v>568.67</v>
      </c>
      <c r="CG54" s="4">
        <v>217</v>
      </c>
      <c r="CH54" s="6">
        <v>7538.52</v>
      </c>
      <c r="CI54" s="5">
        <v>-0.9124</v>
      </c>
      <c r="CJ54" s="5">
        <v>-0.9246</v>
      </c>
      <c r="CK54" s="4"/>
      <c r="CL54" s="6"/>
      <c r="CM54" s="4"/>
      <c r="CN54" s="6"/>
      <c r="CO54" s="5"/>
      <c r="CP54" s="5"/>
      <c r="CQ54" s="4">
        <v>6</v>
      </c>
      <c r="CR54" s="6">
        <v>170.1</v>
      </c>
      <c r="CS54" s="4">
        <v>68</v>
      </c>
      <c r="CT54" s="6">
        <v>2010.33</v>
      </c>
      <c r="CU54" s="5">
        <v>-0.9118</v>
      </c>
      <c r="CV54" s="5">
        <v>-0.9154</v>
      </c>
      <c r="CW54" s="4">
        <v>27</v>
      </c>
      <c r="CX54" s="6">
        <v>830.58</v>
      </c>
      <c r="CY54" s="4">
        <v>141</v>
      </c>
      <c r="CZ54" s="6">
        <v>5011.41</v>
      </c>
      <c r="DA54" s="5">
        <v>-0.8085</v>
      </c>
      <c r="DB54" s="5">
        <v>-0.8343</v>
      </c>
      <c r="DC54" s="4"/>
      <c r="DD54" s="6"/>
      <c r="DE54" s="4"/>
      <c r="DF54" s="6"/>
      <c r="DG54" s="5"/>
      <c r="DH54" s="5"/>
      <c r="DI54" s="4">
        <v>11</v>
      </c>
      <c r="DJ54" s="6">
        <v>617.99</v>
      </c>
      <c r="DK54" s="4"/>
      <c r="DL54" s="6"/>
      <c r="DM54" s="5"/>
      <c r="DN54" s="5"/>
      <c r="DO54" s="4">
        <v>2</v>
      </c>
      <c r="DP54" s="6">
        <v>66.94</v>
      </c>
      <c r="DQ54" s="4">
        <v>5</v>
      </c>
      <c r="DR54" s="6">
        <v>179.95</v>
      </c>
      <c r="DS54" s="5">
        <v>-0.6</v>
      </c>
      <c r="DT54" s="5">
        <v>-0.628</v>
      </c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>
        <v>7</v>
      </c>
      <c r="ET54" s="6">
        <v>209.67</v>
      </c>
      <c r="EU54" s="4">
        <v>1</v>
      </c>
      <c r="EV54" s="6">
        <v>38.4</v>
      </c>
      <c r="EW54" s="5">
        <v>6</v>
      </c>
      <c r="EX54" s="5">
        <v>4.4602</v>
      </c>
      <c r="EY54" s="4"/>
      <c r="EZ54" s="6"/>
      <c r="FA54" s="4"/>
      <c r="FB54" s="6"/>
      <c r="FC54" s="5"/>
      <c r="FD54" s="5"/>
      <c r="FE54" s="4">
        <v>1</v>
      </c>
      <c r="FF54" s="6">
        <v>30.43</v>
      </c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>
        <v>47</v>
      </c>
      <c r="FT54" s="6">
        <v>1643.54</v>
      </c>
      <c r="FU54" s="5"/>
      <c r="FV54" s="5"/>
      <c r="FW54" s="4"/>
      <c r="FX54" s="6"/>
      <c r="FY54" s="4">
        <v>31</v>
      </c>
      <c r="FZ54" s="6">
        <v>990.57</v>
      </c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/>
      <c r="HZ54" s="6"/>
      <c r="IA54" s="4"/>
      <c r="IB54" s="6"/>
      <c r="IC54" s="5"/>
      <c r="ID54" s="5"/>
      <c r="IE54" s="4"/>
      <c r="IF54" s="6"/>
      <c r="IG54" s="4"/>
      <c r="IH54" s="6"/>
      <c r="II54" s="5"/>
      <c r="IJ54" s="5"/>
      <c r="IK54" s="4"/>
      <c r="IL54" s="6"/>
      <c r="IM54" s="4"/>
      <c r="IN54" s="6"/>
      <c r="IO54" s="5"/>
      <c r="IP54" s="5"/>
      <c r="IQ54" s="4"/>
      <c r="IR54" s="6"/>
      <c r="IS54" s="4"/>
      <c r="IT54" s="6"/>
      <c r="IU54" s="5"/>
      <c r="IV54" s="5"/>
      <c r="IW54" s="4"/>
      <c r="IX54" s="6"/>
      <c r="IY54" s="4"/>
      <c r="IZ54" s="6"/>
      <c r="JA54" s="5"/>
      <c r="JB54" s="5"/>
      <c r="JC54" s="4"/>
      <c r="JD54" s="6"/>
      <c r="JE54" s="4"/>
      <c r="JF54" s="6"/>
      <c r="JG54" s="5"/>
      <c r="JH54" s="5"/>
      <c r="JI54" s="4">
        <v>1633</v>
      </c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>
        <v>8221</v>
      </c>
      <c r="LD54" s="4"/>
      <c r="LE54" s="4"/>
      <c r="LF54" s="4"/>
      <c r="LG54" s="4"/>
      <c r="LH54" s="4"/>
      <c r="LI54" s="4"/>
      <c r="LJ54" s="4"/>
      <c r="LK54" s="4"/>
    </row>
    <row r="55">
      <c r="A55" s="3" t="s">
        <v>136</v>
      </c>
      <c r="B55" s="3" t="s">
        <v>205</v>
      </c>
      <c r="C55" s="3" t="s">
        <v>178</v>
      </c>
      <c r="D55" s="3" t="s">
        <v>179</v>
      </c>
      <c r="E55" s="3" t="s">
        <v>167</v>
      </c>
      <c r="F55" s="3" t="s">
        <v>167</v>
      </c>
      <c r="G55" s="3" t="s">
        <v>167</v>
      </c>
      <c r="H55" s="3" t="s">
        <v>167</v>
      </c>
      <c r="I55" s="4"/>
      <c r="J55" s="4">
        <f>=ROUNDDOWN({0},0)</f>
      </c>
      <c r="K55" s="4"/>
      <c r="L55" s="5"/>
      <c r="M55" s="4"/>
      <c r="N55" s="4">
        <f>=ROUNDDOWN({0},0)</f>
      </c>
      <c r="O55" s="4"/>
      <c r="P55" s="5"/>
      <c r="Q55" s="4"/>
      <c r="R55" s="6"/>
      <c r="S55" s="4">
        <v>361</v>
      </c>
      <c r="T55" s="6">
        <v>12344.2</v>
      </c>
      <c r="U55" s="5"/>
      <c r="V55" s="5"/>
      <c r="W55" s="4"/>
      <c r="X55" s="6"/>
      <c r="Y55" s="4">
        <v>35</v>
      </c>
      <c r="Z55" s="6">
        <v>1199.1</v>
      </c>
      <c r="AA55" s="5"/>
      <c r="AB55" s="5"/>
      <c r="AC55" s="4"/>
      <c r="AD55" s="6"/>
      <c r="AE55" s="4">
        <v>3</v>
      </c>
      <c r="AF55" s="6">
        <v>115.2</v>
      </c>
      <c r="AG55" s="5"/>
      <c r="AH55" s="5"/>
      <c r="AI55" s="4"/>
      <c r="AJ55" s="6"/>
      <c r="AK55" s="4"/>
      <c r="AL55" s="6"/>
      <c r="AM55" s="5"/>
      <c r="AN55" s="5"/>
      <c r="AO55" s="4"/>
      <c r="AP55" s="6"/>
      <c r="AQ55" s="4">
        <v>98</v>
      </c>
      <c r="AR55" s="6">
        <v>4205.81</v>
      </c>
      <c r="AS55" s="5"/>
      <c r="AT55" s="5"/>
      <c r="AU55" s="4"/>
      <c r="AV55" s="6"/>
      <c r="AW55" s="4">
        <v>30</v>
      </c>
      <c r="AX55" s="6">
        <v>1163.85</v>
      </c>
      <c r="AY55" s="5"/>
      <c r="AZ55" s="5"/>
      <c r="BA55" s="4"/>
      <c r="BB55" s="6"/>
      <c r="BC55" s="4"/>
      <c r="BD55" s="6"/>
      <c r="BE55" s="5"/>
      <c r="BF55" s="5"/>
      <c r="BG55" s="4"/>
      <c r="BH55" s="6"/>
      <c r="BI55" s="4">
        <v>118</v>
      </c>
      <c r="BJ55" s="6">
        <v>3082.95</v>
      </c>
      <c r="BK55" s="5"/>
      <c r="BL55" s="5"/>
      <c r="BM55" s="4"/>
      <c r="BN55" s="6"/>
      <c r="BO55" s="4">
        <v>28</v>
      </c>
      <c r="BP55" s="6">
        <v>726.84</v>
      </c>
      <c r="BQ55" s="5"/>
      <c r="BR55" s="5"/>
      <c r="BS55" s="4"/>
      <c r="BT55" s="6"/>
      <c r="BU55" s="4">
        <v>2</v>
      </c>
      <c r="BV55" s="6">
        <v>69.14</v>
      </c>
      <c r="BW55" s="5"/>
      <c r="BX55" s="5"/>
      <c r="BY55" s="4"/>
      <c r="BZ55" s="6"/>
      <c r="CA55" s="4">
        <v>8</v>
      </c>
      <c r="CB55" s="6">
        <v>300.12</v>
      </c>
      <c r="CC55" s="5"/>
      <c r="CD55" s="5"/>
      <c r="CE55" s="4"/>
      <c r="CF55" s="6"/>
      <c r="CG55" s="4">
        <v>21</v>
      </c>
      <c r="CH55" s="6">
        <v>814.17</v>
      </c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>
        <v>14</v>
      </c>
      <c r="CT55" s="6">
        <v>523.58</v>
      </c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>
        <v>1</v>
      </c>
      <c r="FT55" s="6">
        <v>35.73</v>
      </c>
      <c r="FU55" s="5"/>
      <c r="FV55" s="5"/>
      <c r="FW55" s="4"/>
      <c r="FX55" s="6"/>
      <c r="FY55" s="4">
        <v>3</v>
      </c>
      <c r="FZ55" s="6">
        <v>107.71</v>
      </c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/>
      <c r="HZ55" s="6"/>
      <c r="IA55" s="4"/>
      <c r="IB55" s="6"/>
      <c r="IC55" s="5"/>
      <c r="ID55" s="5"/>
      <c r="IE55" s="4"/>
      <c r="IF55" s="6"/>
      <c r="IG55" s="4"/>
      <c r="IH55" s="6"/>
      <c r="II55" s="5"/>
      <c r="IJ55" s="5"/>
      <c r="IK55" s="4"/>
      <c r="IL55" s="6"/>
      <c r="IM55" s="4"/>
      <c r="IN55" s="6"/>
      <c r="IO55" s="5"/>
      <c r="IP55" s="5"/>
      <c r="IQ55" s="4"/>
      <c r="IR55" s="6"/>
      <c r="IS55" s="4"/>
      <c r="IT55" s="6"/>
      <c r="IU55" s="5"/>
      <c r="IV55" s="5"/>
      <c r="IW55" s="4"/>
      <c r="IX55" s="6"/>
      <c r="IY55" s="4"/>
      <c r="IZ55" s="6"/>
      <c r="JA55" s="5"/>
      <c r="JB55" s="5"/>
      <c r="JC55" s="4"/>
      <c r="JD55" s="6"/>
      <c r="JE55" s="4"/>
      <c r="JF55" s="6"/>
      <c r="JG55" s="5"/>
      <c r="JH55" s="5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</row>
    <row r="56">
      <c r="A56" s="3" t="s">
        <v>136</v>
      </c>
      <c r="B56" s="3" t="s">
        <v>205</v>
      </c>
      <c r="C56" s="3" t="s">
        <v>178</v>
      </c>
      <c r="D56" s="3" t="s">
        <v>179</v>
      </c>
      <c r="E56" s="3" t="s">
        <v>207</v>
      </c>
      <c r="F56" s="3" t="s">
        <v>207</v>
      </c>
      <c r="G56" s="3" t="s">
        <v>207</v>
      </c>
      <c r="H56" s="3" t="s">
        <v>167</v>
      </c>
      <c r="I56" s="4"/>
      <c r="J56" s="4">
        <f>=ROUNDDOWN({0},0)</f>
      </c>
      <c r="K56" s="4"/>
      <c r="L56" s="5"/>
      <c r="M56" s="4"/>
      <c r="N56" s="4">
        <f>=ROUNDDOWN({0},0)</f>
      </c>
      <c r="O56" s="4"/>
      <c r="P56" s="5"/>
      <c r="Q56" s="4"/>
      <c r="R56" s="6"/>
      <c r="S56" s="4">
        <v>101</v>
      </c>
      <c r="T56" s="6">
        <v>3581.01</v>
      </c>
      <c r="U56" s="5"/>
      <c r="V56" s="5"/>
      <c r="W56" s="4"/>
      <c r="X56" s="6"/>
      <c r="Y56" s="4">
        <v>8</v>
      </c>
      <c r="Z56" s="6">
        <v>285.6</v>
      </c>
      <c r="AA56" s="5"/>
      <c r="AB56" s="5"/>
      <c r="AC56" s="4"/>
      <c r="AD56" s="6"/>
      <c r="AE56" s="4"/>
      <c r="AF56" s="6"/>
      <c r="AG56" s="5"/>
      <c r="AH56" s="5"/>
      <c r="AI56" s="4"/>
      <c r="AJ56" s="6"/>
      <c r="AK56" s="4"/>
      <c r="AL56" s="6"/>
      <c r="AM56" s="5"/>
      <c r="AN56" s="5"/>
      <c r="AO56" s="4"/>
      <c r="AP56" s="6"/>
      <c r="AQ56" s="4">
        <v>37</v>
      </c>
      <c r="AR56" s="6">
        <v>1466.74</v>
      </c>
      <c r="AS56" s="5"/>
      <c r="AT56" s="5"/>
      <c r="AU56" s="4"/>
      <c r="AV56" s="6"/>
      <c r="AW56" s="4">
        <v>12</v>
      </c>
      <c r="AX56" s="6">
        <v>480.72</v>
      </c>
      <c r="AY56" s="5"/>
      <c r="AZ56" s="5"/>
      <c r="BA56" s="4"/>
      <c r="BB56" s="6"/>
      <c r="BC56" s="4"/>
      <c r="BD56" s="6"/>
      <c r="BE56" s="5"/>
      <c r="BF56" s="5"/>
      <c r="BG56" s="4"/>
      <c r="BH56" s="6"/>
      <c r="BI56" s="4">
        <v>15</v>
      </c>
      <c r="BJ56" s="6">
        <v>411</v>
      </c>
      <c r="BK56" s="5"/>
      <c r="BL56" s="5"/>
      <c r="BM56" s="4"/>
      <c r="BN56" s="6"/>
      <c r="BO56" s="4">
        <v>16</v>
      </c>
      <c r="BP56" s="6">
        <v>396.34</v>
      </c>
      <c r="BQ56" s="5"/>
      <c r="BR56" s="5"/>
      <c r="BS56" s="4"/>
      <c r="BT56" s="6"/>
      <c r="BU56" s="4">
        <v>2</v>
      </c>
      <c r="BV56" s="6">
        <v>80.66</v>
      </c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>
        <v>6</v>
      </c>
      <c r="CH56" s="6">
        <v>271.32</v>
      </c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>
        <v>4</v>
      </c>
      <c r="FT56" s="6">
        <v>154.82</v>
      </c>
      <c r="FU56" s="5"/>
      <c r="FV56" s="5"/>
      <c r="FW56" s="4"/>
      <c r="FX56" s="6"/>
      <c r="FY56" s="4">
        <v>1</v>
      </c>
      <c r="FZ56" s="6">
        <v>33.81</v>
      </c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/>
      <c r="HZ56" s="6"/>
      <c r="IA56" s="4"/>
      <c r="IB56" s="6"/>
      <c r="IC56" s="5"/>
      <c r="ID56" s="5"/>
      <c r="IE56" s="4"/>
      <c r="IF56" s="6"/>
      <c r="IG56" s="4"/>
      <c r="IH56" s="6"/>
      <c r="II56" s="5"/>
      <c r="IJ56" s="5"/>
      <c r="IK56" s="4"/>
      <c r="IL56" s="6"/>
      <c r="IM56" s="4"/>
      <c r="IN56" s="6"/>
      <c r="IO56" s="5"/>
      <c r="IP56" s="5"/>
      <c r="IQ56" s="4"/>
      <c r="IR56" s="6"/>
      <c r="IS56" s="4"/>
      <c r="IT56" s="6"/>
      <c r="IU56" s="5"/>
      <c r="IV56" s="5"/>
      <c r="IW56" s="4"/>
      <c r="IX56" s="6"/>
      <c r="IY56" s="4"/>
      <c r="IZ56" s="6"/>
      <c r="JA56" s="5"/>
      <c r="JB56" s="5"/>
      <c r="JC56" s="4"/>
      <c r="JD56" s="6"/>
      <c r="JE56" s="4"/>
      <c r="JF56" s="6"/>
      <c r="JG56" s="5"/>
      <c r="JH56" s="5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</row>
    <row r="57">
      <c r="A57" s="3" t="s">
        <v>136</v>
      </c>
      <c r="B57" s="3" t="s">
        <v>208</v>
      </c>
      <c r="C57" s="3" t="s">
        <v>138</v>
      </c>
      <c r="D57" s="3" t="s">
        <v>139</v>
      </c>
      <c r="E57" s="3" t="s">
        <v>209</v>
      </c>
      <c r="F57" s="3" t="s">
        <v>209</v>
      </c>
      <c r="G57" s="3" t="s">
        <v>188</v>
      </c>
      <c r="H57" s="3" t="s">
        <v>175</v>
      </c>
      <c r="I57" s="4">
        <v>3257</v>
      </c>
      <c r="J57" s="4">
        <f>=ROUNDDOWN(62.3946360153257,0)</f>
      </c>
      <c r="K57" s="4"/>
      <c r="L57" s="5"/>
      <c r="M57" s="4"/>
      <c r="N57" s="4">
        <f>=ROUNDDOWN({0},0)</f>
      </c>
      <c r="O57" s="4"/>
      <c r="P57" s="5"/>
      <c r="Q57" s="4">
        <v>363</v>
      </c>
      <c r="R57" s="6">
        <v>12452.95</v>
      </c>
      <c r="S57" s="4">
        <v>333</v>
      </c>
      <c r="T57" s="6">
        <v>11969.08</v>
      </c>
      <c r="U57" s="5">
        <v>0.0901</v>
      </c>
      <c r="V57" s="5">
        <v>0.0404</v>
      </c>
      <c r="W57" s="4">
        <v>91</v>
      </c>
      <c r="X57" s="6">
        <v>3612.56</v>
      </c>
      <c r="Y57" s="4">
        <v>17</v>
      </c>
      <c r="Z57" s="6">
        <v>683.07</v>
      </c>
      <c r="AA57" s="5">
        <v>4.3529</v>
      </c>
      <c r="AB57" s="5">
        <v>4.2887</v>
      </c>
      <c r="AC57" s="4">
        <v>35</v>
      </c>
      <c r="AD57" s="6">
        <v>1366.63</v>
      </c>
      <c r="AE57" s="4">
        <v>33</v>
      </c>
      <c r="AF57" s="6">
        <v>1389.03</v>
      </c>
      <c r="AG57" s="5">
        <v>0.0606</v>
      </c>
      <c r="AH57" s="5">
        <v>-0.0161</v>
      </c>
      <c r="AI57" s="4"/>
      <c r="AJ57" s="6"/>
      <c r="AK57" s="4"/>
      <c r="AL57" s="6"/>
      <c r="AM57" s="5"/>
      <c r="AN57" s="5"/>
      <c r="AO57" s="4">
        <v>43</v>
      </c>
      <c r="AP57" s="6">
        <v>1660.73</v>
      </c>
      <c r="AQ57" s="4">
        <v>60</v>
      </c>
      <c r="AR57" s="6">
        <v>2266.31</v>
      </c>
      <c r="AS57" s="5">
        <v>-0.2833</v>
      </c>
      <c r="AT57" s="5">
        <v>-0.2672</v>
      </c>
      <c r="AU57" s="4"/>
      <c r="AV57" s="6"/>
      <c r="AW57" s="4"/>
      <c r="AX57" s="6"/>
      <c r="AY57" s="5"/>
      <c r="AZ57" s="5"/>
      <c r="BA57" s="4">
        <v>17</v>
      </c>
      <c r="BB57" s="6">
        <v>649.06</v>
      </c>
      <c r="BC57" s="4"/>
      <c r="BD57" s="6"/>
      <c r="BE57" s="5"/>
      <c r="BF57" s="5"/>
      <c r="BG57" s="4">
        <v>30</v>
      </c>
      <c r="BH57" s="6">
        <v>1146.05</v>
      </c>
      <c r="BI57" s="4">
        <v>50</v>
      </c>
      <c r="BJ57" s="6">
        <v>1929.25</v>
      </c>
      <c r="BK57" s="5">
        <v>-0.4</v>
      </c>
      <c r="BL57" s="5">
        <v>-0.406</v>
      </c>
      <c r="BM57" s="4">
        <v>96</v>
      </c>
      <c r="BN57" s="6">
        <v>2361.5</v>
      </c>
      <c r="BO57" s="4">
        <v>66</v>
      </c>
      <c r="BP57" s="6">
        <v>2057.64</v>
      </c>
      <c r="BQ57" s="5">
        <v>0.4545</v>
      </c>
      <c r="BR57" s="5">
        <v>0.1477</v>
      </c>
      <c r="BS57" s="4">
        <v>12</v>
      </c>
      <c r="BT57" s="6">
        <v>422.05</v>
      </c>
      <c r="BU57" s="4">
        <v>9</v>
      </c>
      <c r="BV57" s="6">
        <v>341.14</v>
      </c>
      <c r="BW57" s="5">
        <v>0.3333</v>
      </c>
      <c r="BX57" s="5">
        <v>0.2372</v>
      </c>
      <c r="BY57" s="4">
        <v>1</v>
      </c>
      <c r="BZ57" s="6">
        <v>30.07</v>
      </c>
      <c r="CA57" s="4">
        <v>9</v>
      </c>
      <c r="CB57" s="6">
        <v>344.89</v>
      </c>
      <c r="CC57" s="5">
        <v>-0.8889</v>
      </c>
      <c r="CD57" s="5">
        <v>-0.9128</v>
      </c>
      <c r="CE57" s="4">
        <v>19</v>
      </c>
      <c r="CF57" s="6">
        <v>662.97</v>
      </c>
      <c r="CG57" s="4">
        <v>29</v>
      </c>
      <c r="CH57" s="6">
        <v>903.5</v>
      </c>
      <c r="CI57" s="5">
        <v>-0.3448</v>
      </c>
      <c r="CJ57" s="5">
        <v>-0.2662</v>
      </c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>
        <v>19</v>
      </c>
      <c r="CX57" s="6">
        <v>541.33</v>
      </c>
      <c r="CY57" s="4">
        <v>36</v>
      </c>
      <c r="CZ57" s="6">
        <v>1011.79</v>
      </c>
      <c r="DA57" s="5">
        <v>-0.4722</v>
      </c>
      <c r="DB57" s="5">
        <v>-0.465</v>
      </c>
      <c r="DC57" s="4"/>
      <c r="DD57" s="6"/>
      <c r="DE57" s="4"/>
      <c r="DF57" s="6"/>
      <c r="DG57" s="5"/>
      <c r="DH57" s="5"/>
      <c r="DI57" s="4"/>
      <c r="DJ57" s="6"/>
      <c r="DK57" s="4">
        <v>4</v>
      </c>
      <c r="DL57" s="6">
        <v>241.96</v>
      </c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>
        <v>13</v>
      </c>
      <c r="FT57" s="6">
        <v>524.95</v>
      </c>
      <c r="FU57" s="5"/>
      <c r="FV57" s="5"/>
      <c r="FW57" s="4"/>
      <c r="FX57" s="6"/>
      <c r="FY57" s="4">
        <v>4</v>
      </c>
      <c r="FZ57" s="6">
        <v>148.02</v>
      </c>
      <c r="GA57" s="5"/>
      <c r="GB57" s="5"/>
      <c r="GC57" s="4"/>
      <c r="GD57" s="6"/>
      <c r="GE57" s="4">
        <v>3</v>
      </c>
      <c r="GF57" s="6">
        <v>127.53</v>
      </c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/>
      <c r="HZ57" s="6"/>
      <c r="IA57" s="4"/>
      <c r="IB57" s="6"/>
      <c r="IC57" s="5"/>
      <c r="ID57" s="5"/>
      <c r="IE57" s="4"/>
      <c r="IF57" s="6"/>
      <c r="IG57" s="4"/>
      <c r="IH57" s="6"/>
      <c r="II57" s="5"/>
      <c r="IJ57" s="5"/>
      <c r="IK57" s="4"/>
      <c r="IL57" s="6"/>
      <c r="IM57" s="4"/>
      <c r="IN57" s="6"/>
      <c r="IO57" s="5"/>
      <c r="IP57" s="5"/>
      <c r="IQ57" s="4"/>
      <c r="IR57" s="6"/>
      <c r="IS57" s="4"/>
      <c r="IT57" s="6"/>
      <c r="IU57" s="5"/>
      <c r="IV57" s="5"/>
      <c r="IW57" s="4"/>
      <c r="IX57" s="6"/>
      <c r="IY57" s="4"/>
      <c r="IZ57" s="6"/>
      <c r="JA57" s="5"/>
      <c r="JB57" s="5"/>
      <c r="JC57" s="4"/>
      <c r="JD57" s="6"/>
      <c r="JE57" s="4"/>
      <c r="JF57" s="6"/>
      <c r="JG57" s="5"/>
      <c r="JH57" s="5"/>
      <c r="JI57" s="4">
        <v>3257</v>
      </c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</row>
    <row r="58">
      <c r="A58" s="3" t="s">
        <v>136</v>
      </c>
      <c r="B58" s="3" t="s">
        <v>210</v>
      </c>
      <c r="C58" s="3" t="s">
        <v>138</v>
      </c>
      <c r="D58" s="3" t="s">
        <v>139</v>
      </c>
      <c r="E58" s="3" t="s">
        <v>211</v>
      </c>
      <c r="F58" s="3" t="s">
        <v>211</v>
      </c>
      <c r="G58" s="3" t="s">
        <v>211</v>
      </c>
      <c r="H58" s="3" t="s">
        <v>183</v>
      </c>
      <c r="I58" s="4">
        <v>2421</v>
      </c>
      <c r="J58" s="4">
        <f>=ROUNDDOWN(49.4081632653061,0)</f>
      </c>
      <c r="K58" s="4"/>
      <c r="L58" s="5">
        <v>1</v>
      </c>
      <c r="M58" s="4"/>
      <c r="N58" s="4">
        <f>=ROUNDDOWN({0},0)</f>
      </c>
      <c r="O58" s="4"/>
      <c r="P58" s="5"/>
      <c r="Q58" s="4">
        <v>302</v>
      </c>
      <c r="R58" s="6">
        <v>9482.76</v>
      </c>
      <c r="S58" s="4"/>
      <c r="T58" s="6"/>
      <c r="U58" s="5"/>
      <c r="V58" s="5"/>
      <c r="W58" s="4">
        <v>73</v>
      </c>
      <c r="X58" s="6">
        <v>2377.06</v>
      </c>
      <c r="Y58" s="4"/>
      <c r="Z58" s="6"/>
      <c r="AA58" s="5"/>
      <c r="AB58" s="5"/>
      <c r="AC58" s="4">
        <v>56</v>
      </c>
      <c r="AD58" s="6">
        <v>1724.61</v>
      </c>
      <c r="AE58" s="4"/>
      <c r="AF58" s="6"/>
      <c r="AG58" s="5"/>
      <c r="AH58" s="5"/>
      <c r="AI58" s="4"/>
      <c r="AJ58" s="6"/>
      <c r="AK58" s="4"/>
      <c r="AL58" s="6"/>
      <c r="AM58" s="5"/>
      <c r="AN58" s="5"/>
      <c r="AO58" s="4">
        <v>26</v>
      </c>
      <c r="AP58" s="6">
        <v>814.17</v>
      </c>
      <c r="AQ58" s="4"/>
      <c r="AR58" s="6"/>
      <c r="AS58" s="5"/>
      <c r="AT58" s="5"/>
      <c r="AU58" s="4">
        <v>14</v>
      </c>
      <c r="AV58" s="6">
        <v>463.12</v>
      </c>
      <c r="AW58" s="4"/>
      <c r="AX58" s="6"/>
      <c r="AY58" s="5"/>
      <c r="AZ58" s="5"/>
      <c r="BA58" s="4">
        <v>96</v>
      </c>
      <c r="BB58" s="6">
        <v>2830.92</v>
      </c>
      <c r="BC58" s="4"/>
      <c r="BD58" s="6"/>
      <c r="BE58" s="5"/>
      <c r="BF58" s="5"/>
      <c r="BG58" s="4">
        <v>23</v>
      </c>
      <c r="BH58" s="6">
        <v>734.76</v>
      </c>
      <c r="BI58" s="4"/>
      <c r="BJ58" s="6"/>
      <c r="BK58" s="5"/>
      <c r="BL58" s="5"/>
      <c r="BM58" s="4"/>
      <c r="BN58" s="6"/>
      <c r="BO58" s="4"/>
      <c r="BP58" s="6"/>
      <c r="BQ58" s="5"/>
      <c r="BR58" s="5"/>
      <c r="BS58" s="4">
        <v>9</v>
      </c>
      <c r="BT58" s="6">
        <v>289.1</v>
      </c>
      <c r="BU58" s="4"/>
      <c r="BV58" s="6"/>
      <c r="BW58" s="5"/>
      <c r="BX58" s="5"/>
      <c r="BY58" s="4">
        <v>3</v>
      </c>
      <c r="BZ58" s="6">
        <v>128.04</v>
      </c>
      <c r="CA58" s="4"/>
      <c r="CB58" s="6"/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>
        <v>2</v>
      </c>
      <c r="DJ58" s="6">
        <v>120.98</v>
      </c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/>
      <c r="HZ58" s="6"/>
      <c r="IA58" s="4"/>
      <c r="IB58" s="6"/>
      <c r="IC58" s="5"/>
      <c r="ID58" s="5"/>
      <c r="IE58" s="4"/>
      <c r="IF58" s="6"/>
      <c r="IG58" s="4"/>
      <c r="IH58" s="6"/>
      <c r="II58" s="5"/>
      <c r="IJ58" s="5"/>
      <c r="IK58" s="4"/>
      <c r="IL58" s="6"/>
      <c r="IM58" s="4"/>
      <c r="IN58" s="6"/>
      <c r="IO58" s="5"/>
      <c r="IP58" s="5"/>
      <c r="IQ58" s="4"/>
      <c r="IR58" s="6"/>
      <c r="IS58" s="4"/>
      <c r="IT58" s="6"/>
      <c r="IU58" s="5"/>
      <c r="IV58" s="5"/>
      <c r="IW58" s="4"/>
      <c r="IX58" s="6"/>
      <c r="IY58" s="4"/>
      <c r="IZ58" s="6"/>
      <c r="JA58" s="5"/>
      <c r="JB58" s="5"/>
      <c r="JC58" s="4"/>
      <c r="JD58" s="6"/>
      <c r="JE58" s="4"/>
      <c r="JF58" s="6"/>
      <c r="JG58" s="5"/>
      <c r="JH58" s="5"/>
      <c r="JI58" s="4">
        <v>2421</v>
      </c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</row>
    <row r="59">
      <c r="A59" s="3" t="s">
        <v>136</v>
      </c>
      <c r="B59" s="3" t="s">
        <v>210</v>
      </c>
      <c r="C59" s="3" t="s">
        <v>138</v>
      </c>
      <c r="D59" s="3" t="s">
        <v>139</v>
      </c>
      <c r="E59" s="3" t="s">
        <v>212</v>
      </c>
      <c r="F59" s="3" t="s">
        <v>212</v>
      </c>
      <c r="G59" s="3" t="s">
        <v>212</v>
      </c>
      <c r="H59" s="3" t="s">
        <v>183</v>
      </c>
      <c r="I59" s="4"/>
      <c r="J59" s="4">
        <f>=ROUNDDOWN({0},0)</f>
      </c>
      <c r="K59" s="4"/>
      <c r="L59" s="5"/>
      <c r="M59" s="4"/>
      <c r="N59" s="4">
        <f>=ROUNDDOWN({0},0)</f>
      </c>
      <c r="O59" s="4"/>
      <c r="P59" s="5"/>
      <c r="Q59" s="4"/>
      <c r="R59" s="6"/>
      <c r="S59" s="4">
        <v>148</v>
      </c>
      <c r="T59" s="6">
        <v>3337.55</v>
      </c>
      <c r="U59" s="5"/>
      <c r="V59" s="5"/>
      <c r="W59" s="4"/>
      <c r="X59" s="6"/>
      <c r="Y59" s="4"/>
      <c r="Z59" s="6"/>
      <c r="AA59" s="5"/>
      <c r="AB59" s="5"/>
      <c r="AC59" s="4"/>
      <c r="AD59" s="6"/>
      <c r="AE59" s="4">
        <v>3</v>
      </c>
      <c r="AF59" s="6">
        <v>54.46</v>
      </c>
      <c r="AG59" s="5"/>
      <c r="AH59" s="5"/>
      <c r="AI59" s="4"/>
      <c r="AJ59" s="6"/>
      <c r="AK59" s="4"/>
      <c r="AL59" s="6"/>
      <c r="AM59" s="5"/>
      <c r="AN59" s="5"/>
      <c r="AO59" s="4"/>
      <c r="AP59" s="6"/>
      <c r="AQ59" s="4">
        <v>1</v>
      </c>
      <c r="AR59" s="6">
        <v>22.6</v>
      </c>
      <c r="AS59" s="5"/>
      <c r="AT59" s="5"/>
      <c r="AU59" s="4"/>
      <c r="AV59" s="6"/>
      <c r="AW59" s="4"/>
      <c r="AX59" s="6"/>
      <c r="AY59" s="5"/>
      <c r="AZ59" s="5"/>
      <c r="BA59" s="4"/>
      <c r="BB59" s="6"/>
      <c r="BC59" s="4">
        <v>59</v>
      </c>
      <c r="BD59" s="6">
        <v>1538.72</v>
      </c>
      <c r="BE59" s="5"/>
      <c r="BF59" s="5"/>
      <c r="BG59" s="4"/>
      <c r="BH59" s="6"/>
      <c r="BI59" s="4">
        <v>58</v>
      </c>
      <c r="BJ59" s="6">
        <v>1104.7</v>
      </c>
      <c r="BK59" s="5"/>
      <c r="BL59" s="5"/>
      <c r="BM59" s="4"/>
      <c r="BN59" s="6"/>
      <c r="BO59" s="4">
        <v>11</v>
      </c>
      <c r="BP59" s="6">
        <v>185.27</v>
      </c>
      <c r="BQ59" s="5"/>
      <c r="BR59" s="5"/>
      <c r="BS59" s="4"/>
      <c r="BT59" s="6"/>
      <c r="BU59" s="4">
        <v>1</v>
      </c>
      <c r="BV59" s="6">
        <v>31.68</v>
      </c>
      <c r="BW59" s="5"/>
      <c r="BX59" s="5"/>
      <c r="BY59" s="4"/>
      <c r="BZ59" s="6"/>
      <c r="CA59" s="4">
        <v>5</v>
      </c>
      <c r="CB59" s="6">
        <v>121.01</v>
      </c>
      <c r="CC59" s="5"/>
      <c r="CD59" s="5"/>
      <c r="CE59" s="4"/>
      <c r="CF59" s="6"/>
      <c r="CG59" s="4">
        <v>3</v>
      </c>
      <c r="CH59" s="6">
        <v>87.58</v>
      </c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>
        <v>7</v>
      </c>
      <c r="CZ59" s="6">
        <v>191.53</v>
      </c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/>
      <c r="EB59" s="6"/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/>
      <c r="HZ59" s="6"/>
      <c r="IA59" s="4"/>
      <c r="IB59" s="6"/>
      <c r="IC59" s="5"/>
      <c r="ID59" s="5"/>
      <c r="IE59" s="4"/>
      <c r="IF59" s="6"/>
      <c r="IG59" s="4"/>
      <c r="IH59" s="6"/>
      <c r="II59" s="5"/>
      <c r="IJ59" s="5"/>
      <c r="IK59" s="4"/>
      <c r="IL59" s="6"/>
      <c r="IM59" s="4"/>
      <c r="IN59" s="6"/>
      <c r="IO59" s="5"/>
      <c r="IP59" s="5"/>
      <c r="IQ59" s="4"/>
      <c r="IR59" s="6"/>
      <c r="IS59" s="4"/>
      <c r="IT59" s="6"/>
      <c r="IU59" s="5"/>
      <c r="IV59" s="5"/>
      <c r="IW59" s="4"/>
      <c r="IX59" s="6"/>
      <c r="IY59" s="4"/>
      <c r="IZ59" s="6"/>
      <c r="JA59" s="5"/>
      <c r="JB59" s="5"/>
      <c r="JC59" s="4"/>
      <c r="JD59" s="6"/>
      <c r="JE59" s="4"/>
      <c r="JF59" s="6"/>
      <c r="JG59" s="5"/>
      <c r="JH59" s="5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</row>
    <row r="60">
      <c r="A60" s="3" t="s">
        <v>136</v>
      </c>
      <c r="B60" s="3" t="s">
        <v>210</v>
      </c>
      <c r="C60" s="3" t="s">
        <v>138</v>
      </c>
      <c r="D60" s="3" t="s">
        <v>139</v>
      </c>
      <c r="E60" s="3" t="s">
        <v>213</v>
      </c>
      <c r="F60" s="3" t="s">
        <v>213</v>
      </c>
      <c r="G60" s="3" t="s">
        <v>213</v>
      </c>
      <c r="H60" s="3" t="s">
        <v>183</v>
      </c>
      <c r="I60" s="4"/>
      <c r="J60" s="4">
        <f>=ROUNDDOWN({0},0)</f>
      </c>
      <c r="K60" s="4"/>
      <c r="L60" s="5"/>
      <c r="M60" s="4"/>
      <c r="N60" s="4">
        <f>=ROUNDDOWN({0},0)</f>
      </c>
      <c r="O60" s="4"/>
      <c r="P60" s="5"/>
      <c r="Q60" s="4"/>
      <c r="R60" s="6"/>
      <c r="S60" s="4">
        <v>54</v>
      </c>
      <c r="T60" s="6">
        <v>1119.34</v>
      </c>
      <c r="U60" s="5"/>
      <c r="V60" s="5"/>
      <c r="W60" s="4"/>
      <c r="X60" s="6"/>
      <c r="Y60" s="4"/>
      <c r="Z60" s="6"/>
      <c r="AA60" s="5"/>
      <c r="AB60" s="5"/>
      <c r="AC60" s="4"/>
      <c r="AD60" s="6"/>
      <c r="AE60" s="4"/>
      <c r="AF60" s="6"/>
      <c r="AG60" s="5"/>
      <c r="AH60" s="5"/>
      <c r="AI60" s="4"/>
      <c r="AJ60" s="6"/>
      <c r="AK60" s="4"/>
      <c r="AL60" s="6"/>
      <c r="AM60" s="5"/>
      <c r="AN60" s="5"/>
      <c r="AO60" s="4"/>
      <c r="AP60" s="6"/>
      <c r="AQ60" s="4"/>
      <c r="AR60" s="6"/>
      <c r="AS60" s="5"/>
      <c r="AT60" s="5"/>
      <c r="AU60" s="4"/>
      <c r="AV60" s="6"/>
      <c r="AW60" s="4"/>
      <c r="AX60" s="6"/>
      <c r="AY60" s="5"/>
      <c r="AZ60" s="5"/>
      <c r="BA60" s="4"/>
      <c r="BB60" s="6"/>
      <c r="BC60" s="4"/>
      <c r="BD60" s="6"/>
      <c r="BE60" s="5"/>
      <c r="BF60" s="5"/>
      <c r="BG60" s="4"/>
      <c r="BH60" s="6"/>
      <c r="BI60" s="4">
        <v>34</v>
      </c>
      <c r="BJ60" s="6">
        <v>606.29</v>
      </c>
      <c r="BK60" s="5"/>
      <c r="BL60" s="5"/>
      <c r="BM60" s="4"/>
      <c r="BN60" s="6"/>
      <c r="BO60" s="4"/>
      <c r="BP60" s="6"/>
      <c r="BQ60" s="5"/>
      <c r="BR60" s="5"/>
      <c r="BS60" s="4"/>
      <c r="BT60" s="6"/>
      <c r="BU60" s="4"/>
      <c r="BV60" s="6"/>
      <c r="BW60" s="5"/>
      <c r="BX60" s="5"/>
      <c r="BY60" s="4"/>
      <c r="BZ60" s="6"/>
      <c r="CA60" s="4">
        <v>1</v>
      </c>
      <c r="CB60" s="6">
        <v>25.98</v>
      </c>
      <c r="CC60" s="5"/>
      <c r="CD60" s="5"/>
      <c r="CE60" s="4"/>
      <c r="CF60" s="6"/>
      <c r="CG60" s="4">
        <v>1</v>
      </c>
      <c r="CH60" s="6">
        <v>26.11</v>
      </c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>
        <v>17</v>
      </c>
      <c r="CZ60" s="6">
        <v>433.67</v>
      </c>
      <c r="DA60" s="5"/>
      <c r="DB60" s="5"/>
      <c r="DC60" s="4"/>
      <c r="DD60" s="6"/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>
        <v>1</v>
      </c>
      <c r="FT60" s="6">
        <v>27.29</v>
      </c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/>
      <c r="HZ60" s="6"/>
      <c r="IA60" s="4"/>
      <c r="IB60" s="6"/>
      <c r="IC60" s="5"/>
      <c r="ID60" s="5"/>
      <c r="IE60" s="4"/>
      <c r="IF60" s="6"/>
      <c r="IG60" s="4"/>
      <c r="IH60" s="6"/>
      <c r="II60" s="5"/>
      <c r="IJ60" s="5"/>
      <c r="IK60" s="4"/>
      <c r="IL60" s="6"/>
      <c r="IM60" s="4"/>
      <c r="IN60" s="6"/>
      <c r="IO60" s="5"/>
      <c r="IP60" s="5"/>
      <c r="IQ60" s="4"/>
      <c r="IR60" s="6"/>
      <c r="IS60" s="4"/>
      <c r="IT60" s="6"/>
      <c r="IU60" s="5"/>
      <c r="IV60" s="5"/>
      <c r="IW60" s="4"/>
      <c r="IX60" s="6"/>
      <c r="IY60" s="4"/>
      <c r="IZ60" s="6"/>
      <c r="JA60" s="5"/>
      <c r="JB60" s="5"/>
      <c r="JC60" s="4"/>
      <c r="JD60" s="6"/>
      <c r="JE60" s="4"/>
      <c r="JF60" s="6"/>
      <c r="JG60" s="5"/>
      <c r="JH60" s="5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</row>
    <row r="61">
      <c r="A61" s="3" t="s">
        <v>136</v>
      </c>
      <c r="B61" s="3" t="s">
        <v>210</v>
      </c>
      <c r="C61" s="3" t="s">
        <v>214</v>
      </c>
      <c r="D61" s="3" t="s">
        <v>215</v>
      </c>
      <c r="E61" s="3" t="s">
        <v>213</v>
      </c>
      <c r="F61" s="3" t="s">
        <v>213</v>
      </c>
      <c r="G61" s="3" t="s">
        <v>213</v>
      </c>
      <c r="H61" s="3" t="s">
        <v>183</v>
      </c>
      <c r="I61" s="4"/>
      <c r="J61" s="4">
        <f>=ROUNDDOWN({0},0)</f>
      </c>
      <c r="K61" s="4"/>
      <c r="L61" s="5"/>
      <c r="M61" s="4"/>
      <c r="N61" s="4">
        <f>=ROUNDDOWN({0},0)</f>
      </c>
      <c r="O61" s="4"/>
      <c r="P61" s="5"/>
      <c r="Q61" s="4"/>
      <c r="R61" s="6"/>
      <c r="S61" s="4">
        <v>21</v>
      </c>
      <c r="T61" s="6">
        <v>846.28</v>
      </c>
      <c r="U61" s="5"/>
      <c r="V61" s="5"/>
      <c r="W61" s="4"/>
      <c r="X61" s="6"/>
      <c r="Y61" s="4">
        <v>1</v>
      </c>
      <c r="Z61" s="6">
        <v>35.25</v>
      </c>
      <c r="AA61" s="5"/>
      <c r="AB61" s="5"/>
      <c r="AC61" s="4"/>
      <c r="AD61" s="6"/>
      <c r="AE61" s="4">
        <v>2</v>
      </c>
      <c r="AF61" s="6">
        <v>80.38</v>
      </c>
      <c r="AG61" s="5"/>
      <c r="AH61" s="5"/>
      <c r="AI61" s="4"/>
      <c r="AJ61" s="6"/>
      <c r="AK61" s="4"/>
      <c r="AL61" s="6"/>
      <c r="AM61" s="5"/>
      <c r="AN61" s="5"/>
      <c r="AO61" s="4"/>
      <c r="AP61" s="6"/>
      <c r="AQ61" s="4"/>
      <c r="AR61" s="6"/>
      <c r="AS61" s="5"/>
      <c r="AT61" s="5"/>
      <c r="AU61" s="4"/>
      <c r="AV61" s="6"/>
      <c r="AW61" s="4"/>
      <c r="AX61" s="6"/>
      <c r="AY61" s="5"/>
      <c r="AZ61" s="5"/>
      <c r="BA61" s="4"/>
      <c r="BB61" s="6"/>
      <c r="BC61" s="4">
        <v>1</v>
      </c>
      <c r="BD61" s="6">
        <v>57.95</v>
      </c>
      <c r="BE61" s="5"/>
      <c r="BF61" s="5"/>
      <c r="BG61" s="4"/>
      <c r="BH61" s="6"/>
      <c r="BI61" s="4">
        <v>1</v>
      </c>
      <c r="BJ61" s="6">
        <v>54.68</v>
      </c>
      <c r="BK61" s="5"/>
      <c r="BL61" s="5"/>
      <c r="BM61" s="4"/>
      <c r="BN61" s="6"/>
      <c r="BO61" s="4">
        <v>1</v>
      </c>
      <c r="BP61" s="6">
        <v>43.63</v>
      </c>
      <c r="BQ61" s="5"/>
      <c r="BR61" s="5"/>
      <c r="BS61" s="4"/>
      <c r="BT61" s="6"/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>
        <v>1</v>
      </c>
      <c r="EJ61" s="6">
        <v>55.83</v>
      </c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>
        <v>14</v>
      </c>
      <c r="FT61" s="6">
        <v>518.56</v>
      </c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/>
      <c r="HZ61" s="6"/>
      <c r="IA61" s="4"/>
      <c r="IB61" s="6"/>
      <c r="IC61" s="5"/>
      <c r="ID61" s="5"/>
      <c r="IE61" s="4"/>
      <c r="IF61" s="6"/>
      <c r="IG61" s="4"/>
      <c r="IH61" s="6"/>
      <c r="II61" s="5"/>
      <c r="IJ61" s="5"/>
      <c r="IK61" s="4"/>
      <c r="IL61" s="6"/>
      <c r="IM61" s="4"/>
      <c r="IN61" s="6"/>
      <c r="IO61" s="5"/>
      <c r="IP61" s="5"/>
      <c r="IQ61" s="4"/>
      <c r="IR61" s="6"/>
      <c r="IS61" s="4"/>
      <c r="IT61" s="6"/>
      <c r="IU61" s="5"/>
      <c r="IV61" s="5"/>
      <c r="IW61" s="4"/>
      <c r="IX61" s="6"/>
      <c r="IY61" s="4"/>
      <c r="IZ61" s="6"/>
      <c r="JA61" s="5"/>
      <c r="JB61" s="5"/>
      <c r="JC61" s="4"/>
      <c r="JD61" s="6"/>
      <c r="JE61" s="4"/>
      <c r="JF61" s="6"/>
      <c r="JG61" s="5"/>
      <c r="JH61" s="5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</row>
    <row r="62">
      <c r="A62" s="3" t="s">
        <v>136</v>
      </c>
      <c r="B62" s="3" t="s">
        <v>210</v>
      </c>
      <c r="C62" s="3" t="s">
        <v>178</v>
      </c>
      <c r="D62" s="3" t="s">
        <v>179</v>
      </c>
      <c r="E62" s="3" t="s">
        <v>213</v>
      </c>
      <c r="F62" s="3" t="s">
        <v>213</v>
      </c>
      <c r="G62" s="3" t="s">
        <v>213</v>
      </c>
      <c r="H62" s="3" t="s">
        <v>183</v>
      </c>
      <c r="I62" s="4"/>
      <c r="J62" s="4">
        <f>=ROUNDDOWN({0},0)</f>
      </c>
      <c r="K62" s="4"/>
      <c r="L62" s="5"/>
      <c r="M62" s="4"/>
      <c r="N62" s="4">
        <f>=ROUNDDOWN({0},0)</f>
      </c>
      <c r="O62" s="4"/>
      <c r="P62" s="5"/>
      <c r="Q62" s="4"/>
      <c r="R62" s="6"/>
      <c r="S62" s="4">
        <v>121</v>
      </c>
      <c r="T62" s="6">
        <v>2592.55</v>
      </c>
      <c r="U62" s="5"/>
      <c r="V62" s="5"/>
      <c r="W62" s="4"/>
      <c r="X62" s="6"/>
      <c r="Y62" s="4">
        <v>22</v>
      </c>
      <c r="Z62" s="6">
        <v>466.74</v>
      </c>
      <c r="AA62" s="5"/>
      <c r="AB62" s="5"/>
      <c r="AC62" s="4"/>
      <c r="AD62" s="6"/>
      <c r="AE62" s="4">
        <v>5</v>
      </c>
      <c r="AF62" s="6">
        <v>103.7</v>
      </c>
      <c r="AG62" s="5"/>
      <c r="AH62" s="5"/>
      <c r="AI62" s="4"/>
      <c r="AJ62" s="6"/>
      <c r="AK62" s="4"/>
      <c r="AL62" s="6"/>
      <c r="AM62" s="5"/>
      <c r="AN62" s="5"/>
      <c r="AO62" s="4"/>
      <c r="AP62" s="6"/>
      <c r="AQ62" s="4"/>
      <c r="AR62" s="6"/>
      <c r="AS62" s="5"/>
      <c r="AT62" s="5"/>
      <c r="AU62" s="4"/>
      <c r="AV62" s="6"/>
      <c r="AW62" s="4"/>
      <c r="AX62" s="6"/>
      <c r="AY62" s="5"/>
      <c r="AZ62" s="5"/>
      <c r="BA62" s="4"/>
      <c r="BB62" s="6"/>
      <c r="BC62" s="4">
        <v>11</v>
      </c>
      <c r="BD62" s="6">
        <v>325.93</v>
      </c>
      <c r="BE62" s="5"/>
      <c r="BF62" s="5"/>
      <c r="BG62" s="4"/>
      <c r="BH62" s="6"/>
      <c r="BI62" s="4">
        <v>69</v>
      </c>
      <c r="BJ62" s="6">
        <v>1350.33</v>
      </c>
      <c r="BK62" s="5"/>
      <c r="BL62" s="5"/>
      <c r="BM62" s="4"/>
      <c r="BN62" s="6"/>
      <c r="BO62" s="4">
        <v>5</v>
      </c>
      <c r="BP62" s="6">
        <v>117.08</v>
      </c>
      <c r="BQ62" s="5"/>
      <c r="BR62" s="5"/>
      <c r="BS62" s="4"/>
      <c r="BT62" s="6"/>
      <c r="BU62" s="4"/>
      <c r="BV62" s="6"/>
      <c r="BW62" s="5"/>
      <c r="BX62" s="5"/>
      <c r="BY62" s="4"/>
      <c r="BZ62" s="6"/>
      <c r="CA62" s="4">
        <v>5</v>
      </c>
      <c r="CB62" s="6">
        <v>144.85</v>
      </c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>
        <v>1</v>
      </c>
      <c r="DL62" s="6">
        <v>26.05</v>
      </c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>
        <v>3</v>
      </c>
      <c r="FT62" s="6">
        <v>57.87</v>
      </c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/>
      <c r="HZ62" s="6"/>
      <c r="IA62" s="4"/>
      <c r="IB62" s="6"/>
      <c r="IC62" s="5"/>
      <c r="ID62" s="5"/>
      <c r="IE62" s="4"/>
      <c r="IF62" s="6"/>
      <c r="IG62" s="4"/>
      <c r="IH62" s="6"/>
      <c r="II62" s="5"/>
      <c r="IJ62" s="5"/>
      <c r="IK62" s="4"/>
      <c r="IL62" s="6"/>
      <c r="IM62" s="4"/>
      <c r="IN62" s="6"/>
      <c r="IO62" s="5"/>
      <c r="IP62" s="5"/>
      <c r="IQ62" s="4"/>
      <c r="IR62" s="6"/>
      <c r="IS62" s="4"/>
      <c r="IT62" s="6"/>
      <c r="IU62" s="5"/>
      <c r="IV62" s="5"/>
      <c r="IW62" s="4"/>
      <c r="IX62" s="6"/>
      <c r="IY62" s="4"/>
      <c r="IZ62" s="6"/>
      <c r="JA62" s="5"/>
      <c r="JB62" s="5"/>
      <c r="JC62" s="4"/>
      <c r="JD62" s="6"/>
      <c r="JE62" s="4"/>
      <c r="JF62" s="6"/>
      <c r="JG62" s="5"/>
      <c r="JH62" s="5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</row>
    <row r="63">
      <c r="A63" s="3" t="s">
        <v>136</v>
      </c>
      <c r="B63" s="3" t="s">
        <v>216</v>
      </c>
      <c r="C63" s="3" t="s">
        <v>138</v>
      </c>
      <c r="D63" s="3" t="s">
        <v>139</v>
      </c>
      <c r="E63" s="3" t="s">
        <v>217</v>
      </c>
      <c r="F63" s="3" t="s">
        <v>217</v>
      </c>
      <c r="G63" s="3" t="s">
        <v>217</v>
      </c>
      <c r="H63" s="3" t="s">
        <v>143</v>
      </c>
      <c r="I63" s="4">
        <v>1123</v>
      </c>
      <c r="J63" s="4">
        <f>=ROUNDDOWN(70.1875,0)</f>
      </c>
      <c r="K63" s="4"/>
      <c r="L63" s="5"/>
      <c r="M63" s="4"/>
      <c r="N63" s="4">
        <f>=ROUNDDOWN({0},0)</f>
      </c>
      <c r="O63" s="4"/>
      <c r="P63" s="5"/>
      <c r="Q63" s="4">
        <v>110</v>
      </c>
      <c r="R63" s="6">
        <v>3808.61</v>
      </c>
      <c r="S63" s="4">
        <v>241</v>
      </c>
      <c r="T63" s="6">
        <v>8663.78</v>
      </c>
      <c r="U63" s="5">
        <v>-0.5436</v>
      </c>
      <c r="V63" s="5">
        <v>-0.5604</v>
      </c>
      <c r="W63" s="4">
        <v>21</v>
      </c>
      <c r="X63" s="6">
        <v>565.72</v>
      </c>
      <c r="Y63" s="4">
        <v>84</v>
      </c>
      <c r="Z63" s="6">
        <v>3198.51</v>
      </c>
      <c r="AA63" s="5">
        <v>-0.75</v>
      </c>
      <c r="AB63" s="5">
        <v>-0.8231</v>
      </c>
      <c r="AC63" s="4">
        <v>6</v>
      </c>
      <c r="AD63" s="6">
        <v>228.23</v>
      </c>
      <c r="AE63" s="4"/>
      <c r="AF63" s="6"/>
      <c r="AG63" s="5"/>
      <c r="AH63" s="5"/>
      <c r="AI63" s="4"/>
      <c r="AJ63" s="6"/>
      <c r="AK63" s="4"/>
      <c r="AL63" s="6"/>
      <c r="AM63" s="5"/>
      <c r="AN63" s="5"/>
      <c r="AO63" s="4"/>
      <c r="AP63" s="6"/>
      <c r="AQ63" s="4"/>
      <c r="AR63" s="6"/>
      <c r="AS63" s="5"/>
      <c r="AT63" s="5"/>
      <c r="AU63" s="4">
        <v>13</v>
      </c>
      <c r="AV63" s="6">
        <v>487.32</v>
      </c>
      <c r="AW63" s="4">
        <v>42</v>
      </c>
      <c r="AX63" s="6">
        <v>1582.73</v>
      </c>
      <c r="AY63" s="5">
        <v>-0.6905</v>
      </c>
      <c r="AZ63" s="5">
        <v>-0.6921</v>
      </c>
      <c r="BA63" s="4">
        <v>32</v>
      </c>
      <c r="BB63" s="6">
        <v>1118.17</v>
      </c>
      <c r="BC63" s="4">
        <v>58</v>
      </c>
      <c r="BD63" s="6">
        <v>1817.01</v>
      </c>
      <c r="BE63" s="5">
        <v>-0.4483</v>
      </c>
      <c r="BF63" s="5">
        <v>-0.3846</v>
      </c>
      <c r="BG63" s="4">
        <v>8</v>
      </c>
      <c r="BH63" s="6">
        <v>309.21</v>
      </c>
      <c r="BI63" s="4">
        <v>18</v>
      </c>
      <c r="BJ63" s="6">
        <v>709.89</v>
      </c>
      <c r="BK63" s="5">
        <v>-0.5556</v>
      </c>
      <c r="BL63" s="5">
        <v>-0.5644</v>
      </c>
      <c r="BM63" s="4">
        <v>16</v>
      </c>
      <c r="BN63" s="6">
        <v>388.36</v>
      </c>
      <c r="BO63" s="4">
        <v>3</v>
      </c>
      <c r="BP63" s="6">
        <v>95.55</v>
      </c>
      <c r="BQ63" s="5">
        <v>4.3333</v>
      </c>
      <c r="BR63" s="5">
        <v>3.0645</v>
      </c>
      <c r="BS63" s="4">
        <v>1</v>
      </c>
      <c r="BT63" s="6">
        <v>44.1</v>
      </c>
      <c r="BU63" s="4"/>
      <c r="BV63" s="6"/>
      <c r="BW63" s="5"/>
      <c r="BX63" s="5"/>
      <c r="BY63" s="4">
        <v>9</v>
      </c>
      <c r="BZ63" s="6">
        <v>407.54</v>
      </c>
      <c r="CA63" s="4">
        <v>28</v>
      </c>
      <c r="CB63" s="6">
        <v>944.46</v>
      </c>
      <c r="CC63" s="5">
        <v>-0.6786</v>
      </c>
      <c r="CD63" s="5">
        <v>-0.5685</v>
      </c>
      <c r="CE63" s="4"/>
      <c r="CF63" s="6"/>
      <c r="CG63" s="4"/>
      <c r="CH63" s="6"/>
      <c r="CI63" s="5"/>
      <c r="CJ63" s="5"/>
      <c r="CK63" s="4"/>
      <c r="CL63" s="6"/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>
        <v>4</v>
      </c>
      <c r="DJ63" s="6">
        <v>259.96</v>
      </c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>
        <v>2</v>
      </c>
      <c r="FT63" s="6">
        <v>79.38</v>
      </c>
      <c r="FU63" s="5"/>
      <c r="FV63" s="5"/>
      <c r="FW63" s="4"/>
      <c r="FX63" s="6"/>
      <c r="FY63" s="4">
        <v>6</v>
      </c>
      <c r="FZ63" s="6">
        <v>236.25</v>
      </c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/>
      <c r="HZ63" s="6"/>
      <c r="IA63" s="4"/>
      <c r="IB63" s="6"/>
      <c r="IC63" s="5"/>
      <c r="ID63" s="5"/>
      <c r="IE63" s="4"/>
      <c r="IF63" s="6"/>
      <c r="IG63" s="4"/>
      <c r="IH63" s="6"/>
      <c r="II63" s="5"/>
      <c r="IJ63" s="5"/>
      <c r="IK63" s="4"/>
      <c r="IL63" s="6"/>
      <c r="IM63" s="4"/>
      <c r="IN63" s="6"/>
      <c r="IO63" s="5"/>
      <c r="IP63" s="5"/>
      <c r="IQ63" s="4"/>
      <c r="IR63" s="6"/>
      <c r="IS63" s="4"/>
      <c r="IT63" s="6"/>
      <c r="IU63" s="5"/>
      <c r="IV63" s="5"/>
      <c r="IW63" s="4"/>
      <c r="IX63" s="6"/>
      <c r="IY63" s="4"/>
      <c r="IZ63" s="6"/>
      <c r="JA63" s="5"/>
      <c r="JB63" s="5"/>
      <c r="JC63" s="4"/>
      <c r="JD63" s="6"/>
      <c r="JE63" s="4"/>
      <c r="JF63" s="6"/>
      <c r="JG63" s="5"/>
      <c r="JH63" s="5"/>
      <c r="JI63" s="4">
        <v>1123</v>
      </c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</row>
    <row r="64">
      <c r="A64" s="3" t="s">
        <v>136</v>
      </c>
      <c r="B64" s="3" t="s">
        <v>216</v>
      </c>
      <c r="C64" s="3" t="s">
        <v>138</v>
      </c>
      <c r="D64" s="3" t="s">
        <v>139</v>
      </c>
      <c r="E64" s="3" t="s">
        <v>218</v>
      </c>
      <c r="F64" s="3" t="s">
        <v>218</v>
      </c>
      <c r="G64" s="3" t="s">
        <v>218</v>
      </c>
      <c r="H64" s="3" t="s">
        <v>143</v>
      </c>
      <c r="I64" s="4"/>
      <c r="J64" s="4">
        <f>=ROUNDDOWN({0},0)</f>
      </c>
      <c r="K64" s="4"/>
      <c r="L64" s="5"/>
      <c r="M64" s="4"/>
      <c r="N64" s="4">
        <f>=ROUNDDOWN({0},0)</f>
      </c>
      <c r="O64" s="4"/>
      <c r="P64" s="5"/>
      <c r="Q64" s="4"/>
      <c r="R64" s="6"/>
      <c r="S64" s="4">
        <v>1</v>
      </c>
      <c r="T64" s="6">
        <v>67.99</v>
      </c>
      <c r="U64" s="5"/>
      <c r="V64" s="5"/>
      <c r="W64" s="4"/>
      <c r="X64" s="6"/>
      <c r="Y64" s="4"/>
      <c r="Z64" s="6"/>
      <c r="AA64" s="5"/>
      <c r="AB64" s="5"/>
      <c r="AC64" s="4"/>
      <c r="AD64" s="6"/>
      <c r="AE64" s="4"/>
      <c r="AF64" s="6"/>
      <c r="AG64" s="5"/>
      <c r="AH64" s="5"/>
      <c r="AI64" s="4"/>
      <c r="AJ64" s="6"/>
      <c r="AK64" s="4"/>
      <c r="AL64" s="6"/>
      <c r="AM64" s="5"/>
      <c r="AN64" s="5"/>
      <c r="AO64" s="4"/>
      <c r="AP64" s="6"/>
      <c r="AQ64" s="4"/>
      <c r="AR64" s="6"/>
      <c r="AS64" s="5"/>
      <c r="AT64" s="5"/>
      <c r="AU64" s="4"/>
      <c r="AV64" s="6"/>
      <c r="AW64" s="4"/>
      <c r="AX64" s="6"/>
      <c r="AY64" s="5"/>
      <c r="AZ64" s="5"/>
      <c r="BA64" s="4"/>
      <c r="BB64" s="6"/>
      <c r="BC64" s="4"/>
      <c r="BD64" s="6"/>
      <c r="BE64" s="5"/>
      <c r="BF64" s="5"/>
      <c r="BG64" s="4"/>
      <c r="BH64" s="6"/>
      <c r="BI64" s="4"/>
      <c r="BJ64" s="6"/>
      <c r="BK64" s="5"/>
      <c r="BL64" s="5"/>
      <c r="BM64" s="4"/>
      <c r="BN64" s="6"/>
      <c r="BO64" s="4"/>
      <c r="BP64" s="6"/>
      <c r="BQ64" s="5"/>
      <c r="BR64" s="5"/>
      <c r="BS64" s="4"/>
      <c r="BT64" s="6"/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>
        <v>1</v>
      </c>
      <c r="DL64" s="6">
        <v>67.99</v>
      </c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/>
      <c r="HZ64" s="6"/>
      <c r="IA64" s="4"/>
      <c r="IB64" s="6"/>
      <c r="IC64" s="5"/>
      <c r="ID64" s="5"/>
      <c r="IE64" s="4"/>
      <c r="IF64" s="6"/>
      <c r="IG64" s="4"/>
      <c r="IH64" s="6"/>
      <c r="II64" s="5"/>
      <c r="IJ64" s="5"/>
      <c r="IK64" s="4"/>
      <c r="IL64" s="6"/>
      <c r="IM64" s="4"/>
      <c r="IN64" s="6"/>
      <c r="IO64" s="5"/>
      <c r="IP64" s="5"/>
      <c r="IQ64" s="4"/>
      <c r="IR64" s="6"/>
      <c r="IS64" s="4"/>
      <c r="IT64" s="6"/>
      <c r="IU64" s="5"/>
      <c r="IV64" s="5"/>
      <c r="IW64" s="4"/>
      <c r="IX64" s="6"/>
      <c r="IY64" s="4"/>
      <c r="IZ64" s="6"/>
      <c r="JA64" s="5"/>
      <c r="JB64" s="5"/>
      <c r="JC64" s="4"/>
      <c r="JD64" s="6"/>
      <c r="JE64" s="4"/>
      <c r="JF64" s="6"/>
      <c r="JG64" s="5"/>
      <c r="JH64" s="5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</row>
    <row r="65">
      <c r="A65" s="3" t="s">
        <v>136</v>
      </c>
      <c r="B65" s="3" t="s">
        <v>216</v>
      </c>
      <c r="C65" s="3" t="s">
        <v>138</v>
      </c>
      <c r="D65" s="3" t="s">
        <v>139</v>
      </c>
      <c r="E65" s="3" t="s">
        <v>219</v>
      </c>
      <c r="F65" s="3" t="s">
        <v>219</v>
      </c>
      <c r="G65" s="3" t="s">
        <v>219</v>
      </c>
      <c r="H65" s="3" t="s">
        <v>146</v>
      </c>
      <c r="I65" s="4"/>
      <c r="J65" s="4">
        <f>=ROUNDDOWN({0},0)</f>
      </c>
      <c r="K65" s="4"/>
      <c r="L65" s="5"/>
      <c r="M65" s="4"/>
      <c r="N65" s="4">
        <f>=ROUNDDOWN({0},0)</f>
      </c>
      <c r="O65" s="4"/>
      <c r="P65" s="5"/>
      <c r="Q65" s="4"/>
      <c r="R65" s="6"/>
      <c r="S65" s="4">
        <v>308</v>
      </c>
      <c r="T65" s="6">
        <v>5340.3</v>
      </c>
      <c r="U65" s="5"/>
      <c r="V65" s="5"/>
      <c r="W65" s="4"/>
      <c r="X65" s="6"/>
      <c r="Y65" s="4">
        <v>47</v>
      </c>
      <c r="Z65" s="6">
        <v>752.62</v>
      </c>
      <c r="AA65" s="5"/>
      <c r="AB65" s="5"/>
      <c r="AC65" s="4"/>
      <c r="AD65" s="6"/>
      <c r="AE65" s="4"/>
      <c r="AF65" s="6"/>
      <c r="AG65" s="5"/>
      <c r="AH65" s="5"/>
      <c r="AI65" s="4"/>
      <c r="AJ65" s="6"/>
      <c r="AK65" s="4"/>
      <c r="AL65" s="6"/>
      <c r="AM65" s="5"/>
      <c r="AN65" s="5"/>
      <c r="AO65" s="4"/>
      <c r="AP65" s="6"/>
      <c r="AQ65" s="4"/>
      <c r="AR65" s="6"/>
      <c r="AS65" s="5"/>
      <c r="AT65" s="5"/>
      <c r="AU65" s="4"/>
      <c r="AV65" s="6"/>
      <c r="AW65" s="4">
        <v>9</v>
      </c>
      <c r="AX65" s="6">
        <v>162.9</v>
      </c>
      <c r="AY65" s="5"/>
      <c r="AZ65" s="5"/>
      <c r="BA65" s="4"/>
      <c r="BB65" s="6"/>
      <c r="BC65" s="4">
        <v>8</v>
      </c>
      <c r="BD65" s="6">
        <v>187.76</v>
      </c>
      <c r="BE65" s="5"/>
      <c r="BF65" s="5"/>
      <c r="BG65" s="4"/>
      <c r="BH65" s="6"/>
      <c r="BI65" s="4">
        <v>206</v>
      </c>
      <c r="BJ65" s="6">
        <v>3424.2</v>
      </c>
      <c r="BK65" s="5"/>
      <c r="BL65" s="5"/>
      <c r="BM65" s="4"/>
      <c r="BN65" s="6"/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>
        <v>2</v>
      </c>
      <c r="CB65" s="6">
        <v>38.62</v>
      </c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>
        <v>18</v>
      </c>
      <c r="DX65" s="6">
        <v>397.98</v>
      </c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>
        <v>18</v>
      </c>
      <c r="FT65" s="6">
        <v>376.22</v>
      </c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/>
      <c r="HZ65" s="6"/>
      <c r="IA65" s="4"/>
      <c r="IB65" s="6"/>
      <c r="IC65" s="5"/>
      <c r="ID65" s="5"/>
      <c r="IE65" s="4"/>
      <c r="IF65" s="6"/>
      <c r="IG65" s="4"/>
      <c r="IH65" s="6"/>
      <c r="II65" s="5"/>
      <c r="IJ65" s="5"/>
      <c r="IK65" s="4"/>
      <c r="IL65" s="6"/>
      <c r="IM65" s="4"/>
      <c r="IN65" s="6"/>
      <c r="IO65" s="5"/>
      <c r="IP65" s="5"/>
      <c r="IQ65" s="4"/>
      <c r="IR65" s="6"/>
      <c r="IS65" s="4"/>
      <c r="IT65" s="6"/>
      <c r="IU65" s="5"/>
      <c r="IV65" s="5"/>
      <c r="IW65" s="4"/>
      <c r="IX65" s="6"/>
      <c r="IY65" s="4"/>
      <c r="IZ65" s="6"/>
      <c r="JA65" s="5"/>
      <c r="JB65" s="5"/>
      <c r="JC65" s="4"/>
      <c r="JD65" s="6"/>
      <c r="JE65" s="4"/>
      <c r="JF65" s="6"/>
      <c r="JG65" s="5"/>
      <c r="JH65" s="5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</row>
    <row r="66">
      <c r="A66" s="3" t="s">
        <v>136</v>
      </c>
      <c r="B66" s="3" t="s">
        <v>216</v>
      </c>
      <c r="C66" s="3" t="s">
        <v>155</v>
      </c>
      <c r="D66" s="3" t="s">
        <v>156</v>
      </c>
      <c r="E66" s="3" t="s">
        <v>217</v>
      </c>
      <c r="F66" s="3" t="s">
        <v>217</v>
      </c>
      <c r="G66" s="3" t="s">
        <v>217</v>
      </c>
      <c r="H66" s="3" t="s">
        <v>143</v>
      </c>
      <c r="I66" s="4">
        <v>58</v>
      </c>
      <c r="J66" s="4">
        <f>=ROUNDDOWN(8.28571428571428,0)</f>
      </c>
      <c r="K66" s="4"/>
      <c r="L66" s="5"/>
      <c r="M66" s="4"/>
      <c r="N66" s="4">
        <f>=ROUNDDOWN({0},0)</f>
      </c>
      <c r="O66" s="4"/>
      <c r="P66" s="5"/>
      <c r="Q66" s="4">
        <v>10</v>
      </c>
      <c r="R66" s="6">
        <v>138.17</v>
      </c>
      <c r="S66" s="4">
        <v>157</v>
      </c>
      <c r="T66" s="6">
        <v>1901.57</v>
      </c>
      <c r="U66" s="5">
        <v>-0.9363</v>
      </c>
      <c r="V66" s="5">
        <v>-0.9273</v>
      </c>
      <c r="W66" s="4"/>
      <c r="X66" s="6"/>
      <c r="Y66" s="4">
        <v>99</v>
      </c>
      <c r="Z66" s="6">
        <v>1194.85</v>
      </c>
      <c r="AA66" s="5"/>
      <c r="AB66" s="5"/>
      <c r="AC66" s="4"/>
      <c r="AD66" s="6"/>
      <c r="AE66" s="4">
        <v>1</v>
      </c>
      <c r="AF66" s="6">
        <v>11.03</v>
      </c>
      <c r="AG66" s="5"/>
      <c r="AH66" s="5"/>
      <c r="AI66" s="4"/>
      <c r="AJ66" s="6"/>
      <c r="AK66" s="4"/>
      <c r="AL66" s="6"/>
      <c r="AM66" s="5"/>
      <c r="AN66" s="5"/>
      <c r="AO66" s="4"/>
      <c r="AP66" s="6"/>
      <c r="AQ66" s="4"/>
      <c r="AR66" s="6"/>
      <c r="AS66" s="5"/>
      <c r="AT66" s="5"/>
      <c r="AU66" s="4">
        <v>8</v>
      </c>
      <c r="AV66" s="6">
        <v>99.24</v>
      </c>
      <c r="AW66" s="4">
        <v>25</v>
      </c>
      <c r="AX66" s="6">
        <v>293.35</v>
      </c>
      <c r="AY66" s="5">
        <v>-0.68</v>
      </c>
      <c r="AZ66" s="5">
        <v>-0.6617</v>
      </c>
      <c r="BA66" s="4"/>
      <c r="BB66" s="6"/>
      <c r="BC66" s="4"/>
      <c r="BD66" s="6"/>
      <c r="BE66" s="5"/>
      <c r="BF66" s="5"/>
      <c r="BG66" s="4">
        <v>1</v>
      </c>
      <c r="BH66" s="6">
        <v>11.34</v>
      </c>
      <c r="BI66" s="4">
        <v>10</v>
      </c>
      <c r="BJ66" s="6">
        <v>117.94</v>
      </c>
      <c r="BK66" s="5">
        <v>-0.9</v>
      </c>
      <c r="BL66" s="5">
        <v>-0.9038</v>
      </c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>
        <v>19</v>
      </c>
      <c r="CB66" s="6">
        <v>245.34</v>
      </c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>
        <v>1</v>
      </c>
      <c r="DJ66" s="6">
        <v>27.59</v>
      </c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>
        <v>2</v>
      </c>
      <c r="FT66" s="6">
        <v>26.46</v>
      </c>
      <c r="FU66" s="5"/>
      <c r="FV66" s="5"/>
      <c r="FW66" s="4"/>
      <c r="FX66" s="6"/>
      <c r="FY66" s="4">
        <v>1</v>
      </c>
      <c r="FZ66" s="6">
        <v>12.6</v>
      </c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/>
      <c r="HZ66" s="6"/>
      <c r="IA66" s="4"/>
      <c r="IB66" s="6"/>
      <c r="IC66" s="5"/>
      <c r="ID66" s="5"/>
      <c r="IE66" s="4"/>
      <c r="IF66" s="6"/>
      <c r="IG66" s="4"/>
      <c r="IH66" s="6"/>
      <c r="II66" s="5"/>
      <c r="IJ66" s="5"/>
      <c r="IK66" s="4"/>
      <c r="IL66" s="6"/>
      <c r="IM66" s="4"/>
      <c r="IN66" s="6"/>
      <c r="IO66" s="5"/>
      <c r="IP66" s="5"/>
      <c r="IQ66" s="4"/>
      <c r="IR66" s="6"/>
      <c r="IS66" s="4"/>
      <c r="IT66" s="6"/>
      <c r="IU66" s="5"/>
      <c r="IV66" s="5"/>
      <c r="IW66" s="4"/>
      <c r="IX66" s="6"/>
      <c r="IY66" s="4"/>
      <c r="IZ66" s="6"/>
      <c r="JA66" s="5"/>
      <c r="JB66" s="5"/>
      <c r="JC66" s="4"/>
      <c r="JD66" s="6"/>
      <c r="JE66" s="4"/>
      <c r="JF66" s="6"/>
      <c r="JG66" s="5"/>
      <c r="JH66" s="5"/>
      <c r="JI66" s="4">
        <v>58</v>
      </c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</row>
    <row r="67">
      <c r="A67" s="3" t="s">
        <v>136</v>
      </c>
      <c r="B67" s="3" t="s">
        <v>220</v>
      </c>
      <c r="C67" s="3" t="s">
        <v>138</v>
      </c>
      <c r="D67" s="3" t="s">
        <v>139</v>
      </c>
      <c r="E67" s="3" t="s">
        <v>221</v>
      </c>
      <c r="F67" s="3" t="s">
        <v>221</v>
      </c>
      <c r="G67" s="3" t="s">
        <v>221</v>
      </c>
      <c r="H67" s="3" t="s">
        <v>183</v>
      </c>
      <c r="I67" s="4"/>
      <c r="J67" s="4">
        <f>=ROUNDDOWN({0},0)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>
        <v>4</v>
      </c>
      <c r="T67" s="6">
        <v>144.18</v>
      </c>
      <c r="U67" s="5"/>
      <c r="V67" s="5"/>
      <c r="W67" s="4"/>
      <c r="X67" s="6"/>
      <c r="Y67" s="4"/>
      <c r="Z67" s="6"/>
      <c r="AA67" s="5"/>
      <c r="AB67" s="5"/>
      <c r="AC67" s="4"/>
      <c r="AD67" s="6"/>
      <c r="AE67" s="4"/>
      <c r="AF67" s="6"/>
      <c r="AG67" s="5"/>
      <c r="AH67" s="5"/>
      <c r="AI67" s="4"/>
      <c r="AJ67" s="6"/>
      <c r="AK67" s="4"/>
      <c r="AL67" s="6"/>
      <c r="AM67" s="5"/>
      <c r="AN67" s="5"/>
      <c r="AO67" s="4"/>
      <c r="AP67" s="6"/>
      <c r="AQ67" s="4"/>
      <c r="AR67" s="6"/>
      <c r="AS67" s="5"/>
      <c r="AT67" s="5"/>
      <c r="AU67" s="4"/>
      <c r="AV67" s="6"/>
      <c r="AW67" s="4"/>
      <c r="AX67" s="6"/>
      <c r="AY67" s="5"/>
      <c r="AZ67" s="5"/>
      <c r="BA67" s="4"/>
      <c r="BB67" s="6"/>
      <c r="BC67" s="4"/>
      <c r="BD67" s="6"/>
      <c r="BE67" s="5"/>
      <c r="BF67" s="5"/>
      <c r="BG67" s="4"/>
      <c r="BH67" s="6"/>
      <c r="BI67" s="4"/>
      <c r="BJ67" s="6"/>
      <c r="BK67" s="5"/>
      <c r="BL67" s="5"/>
      <c r="BM67" s="4"/>
      <c r="BN67" s="6"/>
      <c r="BO67" s="4"/>
      <c r="BP67" s="6"/>
      <c r="BQ67" s="5"/>
      <c r="BR67" s="5"/>
      <c r="BS67" s="4"/>
      <c r="BT67" s="6"/>
      <c r="BU67" s="4"/>
      <c r="BV67" s="6"/>
      <c r="BW67" s="5"/>
      <c r="BX67" s="5"/>
      <c r="BY67" s="4"/>
      <c r="BZ67" s="6"/>
      <c r="CA67" s="4">
        <v>1</v>
      </c>
      <c r="CB67" s="6">
        <v>20.77</v>
      </c>
      <c r="CC67" s="5"/>
      <c r="CD67" s="5"/>
      <c r="CE67" s="4"/>
      <c r="CF67" s="6"/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>
        <v>3</v>
      </c>
      <c r="DL67" s="6">
        <v>123.41</v>
      </c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/>
      <c r="HZ67" s="6"/>
      <c r="IA67" s="4"/>
      <c r="IB67" s="6"/>
      <c r="IC67" s="5"/>
      <c r="ID67" s="5"/>
      <c r="IE67" s="4"/>
      <c r="IF67" s="6"/>
      <c r="IG67" s="4"/>
      <c r="IH67" s="6"/>
      <c r="II67" s="5"/>
      <c r="IJ67" s="5"/>
      <c r="IK67" s="4"/>
      <c r="IL67" s="6"/>
      <c r="IM67" s="4"/>
      <c r="IN67" s="6"/>
      <c r="IO67" s="5"/>
      <c r="IP67" s="5"/>
      <c r="IQ67" s="4"/>
      <c r="IR67" s="6"/>
      <c r="IS67" s="4"/>
      <c r="IT67" s="6"/>
      <c r="IU67" s="5"/>
      <c r="IV67" s="5"/>
      <c r="IW67" s="4"/>
      <c r="IX67" s="6"/>
      <c r="IY67" s="4"/>
      <c r="IZ67" s="6"/>
      <c r="JA67" s="5"/>
      <c r="JB67" s="5"/>
      <c r="JC67" s="4"/>
      <c r="JD67" s="6"/>
      <c r="JE67" s="4"/>
      <c r="JF67" s="6"/>
      <c r="JG67" s="5"/>
      <c r="JH67" s="5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</row>
    <row r="68">
      <c r="A68" s="11" t="s">
        <v>222</v>
      </c>
      <c r="B68" s="7" t="s">
        <v>188</v>
      </c>
      <c r="C68" s="7" t="s">
        <v>188</v>
      </c>
      <c r="D68" s="7" t="s">
        <v>188</v>
      </c>
      <c r="E68" s="7" t="s">
        <v>188</v>
      </c>
      <c r="F68" s="7" t="s">
        <v>188</v>
      </c>
      <c r="G68" s="7" t="s">
        <v>188</v>
      </c>
      <c r="H68" s="7" t="s">
        <v>188</v>
      </c>
      <c r="I68" s="8">
        <v>151894</v>
      </c>
      <c r="J68" s="8">
        <f>=ROUNDDOWN({0},0)</f>
      </c>
      <c r="K68" s="8">
        <v>298554</v>
      </c>
      <c r="L68" s="9"/>
      <c r="M68" s="8"/>
      <c r="N68" s="8">
        <f>=ROUNDDOWN({0},0)</f>
      </c>
      <c r="O68" s="8"/>
      <c r="P68" s="9"/>
      <c r="Q68" s="8">
        <v>123771</v>
      </c>
      <c r="R68" s="10">
        <v>3111065.83</v>
      </c>
      <c r="S68" s="8">
        <v>113991</v>
      </c>
      <c r="T68" s="10">
        <v>2839880.7</v>
      </c>
      <c r="U68" s="9">
        <v>0.0858</v>
      </c>
      <c r="V68" s="9">
        <v>0.0955</v>
      </c>
      <c r="W68" s="8">
        <v>19013</v>
      </c>
      <c r="X68" s="10">
        <v>491774.39</v>
      </c>
      <c r="Y68" s="8">
        <v>23545</v>
      </c>
      <c r="Z68" s="10">
        <v>559335.95</v>
      </c>
      <c r="AA68" s="9">
        <v>-0.1925</v>
      </c>
      <c r="AB68" s="9">
        <v>-0.1208</v>
      </c>
      <c r="AC68" s="8">
        <v>13562</v>
      </c>
      <c r="AD68" s="10">
        <v>486537.34</v>
      </c>
      <c r="AE68" s="8">
        <v>1805</v>
      </c>
      <c r="AF68" s="10">
        <v>57151.38</v>
      </c>
      <c r="AG68" s="9">
        <v>6.5136</v>
      </c>
      <c r="AH68" s="9">
        <v>7.5131</v>
      </c>
      <c r="AI68" s="8">
        <v>25419</v>
      </c>
      <c r="AJ68" s="10">
        <v>469492.88</v>
      </c>
      <c r="AK68" s="8"/>
      <c r="AL68" s="10"/>
      <c r="AM68" s="9"/>
      <c r="AN68" s="9"/>
      <c r="AO68" s="8">
        <v>14870</v>
      </c>
      <c r="AP68" s="10">
        <v>351577.5</v>
      </c>
      <c r="AQ68" s="8">
        <v>20967</v>
      </c>
      <c r="AR68" s="10">
        <v>496539.83</v>
      </c>
      <c r="AS68" s="9">
        <v>-0.2908</v>
      </c>
      <c r="AT68" s="9">
        <v>-0.2919</v>
      </c>
      <c r="AU68" s="8">
        <v>12212</v>
      </c>
      <c r="AV68" s="10">
        <v>351325.77</v>
      </c>
      <c r="AW68" s="8">
        <v>10949</v>
      </c>
      <c r="AX68" s="10">
        <v>311722.06</v>
      </c>
      <c r="AY68" s="9">
        <v>0.1154</v>
      </c>
      <c r="AZ68" s="9">
        <v>0.127</v>
      </c>
      <c r="BA68" s="8">
        <v>10773</v>
      </c>
      <c r="BB68" s="10">
        <v>235543.74</v>
      </c>
      <c r="BC68" s="8">
        <v>13265</v>
      </c>
      <c r="BD68" s="10">
        <v>312929.13</v>
      </c>
      <c r="BE68" s="9">
        <v>-0.1879</v>
      </c>
      <c r="BF68" s="9">
        <v>-0.2473</v>
      </c>
      <c r="BG68" s="8">
        <v>9124</v>
      </c>
      <c r="BH68" s="10">
        <v>219262.83</v>
      </c>
      <c r="BI68" s="8">
        <v>15097</v>
      </c>
      <c r="BJ68" s="10">
        <v>326936.8</v>
      </c>
      <c r="BK68" s="9">
        <v>-0.3956</v>
      </c>
      <c r="BL68" s="9">
        <v>-0.3293</v>
      </c>
      <c r="BM68" s="8">
        <v>4375</v>
      </c>
      <c r="BN68" s="10">
        <v>108322.75</v>
      </c>
      <c r="BO68" s="8">
        <v>4636</v>
      </c>
      <c r="BP68" s="10">
        <v>110723.78</v>
      </c>
      <c r="BQ68" s="9">
        <v>-0.0563</v>
      </c>
      <c r="BR68" s="9">
        <v>-0.0217</v>
      </c>
      <c r="BS68" s="8">
        <v>3095</v>
      </c>
      <c r="BT68" s="10">
        <v>98663.11</v>
      </c>
      <c r="BU68" s="8">
        <v>5622</v>
      </c>
      <c r="BV68" s="10">
        <v>164922.27</v>
      </c>
      <c r="BW68" s="9">
        <v>-0.4495</v>
      </c>
      <c r="BX68" s="9">
        <v>-0.4018</v>
      </c>
      <c r="BY68" s="8">
        <v>2650</v>
      </c>
      <c r="BZ68" s="10">
        <v>76194.89</v>
      </c>
      <c r="CA68" s="8">
        <v>4629</v>
      </c>
      <c r="CB68" s="10">
        <v>141079.82</v>
      </c>
      <c r="CC68" s="9">
        <v>-0.4275</v>
      </c>
      <c r="CD68" s="9">
        <v>-0.4599</v>
      </c>
      <c r="CE68" s="8">
        <v>3210</v>
      </c>
      <c r="CF68" s="10">
        <v>74072.31</v>
      </c>
      <c r="CG68" s="8">
        <v>2686</v>
      </c>
      <c r="CH68" s="10">
        <v>66484.5</v>
      </c>
      <c r="CI68" s="9">
        <v>0.1951</v>
      </c>
      <c r="CJ68" s="9">
        <v>0.1141</v>
      </c>
      <c r="CK68" s="8">
        <v>985</v>
      </c>
      <c r="CL68" s="10">
        <v>33531.15</v>
      </c>
      <c r="CM68" s="8">
        <v>518</v>
      </c>
      <c r="CN68" s="10">
        <v>17749.79</v>
      </c>
      <c r="CO68" s="9">
        <v>0.9015</v>
      </c>
      <c r="CP68" s="9">
        <v>0.8891</v>
      </c>
      <c r="CQ68" s="8">
        <v>1457</v>
      </c>
      <c r="CR68" s="10">
        <v>33299.42</v>
      </c>
      <c r="CS68" s="8">
        <v>2789</v>
      </c>
      <c r="CT68" s="10">
        <v>74729.39</v>
      </c>
      <c r="CU68" s="9">
        <v>-0.4776</v>
      </c>
      <c r="CV68" s="9">
        <v>-0.5544</v>
      </c>
      <c r="CW68" s="8">
        <v>964</v>
      </c>
      <c r="CX68" s="10">
        <v>21296.73</v>
      </c>
      <c r="CY68" s="8">
        <v>2639</v>
      </c>
      <c r="CZ68" s="10">
        <v>56865.68</v>
      </c>
      <c r="DA68" s="9">
        <v>-0.6347</v>
      </c>
      <c r="DB68" s="9">
        <v>-0.6255</v>
      </c>
      <c r="DC68" s="8">
        <v>632</v>
      </c>
      <c r="DD68" s="10">
        <v>17133.34</v>
      </c>
      <c r="DE68" s="8">
        <v>505</v>
      </c>
      <c r="DF68" s="10">
        <v>13138.23</v>
      </c>
      <c r="DG68" s="9">
        <v>0.2515</v>
      </c>
      <c r="DH68" s="9">
        <v>0.3041</v>
      </c>
      <c r="DI68" s="8">
        <v>230</v>
      </c>
      <c r="DJ68" s="10">
        <v>10443.95</v>
      </c>
      <c r="DK68" s="8">
        <v>300</v>
      </c>
      <c r="DL68" s="10">
        <v>13451.3</v>
      </c>
      <c r="DM68" s="9">
        <v>-0.2333</v>
      </c>
      <c r="DN68" s="9">
        <v>-0.2236</v>
      </c>
      <c r="DO68" s="8">
        <v>472</v>
      </c>
      <c r="DP68" s="10">
        <v>9653.15</v>
      </c>
      <c r="DQ68" s="8">
        <v>658</v>
      </c>
      <c r="DR68" s="10">
        <v>13483.68</v>
      </c>
      <c r="DS68" s="9">
        <v>-0.2827</v>
      </c>
      <c r="DT68" s="9">
        <v>-0.2841</v>
      </c>
      <c r="DU68" s="8">
        <v>262</v>
      </c>
      <c r="DV68" s="10">
        <v>6912.54</v>
      </c>
      <c r="DW68" s="8">
        <v>318</v>
      </c>
      <c r="DX68" s="10">
        <v>7562.81</v>
      </c>
      <c r="DY68" s="9">
        <v>-0.1761</v>
      </c>
      <c r="DZ68" s="9">
        <v>-0.086</v>
      </c>
      <c r="EA68" s="8">
        <v>163</v>
      </c>
      <c r="EB68" s="10">
        <v>4954.6</v>
      </c>
      <c r="EC68" s="8">
        <v>160</v>
      </c>
      <c r="ED68" s="10">
        <v>4034.37</v>
      </c>
      <c r="EE68" s="9">
        <v>0.0188</v>
      </c>
      <c r="EF68" s="9">
        <v>0.2281</v>
      </c>
      <c r="EG68" s="8">
        <v>151</v>
      </c>
      <c r="EH68" s="10">
        <v>4374.72</v>
      </c>
      <c r="EI68" s="8">
        <v>76</v>
      </c>
      <c r="EJ68" s="10">
        <v>2900.71</v>
      </c>
      <c r="EK68" s="9">
        <v>0.9868</v>
      </c>
      <c r="EL68" s="9">
        <v>0.5082</v>
      </c>
      <c r="EM68" s="8">
        <v>26</v>
      </c>
      <c r="EN68" s="10">
        <v>1806.82</v>
      </c>
      <c r="EO68" s="8"/>
      <c r="EP68" s="10"/>
      <c r="EQ68" s="9"/>
      <c r="ER68" s="9"/>
      <c r="ES68" s="8">
        <v>53</v>
      </c>
      <c r="ET68" s="10">
        <v>1710.42</v>
      </c>
      <c r="EU68" s="8">
        <v>31</v>
      </c>
      <c r="EV68" s="10">
        <v>1095.69</v>
      </c>
      <c r="EW68" s="9">
        <v>0.7097</v>
      </c>
      <c r="EX68" s="9">
        <v>0.561</v>
      </c>
      <c r="EY68" s="8">
        <v>24</v>
      </c>
      <c r="EZ68" s="10">
        <v>1508.41</v>
      </c>
      <c r="FA68" s="8">
        <v>24</v>
      </c>
      <c r="FB68" s="10">
        <v>935.82</v>
      </c>
      <c r="FC68" s="9"/>
      <c r="FD68" s="9">
        <v>0.6119</v>
      </c>
      <c r="FE68" s="8">
        <v>42</v>
      </c>
      <c r="FF68" s="10">
        <v>1414.41</v>
      </c>
      <c r="FG68" s="8"/>
      <c r="FH68" s="10"/>
      <c r="FI68" s="9"/>
      <c r="FJ68" s="9"/>
      <c r="FK68" s="8">
        <v>7</v>
      </c>
      <c r="FL68" s="10">
        <v>258.66</v>
      </c>
      <c r="FM68" s="8">
        <v>5</v>
      </c>
      <c r="FN68" s="10">
        <v>171.77</v>
      </c>
      <c r="FO68" s="9">
        <v>0.4</v>
      </c>
      <c r="FP68" s="9">
        <v>0.5059</v>
      </c>
      <c r="FQ68" s="8"/>
      <c r="FR68" s="10"/>
      <c r="FS68" s="8">
        <v>2201</v>
      </c>
      <c r="FT68" s="10">
        <v>69763.03</v>
      </c>
      <c r="FU68" s="9">
        <v>-1</v>
      </c>
      <c r="FV68" s="9">
        <v>-1</v>
      </c>
      <c r="FW68" s="8"/>
      <c r="FX68" s="10"/>
      <c r="FY68" s="8">
        <v>493</v>
      </c>
      <c r="FZ68" s="10">
        <v>14046.5</v>
      </c>
      <c r="GA68" s="9">
        <v>-1</v>
      </c>
      <c r="GB68" s="9">
        <v>-1</v>
      </c>
      <c r="GC68" s="8"/>
      <c r="GD68" s="10"/>
      <c r="GE68" s="8">
        <v>73</v>
      </c>
      <c r="GF68" s="10">
        <v>2126.41</v>
      </c>
      <c r="GG68" s="9">
        <v>-1</v>
      </c>
      <c r="GH68" s="9">
        <v>-1</v>
      </c>
      <c r="GI68" s="8"/>
      <c r="GJ68" s="10"/>
      <c r="GK68" s="8"/>
      <c r="GL68" s="10"/>
      <c r="GM68" s="9"/>
      <c r="GN68" s="9"/>
      <c r="GO68" s="8"/>
      <c r="GP68" s="10"/>
      <c r="GQ68" s="8"/>
      <c r="GR68" s="10"/>
      <c r="GS68" s="9"/>
      <c r="GT68" s="9"/>
      <c r="GU68" s="8"/>
      <c r="GV68" s="10"/>
      <c r="GW68" s="8"/>
      <c r="GX68" s="10"/>
      <c r="GY68" s="9"/>
      <c r="GZ68" s="9"/>
      <c r="HA68" s="8"/>
      <c r="HB68" s="10"/>
      <c r="HC68" s="8"/>
      <c r="HD68" s="10"/>
      <c r="HE68" s="9"/>
      <c r="HF68" s="9"/>
      <c r="HG68" s="8"/>
      <c r="HH68" s="10"/>
      <c r="HI68" s="8"/>
      <c r="HJ68" s="10"/>
      <c r="HK68" s="9"/>
      <c r="HL68" s="9"/>
      <c r="HM68" s="8"/>
      <c r="HN68" s="10"/>
      <c r="HO68" s="8"/>
      <c r="HP68" s="10"/>
      <c r="HQ68" s="9"/>
      <c r="HR68" s="9"/>
      <c r="HS68" s="8"/>
      <c r="HT68" s="10"/>
      <c r="HU68" s="8"/>
      <c r="HV68" s="10"/>
      <c r="HW68" s="9"/>
      <c r="HX68" s="9"/>
      <c r="HY68" s="8"/>
      <c r="HZ68" s="10"/>
      <c r="IA68" s="8"/>
      <c r="IB68" s="10"/>
      <c r="IC68" s="9"/>
      <c r="ID68" s="9"/>
      <c r="IE68" s="8"/>
      <c r="IF68" s="10"/>
      <c r="IG68" s="8"/>
      <c r="IH68" s="10"/>
      <c r="II68" s="9"/>
      <c r="IJ68" s="9"/>
      <c r="IK68" s="8"/>
      <c r="IL68" s="10"/>
      <c r="IM68" s="8"/>
      <c r="IN68" s="10"/>
      <c r="IO68" s="9"/>
      <c r="IP68" s="9"/>
      <c r="IQ68" s="8"/>
      <c r="IR68" s="10"/>
      <c r="IS68" s="8"/>
      <c r="IT68" s="10"/>
      <c r="IU68" s="9"/>
      <c r="IV68" s="9"/>
      <c r="IW68" s="8"/>
      <c r="IX68" s="10"/>
      <c r="IY68" s="8"/>
      <c r="IZ68" s="10"/>
      <c r="JA68" s="9"/>
      <c r="JB68" s="9"/>
      <c r="JC68" s="8"/>
      <c r="JD68" s="10"/>
      <c r="JE68" s="8"/>
      <c r="JF68" s="10"/>
      <c r="JG68" s="9"/>
      <c r="JH68" s="9"/>
      <c r="JI68" s="8">
        <v>142722</v>
      </c>
      <c r="JJ68" s="8">
        <v>65</v>
      </c>
      <c r="JK68" s="8"/>
      <c r="JL68" s="8"/>
      <c r="JM68" s="8">
        <v>5925</v>
      </c>
      <c r="JN68" s="8"/>
      <c r="JO68" s="8"/>
      <c r="JP68" s="8">
        <v>3182</v>
      </c>
      <c r="JQ68" s="8"/>
      <c r="JR68" s="8"/>
      <c r="JS68" s="8"/>
      <c r="JT68" s="8"/>
      <c r="JU68" s="8"/>
      <c r="JV68" s="8"/>
      <c r="JW68" s="8"/>
      <c r="JX68" s="8"/>
      <c r="JY68" s="8">
        <v>8223</v>
      </c>
      <c r="JZ68" s="8">
        <v>1010</v>
      </c>
      <c r="KA68" s="8">
        <v>3602</v>
      </c>
      <c r="KB68" s="8">
        <v>4263</v>
      </c>
      <c r="KC68" s="8">
        <v>2781</v>
      </c>
      <c r="KD68" s="8">
        <v>4098</v>
      </c>
      <c r="KE68" s="8">
        <v>8520</v>
      </c>
      <c r="KF68" s="8">
        <v>6918</v>
      </c>
      <c r="KG68" s="8">
        <v>1730</v>
      </c>
      <c r="KH68" s="8">
        <v>21205</v>
      </c>
      <c r="KI68" s="8">
        <v>580</v>
      </c>
      <c r="KJ68" s="8">
        <v>1820</v>
      </c>
      <c r="KK68" s="8">
        <v>1010</v>
      </c>
      <c r="KL68" s="8">
        <v>1200</v>
      </c>
      <c r="KM68" s="8">
        <v>1124</v>
      </c>
      <c r="KN68" s="8">
        <v>4788</v>
      </c>
      <c r="KO68" s="8">
        <v>1802</v>
      </c>
      <c r="KP68" s="8">
        <v>4477</v>
      </c>
      <c r="KQ68" s="8">
        <v>21550</v>
      </c>
      <c r="KR68" s="8">
        <v>600</v>
      </c>
      <c r="KS68" s="8">
        <v>9218</v>
      </c>
      <c r="KT68" s="8">
        <v>1080</v>
      </c>
      <c r="KU68" s="8">
        <v>10240</v>
      </c>
      <c r="KV68" s="8">
        <v>2040</v>
      </c>
      <c r="KW68" s="8">
        <v>3550</v>
      </c>
      <c r="KX68" s="8">
        <v>3122</v>
      </c>
      <c r="KY68" s="8">
        <v>3400</v>
      </c>
      <c r="KZ68" s="8">
        <v>184</v>
      </c>
      <c r="LA68" s="8">
        <v>34620</v>
      </c>
      <c r="LB68" s="8">
        <v>7692</v>
      </c>
      <c r="LC68" s="8">
        <v>77404</v>
      </c>
      <c r="LD68" s="8">
        <v>2210</v>
      </c>
      <c r="LE68" s="8">
        <v>18071</v>
      </c>
      <c r="LF68" s="8">
        <v>2212</v>
      </c>
      <c r="LG68" s="8">
        <v>9590</v>
      </c>
      <c r="LH68" s="8">
        <v>1040</v>
      </c>
      <c r="LI68" s="8">
        <v>670</v>
      </c>
      <c r="LJ68" s="8">
        <v>2330</v>
      </c>
      <c r="LK68" s="8">
        <v>8580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D3"/>
    <mergeCell ref="HY4:HZ4"/>
    <mergeCell ref="IA4:IB4"/>
    <mergeCell ref="IC4:IC5"/>
    <mergeCell ref="ID4:ID5"/>
    <mergeCell ref="IE3:IJ3"/>
    <mergeCell ref="IE4:IF4"/>
    <mergeCell ref="IG4:IH4"/>
    <mergeCell ref="II4:II5"/>
    <mergeCell ref="IJ4:IJ5"/>
    <mergeCell ref="IK3:IP3"/>
    <mergeCell ref="IK4:IL4"/>
    <mergeCell ref="IM4:IN4"/>
    <mergeCell ref="IO4:IO5"/>
    <mergeCell ref="IP4:IP5"/>
    <mergeCell ref="IQ3:IV3"/>
    <mergeCell ref="IQ4:IR4"/>
    <mergeCell ref="IS4:IT4"/>
    <mergeCell ref="IU4:IU5"/>
    <mergeCell ref="IV4:IV5"/>
    <mergeCell ref="IW3:JB3"/>
    <mergeCell ref="IW4:IX4"/>
    <mergeCell ref="IY4:IZ4"/>
    <mergeCell ref="JA4:JA5"/>
    <mergeCell ref="JB4:JB5"/>
    <mergeCell ref="JC3:JH3"/>
    <mergeCell ref="JC4:JD4"/>
    <mergeCell ref="JE4:JF4"/>
    <mergeCell ref="JG4:JG5"/>
    <mergeCell ref="JH4:JH5"/>
    <mergeCell ref="JI3:JX4"/>
    <mergeCell ref="JY3:LK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LM363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223</v>
      </c>
      <c r="J3" s="2" t="s">
        <v>224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59</v>
      </c>
      <c r="IL3" s="2" t="s">
        <v>59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60</v>
      </c>
      <c r="IR3" s="2" t="s">
        <v>60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61</v>
      </c>
      <c r="IX3" s="2" t="s">
        <v>61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62</v>
      </c>
      <c r="JD3" s="2" t="s">
        <v>62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63</v>
      </c>
      <c r="JJ3" s="2" t="s">
        <v>63</v>
      </c>
      <c r="JK3" s="2" t="s">
        <v>64</v>
      </c>
      <c r="JL3" s="2" t="s">
        <v>64</v>
      </c>
      <c r="JM3" s="2" t="s">
        <v>64</v>
      </c>
      <c r="JN3" s="2" t="s">
        <v>64</v>
      </c>
      <c r="JO3" s="2" t="s">
        <v>64</v>
      </c>
      <c r="JP3" s="2" t="s">
        <v>64</v>
      </c>
      <c r="JQ3" s="2" t="s">
        <v>64</v>
      </c>
      <c r="JR3" s="2" t="s">
        <v>64</v>
      </c>
      <c r="JS3" s="2" t="s">
        <v>64</v>
      </c>
      <c r="JT3" s="2" t="s">
        <v>64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64</v>
      </c>
      <c r="JZ3" s="2" t="s">
        <v>64</v>
      </c>
      <c r="KA3" s="2" t="s">
        <v>65</v>
      </c>
      <c r="KB3" s="2" t="s">
        <v>65</v>
      </c>
      <c r="KC3" s="2" t="s">
        <v>65</v>
      </c>
      <c r="KD3" s="2" t="s">
        <v>65</v>
      </c>
      <c r="KE3" s="2" t="s">
        <v>65</v>
      </c>
      <c r="KF3" s="2" t="s">
        <v>65</v>
      </c>
      <c r="KG3" s="2" t="s">
        <v>65</v>
      </c>
      <c r="KH3" s="2" t="s">
        <v>65</v>
      </c>
      <c r="KI3" s="2" t="s">
        <v>65</v>
      </c>
      <c r="KJ3" s="2" t="s">
        <v>65</v>
      </c>
      <c r="KK3" s="2" t="s">
        <v>65</v>
      </c>
      <c r="KL3" s="2" t="s">
        <v>65</v>
      </c>
      <c r="KM3" s="2" t="s">
        <v>65</v>
      </c>
      <c r="KN3" s="2" t="s">
        <v>65</v>
      </c>
      <c r="KO3" s="2" t="s">
        <v>65</v>
      </c>
      <c r="KP3" s="2" t="s">
        <v>65</v>
      </c>
      <c r="KQ3" s="2" t="s">
        <v>65</v>
      </c>
      <c r="KR3" s="2" t="s">
        <v>65</v>
      </c>
      <c r="KS3" s="2" t="s">
        <v>65</v>
      </c>
      <c r="KT3" s="2" t="s">
        <v>65</v>
      </c>
      <c r="KU3" s="2" t="s">
        <v>65</v>
      </c>
      <c r="KV3" s="2" t="s">
        <v>65</v>
      </c>
      <c r="KW3" s="2" t="s">
        <v>65</v>
      </c>
      <c r="KX3" s="2" t="s">
        <v>65</v>
      </c>
      <c r="KY3" s="2" t="s">
        <v>65</v>
      </c>
      <c r="KZ3" s="2" t="s">
        <v>65</v>
      </c>
      <c r="LA3" s="2" t="s">
        <v>65</v>
      </c>
      <c r="LB3" s="2" t="s">
        <v>65</v>
      </c>
      <c r="LC3" s="2" t="s">
        <v>65</v>
      </c>
      <c r="LD3" s="2" t="s">
        <v>65</v>
      </c>
      <c r="LE3" s="2" t="s">
        <v>65</v>
      </c>
      <c r="LF3" s="2" t="s">
        <v>65</v>
      </c>
      <c r="LG3" s="2" t="s">
        <v>65</v>
      </c>
      <c r="LH3" s="2" t="s">
        <v>65</v>
      </c>
      <c r="LI3" s="2" t="s">
        <v>65</v>
      </c>
      <c r="LJ3" s="2" t="s">
        <v>65</v>
      </c>
      <c r="LK3" s="2" t="s">
        <v>65</v>
      </c>
      <c r="LL3" s="2" t="s">
        <v>65</v>
      </c>
      <c r="LM3" s="2" t="s">
        <v>65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223</v>
      </c>
      <c r="J4" s="2" t="s">
        <v>224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66</v>
      </c>
      <c r="T4" s="2" t="s">
        <v>66</v>
      </c>
      <c r="U4" s="2" t="s">
        <v>67</v>
      </c>
      <c r="V4" s="2" t="s">
        <v>67</v>
      </c>
      <c r="W4" s="2" t="s">
        <v>68</v>
      </c>
      <c r="X4" s="2" t="s">
        <v>69</v>
      </c>
      <c r="Y4" s="2" t="s">
        <v>66</v>
      </c>
      <c r="Z4" s="2" t="s">
        <v>66</v>
      </c>
      <c r="AA4" s="2" t="s">
        <v>67</v>
      </c>
      <c r="AB4" s="2" t="s">
        <v>67</v>
      </c>
      <c r="AC4" s="2" t="s">
        <v>68</v>
      </c>
      <c r="AD4" s="2" t="s">
        <v>69</v>
      </c>
      <c r="AE4" s="2" t="s">
        <v>66</v>
      </c>
      <c r="AF4" s="2" t="s">
        <v>66</v>
      </c>
      <c r="AG4" s="2" t="s">
        <v>67</v>
      </c>
      <c r="AH4" s="2" t="s">
        <v>67</v>
      </c>
      <c r="AI4" s="2" t="s">
        <v>68</v>
      </c>
      <c r="AJ4" s="2" t="s">
        <v>69</v>
      </c>
      <c r="AK4" s="2" t="s">
        <v>66</v>
      </c>
      <c r="AL4" s="2" t="s">
        <v>66</v>
      </c>
      <c r="AM4" s="2" t="s">
        <v>67</v>
      </c>
      <c r="AN4" s="2" t="s">
        <v>67</v>
      </c>
      <c r="AO4" s="2" t="s">
        <v>68</v>
      </c>
      <c r="AP4" s="2" t="s">
        <v>69</v>
      </c>
      <c r="AQ4" s="2" t="s">
        <v>66</v>
      </c>
      <c r="AR4" s="2" t="s">
        <v>66</v>
      </c>
      <c r="AS4" s="2" t="s">
        <v>67</v>
      </c>
      <c r="AT4" s="2" t="s">
        <v>67</v>
      </c>
      <c r="AU4" s="2" t="s">
        <v>68</v>
      </c>
      <c r="AV4" s="2" t="s">
        <v>69</v>
      </c>
      <c r="AW4" s="2" t="s">
        <v>66</v>
      </c>
      <c r="AX4" s="2" t="s">
        <v>66</v>
      </c>
      <c r="AY4" s="2" t="s">
        <v>67</v>
      </c>
      <c r="AZ4" s="2" t="s">
        <v>67</v>
      </c>
      <c r="BA4" s="2" t="s">
        <v>68</v>
      </c>
      <c r="BB4" s="2" t="s">
        <v>69</v>
      </c>
      <c r="BC4" s="2" t="s">
        <v>66</v>
      </c>
      <c r="BD4" s="2" t="s">
        <v>66</v>
      </c>
      <c r="BE4" s="2" t="s">
        <v>67</v>
      </c>
      <c r="BF4" s="2" t="s">
        <v>67</v>
      </c>
      <c r="BG4" s="2" t="s">
        <v>68</v>
      </c>
      <c r="BH4" s="2" t="s">
        <v>69</v>
      </c>
      <c r="BI4" s="2" t="s">
        <v>66</v>
      </c>
      <c r="BJ4" s="2" t="s">
        <v>66</v>
      </c>
      <c r="BK4" s="2" t="s">
        <v>67</v>
      </c>
      <c r="BL4" s="2" t="s">
        <v>67</v>
      </c>
      <c r="BM4" s="2" t="s">
        <v>68</v>
      </c>
      <c r="BN4" s="2" t="s">
        <v>69</v>
      </c>
      <c r="BO4" s="2" t="s">
        <v>66</v>
      </c>
      <c r="BP4" s="2" t="s">
        <v>66</v>
      </c>
      <c r="BQ4" s="2" t="s">
        <v>67</v>
      </c>
      <c r="BR4" s="2" t="s">
        <v>67</v>
      </c>
      <c r="BS4" s="2" t="s">
        <v>68</v>
      </c>
      <c r="BT4" s="2" t="s">
        <v>69</v>
      </c>
      <c r="BU4" s="2" t="s">
        <v>66</v>
      </c>
      <c r="BV4" s="2" t="s">
        <v>66</v>
      </c>
      <c r="BW4" s="2" t="s">
        <v>67</v>
      </c>
      <c r="BX4" s="2" t="s">
        <v>67</v>
      </c>
      <c r="BY4" s="2" t="s">
        <v>68</v>
      </c>
      <c r="BZ4" s="2" t="s">
        <v>69</v>
      </c>
      <c r="CA4" s="2" t="s">
        <v>66</v>
      </c>
      <c r="CB4" s="2" t="s">
        <v>66</v>
      </c>
      <c r="CC4" s="2" t="s">
        <v>67</v>
      </c>
      <c r="CD4" s="2" t="s">
        <v>67</v>
      </c>
      <c r="CE4" s="2" t="s">
        <v>68</v>
      </c>
      <c r="CF4" s="2" t="s">
        <v>69</v>
      </c>
      <c r="CG4" s="2" t="s">
        <v>66</v>
      </c>
      <c r="CH4" s="2" t="s">
        <v>66</v>
      </c>
      <c r="CI4" s="2" t="s">
        <v>67</v>
      </c>
      <c r="CJ4" s="2" t="s">
        <v>67</v>
      </c>
      <c r="CK4" s="2" t="s">
        <v>68</v>
      </c>
      <c r="CL4" s="2" t="s">
        <v>69</v>
      </c>
      <c r="CM4" s="2" t="s">
        <v>66</v>
      </c>
      <c r="CN4" s="2" t="s">
        <v>66</v>
      </c>
      <c r="CO4" s="2" t="s">
        <v>67</v>
      </c>
      <c r="CP4" s="2" t="s">
        <v>67</v>
      </c>
      <c r="CQ4" s="2" t="s">
        <v>68</v>
      </c>
      <c r="CR4" s="2" t="s">
        <v>69</v>
      </c>
      <c r="CS4" s="2" t="s">
        <v>66</v>
      </c>
      <c r="CT4" s="2" t="s">
        <v>66</v>
      </c>
      <c r="CU4" s="2" t="s">
        <v>67</v>
      </c>
      <c r="CV4" s="2" t="s">
        <v>67</v>
      </c>
      <c r="CW4" s="2" t="s">
        <v>68</v>
      </c>
      <c r="CX4" s="2" t="s">
        <v>69</v>
      </c>
      <c r="CY4" s="2" t="s">
        <v>66</v>
      </c>
      <c r="CZ4" s="2" t="s">
        <v>66</v>
      </c>
      <c r="DA4" s="2" t="s">
        <v>67</v>
      </c>
      <c r="DB4" s="2" t="s">
        <v>67</v>
      </c>
      <c r="DC4" s="2" t="s">
        <v>68</v>
      </c>
      <c r="DD4" s="2" t="s">
        <v>69</v>
      </c>
      <c r="DE4" s="2" t="s">
        <v>66</v>
      </c>
      <c r="DF4" s="2" t="s">
        <v>66</v>
      </c>
      <c r="DG4" s="2" t="s">
        <v>67</v>
      </c>
      <c r="DH4" s="2" t="s">
        <v>67</v>
      </c>
      <c r="DI4" s="2" t="s">
        <v>68</v>
      </c>
      <c r="DJ4" s="2" t="s">
        <v>69</v>
      </c>
      <c r="DK4" s="2" t="s">
        <v>66</v>
      </c>
      <c r="DL4" s="2" t="s">
        <v>66</v>
      </c>
      <c r="DM4" s="2" t="s">
        <v>67</v>
      </c>
      <c r="DN4" s="2" t="s">
        <v>67</v>
      </c>
      <c r="DO4" s="2" t="s">
        <v>68</v>
      </c>
      <c r="DP4" s="2" t="s">
        <v>69</v>
      </c>
      <c r="DQ4" s="2" t="s">
        <v>66</v>
      </c>
      <c r="DR4" s="2" t="s">
        <v>66</v>
      </c>
      <c r="DS4" s="2" t="s">
        <v>67</v>
      </c>
      <c r="DT4" s="2" t="s">
        <v>67</v>
      </c>
      <c r="DU4" s="2" t="s">
        <v>68</v>
      </c>
      <c r="DV4" s="2" t="s">
        <v>69</v>
      </c>
      <c r="DW4" s="2" t="s">
        <v>66</v>
      </c>
      <c r="DX4" s="2" t="s">
        <v>66</v>
      </c>
      <c r="DY4" s="2" t="s">
        <v>67</v>
      </c>
      <c r="DZ4" s="2" t="s">
        <v>67</v>
      </c>
      <c r="EA4" s="2" t="s">
        <v>68</v>
      </c>
      <c r="EB4" s="2" t="s">
        <v>69</v>
      </c>
      <c r="EC4" s="2" t="s">
        <v>66</v>
      </c>
      <c r="ED4" s="2" t="s">
        <v>66</v>
      </c>
      <c r="EE4" s="2" t="s">
        <v>67</v>
      </c>
      <c r="EF4" s="2" t="s">
        <v>67</v>
      </c>
      <c r="EG4" s="2" t="s">
        <v>68</v>
      </c>
      <c r="EH4" s="2" t="s">
        <v>69</v>
      </c>
      <c r="EI4" s="2" t="s">
        <v>66</v>
      </c>
      <c r="EJ4" s="2" t="s">
        <v>66</v>
      </c>
      <c r="EK4" s="2" t="s">
        <v>67</v>
      </c>
      <c r="EL4" s="2" t="s">
        <v>67</v>
      </c>
      <c r="EM4" s="2" t="s">
        <v>68</v>
      </c>
      <c r="EN4" s="2" t="s">
        <v>69</v>
      </c>
      <c r="EO4" s="2" t="s">
        <v>66</v>
      </c>
      <c r="EP4" s="2" t="s">
        <v>66</v>
      </c>
      <c r="EQ4" s="2" t="s">
        <v>67</v>
      </c>
      <c r="ER4" s="2" t="s">
        <v>67</v>
      </c>
      <c r="ES4" s="2" t="s">
        <v>68</v>
      </c>
      <c r="ET4" s="2" t="s">
        <v>69</v>
      </c>
      <c r="EU4" s="2" t="s">
        <v>66</v>
      </c>
      <c r="EV4" s="2" t="s">
        <v>66</v>
      </c>
      <c r="EW4" s="2" t="s">
        <v>67</v>
      </c>
      <c r="EX4" s="2" t="s">
        <v>67</v>
      </c>
      <c r="EY4" s="2" t="s">
        <v>68</v>
      </c>
      <c r="EZ4" s="2" t="s">
        <v>69</v>
      </c>
      <c r="FA4" s="2" t="s">
        <v>66</v>
      </c>
      <c r="FB4" s="2" t="s">
        <v>66</v>
      </c>
      <c r="FC4" s="2" t="s">
        <v>67</v>
      </c>
      <c r="FD4" s="2" t="s">
        <v>67</v>
      </c>
      <c r="FE4" s="2" t="s">
        <v>68</v>
      </c>
      <c r="FF4" s="2" t="s">
        <v>69</v>
      </c>
      <c r="FG4" s="2" t="s">
        <v>66</v>
      </c>
      <c r="FH4" s="2" t="s">
        <v>66</v>
      </c>
      <c r="FI4" s="2" t="s">
        <v>67</v>
      </c>
      <c r="FJ4" s="2" t="s">
        <v>67</v>
      </c>
      <c r="FK4" s="2" t="s">
        <v>68</v>
      </c>
      <c r="FL4" s="2" t="s">
        <v>69</v>
      </c>
      <c r="FM4" s="2" t="s">
        <v>66</v>
      </c>
      <c r="FN4" s="2" t="s">
        <v>66</v>
      </c>
      <c r="FO4" s="2" t="s">
        <v>67</v>
      </c>
      <c r="FP4" s="2" t="s">
        <v>67</v>
      </c>
      <c r="FQ4" s="2" t="s">
        <v>68</v>
      </c>
      <c r="FR4" s="2" t="s">
        <v>69</v>
      </c>
      <c r="FS4" s="2" t="s">
        <v>66</v>
      </c>
      <c r="FT4" s="2" t="s">
        <v>66</v>
      </c>
      <c r="FU4" s="2" t="s">
        <v>67</v>
      </c>
      <c r="FV4" s="2" t="s">
        <v>67</v>
      </c>
      <c r="FW4" s="2" t="s">
        <v>68</v>
      </c>
      <c r="FX4" s="2" t="s">
        <v>69</v>
      </c>
      <c r="FY4" s="2" t="s">
        <v>66</v>
      </c>
      <c r="FZ4" s="2" t="s">
        <v>66</v>
      </c>
      <c r="GA4" s="2" t="s">
        <v>67</v>
      </c>
      <c r="GB4" s="2" t="s">
        <v>67</v>
      </c>
      <c r="GC4" s="2" t="s">
        <v>68</v>
      </c>
      <c r="GD4" s="2" t="s">
        <v>69</v>
      </c>
      <c r="GE4" s="2" t="s">
        <v>66</v>
      </c>
      <c r="GF4" s="2" t="s">
        <v>66</v>
      </c>
      <c r="GG4" s="2" t="s">
        <v>67</v>
      </c>
      <c r="GH4" s="2" t="s">
        <v>67</v>
      </c>
      <c r="GI4" s="2" t="s">
        <v>68</v>
      </c>
      <c r="GJ4" s="2" t="s">
        <v>69</v>
      </c>
      <c r="GK4" s="2" t="s">
        <v>66</v>
      </c>
      <c r="GL4" s="2" t="s">
        <v>66</v>
      </c>
      <c r="GM4" s="2" t="s">
        <v>67</v>
      </c>
      <c r="GN4" s="2" t="s">
        <v>67</v>
      </c>
      <c r="GO4" s="2" t="s">
        <v>68</v>
      </c>
      <c r="GP4" s="2" t="s">
        <v>69</v>
      </c>
      <c r="GQ4" s="2" t="s">
        <v>66</v>
      </c>
      <c r="GR4" s="2" t="s">
        <v>66</v>
      </c>
      <c r="GS4" s="2" t="s">
        <v>67</v>
      </c>
      <c r="GT4" s="2" t="s">
        <v>67</v>
      </c>
      <c r="GU4" s="2" t="s">
        <v>68</v>
      </c>
      <c r="GV4" s="2" t="s">
        <v>69</v>
      </c>
      <c r="GW4" s="2" t="s">
        <v>66</v>
      </c>
      <c r="GX4" s="2" t="s">
        <v>66</v>
      </c>
      <c r="GY4" s="2" t="s">
        <v>67</v>
      </c>
      <c r="GZ4" s="2" t="s">
        <v>67</v>
      </c>
      <c r="HA4" s="2" t="s">
        <v>68</v>
      </c>
      <c r="HB4" s="2" t="s">
        <v>69</v>
      </c>
      <c r="HC4" s="2" t="s">
        <v>66</v>
      </c>
      <c r="HD4" s="2" t="s">
        <v>66</v>
      </c>
      <c r="HE4" s="2" t="s">
        <v>67</v>
      </c>
      <c r="HF4" s="2" t="s">
        <v>67</v>
      </c>
      <c r="HG4" s="2" t="s">
        <v>68</v>
      </c>
      <c r="HH4" s="2" t="s">
        <v>69</v>
      </c>
      <c r="HI4" s="2" t="s">
        <v>66</v>
      </c>
      <c r="HJ4" s="2" t="s">
        <v>66</v>
      </c>
      <c r="HK4" s="2" t="s">
        <v>67</v>
      </c>
      <c r="HL4" s="2" t="s">
        <v>67</v>
      </c>
      <c r="HM4" s="2" t="s">
        <v>68</v>
      </c>
      <c r="HN4" s="2" t="s">
        <v>69</v>
      </c>
      <c r="HO4" s="2" t="s">
        <v>66</v>
      </c>
      <c r="HP4" s="2" t="s">
        <v>66</v>
      </c>
      <c r="HQ4" s="2" t="s">
        <v>67</v>
      </c>
      <c r="HR4" s="2" t="s">
        <v>67</v>
      </c>
      <c r="HS4" s="2" t="s">
        <v>68</v>
      </c>
      <c r="HT4" s="2" t="s">
        <v>69</v>
      </c>
      <c r="HU4" s="2" t="s">
        <v>66</v>
      </c>
      <c r="HV4" s="2" t="s">
        <v>66</v>
      </c>
      <c r="HW4" s="2" t="s">
        <v>67</v>
      </c>
      <c r="HX4" s="2" t="s">
        <v>67</v>
      </c>
      <c r="HY4" s="2" t="s">
        <v>68</v>
      </c>
      <c r="HZ4" s="2" t="s">
        <v>69</v>
      </c>
      <c r="IA4" s="2" t="s">
        <v>66</v>
      </c>
      <c r="IB4" s="2" t="s">
        <v>66</v>
      </c>
      <c r="IC4" s="2" t="s">
        <v>67</v>
      </c>
      <c r="ID4" s="2" t="s">
        <v>67</v>
      </c>
      <c r="IE4" s="2" t="s">
        <v>68</v>
      </c>
      <c r="IF4" s="2" t="s">
        <v>69</v>
      </c>
      <c r="IG4" s="2" t="s">
        <v>66</v>
      </c>
      <c r="IH4" s="2" t="s">
        <v>66</v>
      </c>
      <c r="II4" s="2" t="s">
        <v>67</v>
      </c>
      <c r="IJ4" s="2" t="s">
        <v>67</v>
      </c>
      <c r="IK4" s="2" t="s">
        <v>68</v>
      </c>
      <c r="IL4" s="2" t="s">
        <v>69</v>
      </c>
      <c r="IM4" s="2" t="s">
        <v>66</v>
      </c>
      <c r="IN4" s="2" t="s">
        <v>66</v>
      </c>
      <c r="IO4" s="2" t="s">
        <v>67</v>
      </c>
      <c r="IP4" s="2" t="s">
        <v>67</v>
      </c>
      <c r="IQ4" s="2" t="s">
        <v>68</v>
      </c>
      <c r="IR4" s="2" t="s">
        <v>69</v>
      </c>
      <c r="IS4" s="2" t="s">
        <v>66</v>
      </c>
      <c r="IT4" s="2" t="s">
        <v>66</v>
      </c>
      <c r="IU4" s="2" t="s">
        <v>67</v>
      </c>
      <c r="IV4" s="2" t="s">
        <v>67</v>
      </c>
      <c r="IW4" s="2" t="s">
        <v>68</v>
      </c>
      <c r="IX4" s="2" t="s">
        <v>69</v>
      </c>
      <c r="IY4" s="2" t="s">
        <v>66</v>
      </c>
      <c r="IZ4" s="2" t="s">
        <v>66</v>
      </c>
      <c r="JA4" s="2" t="s">
        <v>67</v>
      </c>
      <c r="JB4" s="2" t="s">
        <v>67</v>
      </c>
      <c r="JC4" s="2" t="s">
        <v>68</v>
      </c>
      <c r="JD4" s="2" t="s">
        <v>69</v>
      </c>
      <c r="JE4" s="2" t="s">
        <v>66</v>
      </c>
      <c r="JF4" s="2" t="s">
        <v>66</v>
      </c>
      <c r="JG4" s="2" t="s">
        <v>67</v>
      </c>
      <c r="JH4" s="2" t="s">
        <v>67</v>
      </c>
      <c r="JI4" s="2" t="s">
        <v>68</v>
      </c>
      <c r="JJ4" s="2" t="s">
        <v>69</v>
      </c>
      <c r="JK4" s="2" t="s">
        <v>64</v>
      </c>
      <c r="JL4" s="2" t="s">
        <v>64</v>
      </c>
      <c r="JM4" s="2" t="s">
        <v>64</v>
      </c>
      <c r="JN4" s="2" t="s">
        <v>64</v>
      </c>
      <c r="JO4" s="2" t="s">
        <v>64</v>
      </c>
      <c r="JP4" s="2" t="s">
        <v>64</v>
      </c>
      <c r="JQ4" s="2" t="s">
        <v>64</v>
      </c>
      <c r="JR4" s="2" t="s">
        <v>64</v>
      </c>
      <c r="JS4" s="2" t="s">
        <v>64</v>
      </c>
      <c r="JT4" s="2" t="s">
        <v>64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64</v>
      </c>
      <c r="JZ4" s="2" t="s">
        <v>64</v>
      </c>
      <c r="KA4" s="2" t="s">
        <v>65</v>
      </c>
      <c r="KB4" s="2" t="s">
        <v>65</v>
      </c>
      <c r="KC4" s="2" t="s">
        <v>65</v>
      </c>
      <c r="KD4" s="2" t="s">
        <v>65</v>
      </c>
      <c r="KE4" s="2" t="s">
        <v>65</v>
      </c>
      <c r="KF4" s="2" t="s">
        <v>65</v>
      </c>
      <c r="KG4" s="2" t="s">
        <v>65</v>
      </c>
      <c r="KH4" s="2" t="s">
        <v>65</v>
      </c>
      <c r="KI4" s="2" t="s">
        <v>65</v>
      </c>
      <c r="KJ4" s="2" t="s">
        <v>65</v>
      </c>
      <c r="KK4" s="2" t="s">
        <v>65</v>
      </c>
      <c r="KL4" s="2" t="s">
        <v>65</v>
      </c>
      <c r="KM4" s="2" t="s">
        <v>65</v>
      </c>
      <c r="KN4" s="2" t="s">
        <v>65</v>
      </c>
      <c r="KO4" s="2" t="s">
        <v>65</v>
      </c>
      <c r="KP4" s="2" t="s">
        <v>65</v>
      </c>
      <c r="KQ4" s="2" t="s">
        <v>65</v>
      </c>
      <c r="KR4" s="2" t="s">
        <v>65</v>
      </c>
      <c r="KS4" s="2" t="s">
        <v>65</v>
      </c>
      <c r="KT4" s="2" t="s">
        <v>65</v>
      </c>
      <c r="KU4" s="2" t="s">
        <v>65</v>
      </c>
      <c r="KV4" s="2" t="s">
        <v>65</v>
      </c>
      <c r="KW4" s="2" t="s">
        <v>65</v>
      </c>
      <c r="KX4" s="2" t="s">
        <v>65</v>
      </c>
      <c r="KY4" s="2" t="s">
        <v>65</v>
      </c>
      <c r="KZ4" s="2" t="s">
        <v>65</v>
      </c>
      <c r="LA4" s="2" t="s">
        <v>65</v>
      </c>
      <c r="LB4" s="2" t="s">
        <v>65</v>
      </c>
      <c r="LC4" s="2" t="s">
        <v>65</v>
      </c>
      <c r="LD4" s="2" t="s">
        <v>65</v>
      </c>
      <c r="LE4" s="2" t="s">
        <v>65</v>
      </c>
      <c r="LF4" s="2" t="s">
        <v>65</v>
      </c>
      <c r="LG4" s="2" t="s">
        <v>65</v>
      </c>
      <c r="LH4" s="2" t="s">
        <v>65</v>
      </c>
      <c r="LI4" s="2" t="s">
        <v>65</v>
      </c>
      <c r="LJ4" s="2" t="s">
        <v>65</v>
      </c>
      <c r="LK4" s="2" t="s">
        <v>65</v>
      </c>
      <c r="LL4" s="2" t="s">
        <v>65</v>
      </c>
      <c r="LM4" s="2" t="s">
        <v>65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223</v>
      </c>
      <c r="J5" s="2" t="s">
        <v>224</v>
      </c>
      <c r="K5" s="2" t="s">
        <v>70</v>
      </c>
      <c r="L5" s="2" t="s">
        <v>71</v>
      </c>
      <c r="M5" s="2" t="s">
        <v>72</v>
      </c>
      <c r="N5" s="2" t="s">
        <v>73</v>
      </c>
      <c r="O5" s="2" t="s">
        <v>74</v>
      </c>
      <c r="P5" s="2" t="s">
        <v>75</v>
      </c>
      <c r="Q5" s="2" t="s">
        <v>76</v>
      </c>
      <c r="R5" s="2" t="s">
        <v>77</v>
      </c>
      <c r="S5" s="2" t="s">
        <v>78</v>
      </c>
      <c r="T5" s="2" t="s">
        <v>79</v>
      </c>
      <c r="U5" s="2" t="s">
        <v>78</v>
      </c>
      <c r="V5" s="2" t="s">
        <v>79</v>
      </c>
      <c r="W5" s="2" t="s">
        <v>68</v>
      </c>
      <c r="X5" s="2" t="s">
        <v>69</v>
      </c>
      <c r="Y5" s="2" t="s">
        <v>80</v>
      </c>
      <c r="Z5" s="2" t="s">
        <v>81</v>
      </c>
      <c r="AA5" s="2" t="s">
        <v>80</v>
      </c>
      <c r="AB5" s="2" t="s">
        <v>81</v>
      </c>
      <c r="AC5" s="2" t="s">
        <v>68</v>
      </c>
      <c r="AD5" s="2" t="s">
        <v>69</v>
      </c>
      <c r="AE5" s="2" t="s">
        <v>80</v>
      </c>
      <c r="AF5" s="2" t="s">
        <v>81</v>
      </c>
      <c r="AG5" s="2" t="s">
        <v>80</v>
      </c>
      <c r="AH5" s="2" t="s">
        <v>81</v>
      </c>
      <c r="AI5" s="2" t="s">
        <v>68</v>
      </c>
      <c r="AJ5" s="2" t="s">
        <v>69</v>
      </c>
      <c r="AK5" s="2" t="s">
        <v>80</v>
      </c>
      <c r="AL5" s="2" t="s">
        <v>81</v>
      </c>
      <c r="AM5" s="2" t="s">
        <v>80</v>
      </c>
      <c r="AN5" s="2" t="s">
        <v>81</v>
      </c>
      <c r="AO5" s="2" t="s">
        <v>68</v>
      </c>
      <c r="AP5" s="2" t="s">
        <v>69</v>
      </c>
      <c r="AQ5" s="2" t="s">
        <v>80</v>
      </c>
      <c r="AR5" s="2" t="s">
        <v>81</v>
      </c>
      <c r="AS5" s="2" t="s">
        <v>80</v>
      </c>
      <c r="AT5" s="2" t="s">
        <v>81</v>
      </c>
      <c r="AU5" s="2" t="s">
        <v>68</v>
      </c>
      <c r="AV5" s="2" t="s">
        <v>69</v>
      </c>
      <c r="AW5" s="2" t="s">
        <v>80</v>
      </c>
      <c r="AX5" s="2" t="s">
        <v>81</v>
      </c>
      <c r="AY5" s="2" t="s">
        <v>80</v>
      </c>
      <c r="AZ5" s="2" t="s">
        <v>81</v>
      </c>
      <c r="BA5" s="2" t="s">
        <v>68</v>
      </c>
      <c r="BB5" s="2" t="s">
        <v>69</v>
      </c>
      <c r="BC5" s="2" t="s">
        <v>80</v>
      </c>
      <c r="BD5" s="2" t="s">
        <v>81</v>
      </c>
      <c r="BE5" s="2" t="s">
        <v>80</v>
      </c>
      <c r="BF5" s="2" t="s">
        <v>81</v>
      </c>
      <c r="BG5" s="2" t="s">
        <v>68</v>
      </c>
      <c r="BH5" s="2" t="s">
        <v>69</v>
      </c>
      <c r="BI5" s="2" t="s">
        <v>80</v>
      </c>
      <c r="BJ5" s="2" t="s">
        <v>81</v>
      </c>
      <c r="BK5" s="2" t="s">
        <v>80</v>
      </c>
      <c r="BL5" s="2" t="s">
        <v>81</v>
      </c>
      <c r="BM5" s="2" t="s">
        <v>68</v>
      </c>
      <c r="BN5" s="2" t="s">
        <v>69</v>
      </c>
      <c r="BO5" s="2" t="s">
        <v>80</v>
      </c>
      <c r="BP5" s="2" t="s">
        <v>81</v>
      </c>
      <c r="BQ5" s="2" t="s">
        <v>80</v>
      </c>
      <c r="BR5" s="2" t="s">
        <v>81</v>
      </c>
      <c r="BS5" s="2" t="s">
        <v>68</v>
      </c>
      <c r="BT5" s="2" t="s">
        <v>69</v>
      </c>
      <c r="BU5" s="2" t="s">
        <v>80</v>
      </c>
      <c r="BV5" s="2" t="s">
        <v>81</v>
      </c>
      <c r="BW5" s="2" t="s">
        <v>80</v>
      </c>
      <c r="BX5" s="2" t="s">
        <v>81</v>
      </c>
      <c r="BY5" s="2" t="s">
        <v>68</v>
      </c>
      <c r="BZ5" s="2" t="s">
        <v>69</v>
      </c>
      <c r="CA5" s="2" t="s">
        <v>80</v>
      </c>
      <c r="CB5" s="2" t="s">
        <v>81</v>
      </c>
      <c r="CC5" s="2" t="s">
        <v>80</v>
      </c>
      <c r="CD5" s="2" t="s">
        <v>81</v>
      </c>
      <c r="CE5" s="2" t="s">
        <v>68</v>
      </c>
      <c r="CF5" s="2" t="s">
        <v>69</v>
      </c>
      <c r="CG5" s="2" t="s">
        <v>80</v>
      </c>
      <c r="CH5" s="2" t="s">
        <v>81</v>
      </c>
      <c r="CI5" s="2" t="s">
        <v>80</v>
      </c>
      <c r="CJ5" s="2" t="s">
        <v>81</v>
      </c>
      <c r="CK5" s="2" t="s">
        <v>68</v>
      </c>
      <c r="CL5" s="2" t="s">
        <v>69</v>
      </c>
      <c r="CM5" s="2" t="s">
        <v>80</v>
      </c>
      <c r="CN5" s="2" t="s">
        <v>81</v>
      </c>
      <c r="CO5" s="2" t="s">
        <v>80</v>
      </c>
      <c r="CP5" s="2" t="s">
        <v>81</v>
      </c>
      <c r="CQ5" s="2" t="s">
        <v>68</v>
      </c>
      <c r="CR5" s="2" t="s">
        <v>69</v>
      </c>
      <c r="CS5" s="2" t="s">
        <v>80</v>
      </c>
      <c r="CT5" s="2" t="s">
        <v>81</v>
      </c>
      <c r="CU5" s="2" t="s">
        <v>80</v>
      </c>
      <c r="CV5" s="2" t="s">
        <v>81</v>
      </c>
      <c r="CW5" s="2" t="s">
        <v>68</v>
      </c>
      <c r="CX5" s="2" t="s">
        <v>69</v>
      </c>
      <c r="CY5" s="2" t="s">
        <v>80</v>
      </c>
      <c r="CZ5" s="2" t="s">
        <v>81</v>
      </c>
      <c r="DA5" s="2" t="s">
        <v>80</v>
      </c>
      <c r="DB5" s="2" t="s">
        <v>81</v>
      </c>
      <c r="DC5" s="2" t="s">
        <v>68</v>
      </c>
      <c r="DD5" s="2" t="s">
        <v>69</v>
      </c>
      <c r="DE5" s="2" t="s">
        <v>80</v>
      </c>
      <c r="DF5" s="2" t="s">
        <v>81</v>
      </c>
      <c r="DG5" s="2" t="s">
        <v>80</v>
      </c>
      <c r="DH5" s="2" t="s">
        <v>81</v>
      </c>
      <c r="DI5" s="2" t="s">
        <v>68</v>
      </c>
      <c r="DJ5" s="2" t="s">
        <v>69</v>
      </c>
      <c r="DK5" s="2" t="s">
        <v>80</v>
      </c>
      <c r="DL5" s="2" t="s">
        <v>81</v>
      </c>
      <c r="DM5" s="2" t="s">
        <v>80</v>
      </c>
      <c r="DN5" s="2" t="s">
        <v>81</v>
      </c>
      <c r="DO5" s="2" t="s">
        <v>68</v>
      </c>
      <c r="DP5" s="2" t="s">
        <v>69</v>
      </c>
      <c r="DQ5" s="2" t="s">
        <v>80</v>
      </c>
      <c r="DR5" s="2" t="s">
        <v>81</v>
      </c>
      <c r="DS5" s="2" t="s">
        <v>80</v>
      </c>
      <c r="DT5" s="2" t="s">
        <v>81</v>
      </c>
      <c r="DU5" s="2" t="s">
        <v>68</v>
      </c>
      <c r="DV5" s="2" t="s">
        <v>69</v>
      </c>
      <c r="DW5" s="2" t="s">
        <v>80</v>
      </c>
      <c r="DX5" s="2" t="s">
        <v>81</v>
      </c>
      <c r="DY5" s="2" t="s">
        <v>80</v>
      </c>
      <c r="DZ5" s="2" t="s">
        <v>81</v>
      </c>
      <c r="EA5" s="2" t="s">
        <v>68</v>
      </c>
      <c r="EB5" s="2" t="s">
        <v>69</v>
      </c>
      <c r="EC5" s="2" t="s">
        <v>80</v>
      </c>
      <c r="ED5" s="2" t="s">
        <v>81</v>
      </c>
      <c r="EE5" s="2" t="s">
        <v>80</v>
      </c>
      <c r="EF5" s="2" t="s">
        <v>81</v>
      </c>
      <c r="EG5" s="2" t="s">
        <v>68</v>
      </c>
      <c r="EH5" s="2" t="s">
        <v>69</v>
      </c>
      <c r="EI5" s="2" t="s">
        <v>80</v>
      </c>
      <c r="EJ5" s="2" t="s">
        <v>81</v>
      </c>
      <c r="EK5" s="2" t="s">
        <v>80</v>
      </c>
      <c r="EL5" s="2" t="s">
        <v>81</v>
      </c>
      <c r="EM5" s="2" t="s">
        <v>68</v>
      </c>
      <c r="EN5" s="2" t="s">
        <v>69</v>
      </c>
      <c r="EO5" s="2" t="s">
        <v>80</v>
      </c>
      <c r="EP5" s="2" t="s">
        <v>81</v>
      </c>
      <c r="EQ5" s="2" t="s">
        <v>80</v>
      </c>
      <c r="ER5" s="2" t="s">
        <v>81</v>
      </c>
      <c r="ES5" s="2" t="s">
        <v>68</v>
      </c>
      <c r="ET5" s="2" t="s">
        <v>69</v>
      </c>
      <c r="EU5" s="2" t="s">
        <v>80</v>
      </c>
      <c r="EV5" s="2" t="s">
        <v>81</v>
      </c>
      <c r="EW5" s="2" t="s">
        <v>80</v>
      </c>
      <c r="EX5" s="2" t="s">
        <v>81</v>
      </c>
      <c r="EY5" s="2" t="s">
        <v>68</v>
      </c>
      <c r="EZ5" s="2" t="s">
        <v>69</v>
      </c>
      <c r="FA5" s="2" t="s">
        <v>80</v>
      </c>
      <c r="FB5" s="2" t="s">
        <v>81</v>
      </c>
      <c r="FC5" s="2" t="s">
        <v>80</v>
      </c>
      <c r="FD5" s="2" t="s">
        <v>81</v>
      </c>
      <c r="FE5" s="2" t="s">
        <v>68</v>
      </c>
      <c r="FF5" s="2" t="s">
        <v>69</v>
      </c>
      <c r="FG5" s="2" t="s">
        <v>80</v>
      </c>
      <c r="FH5" s="2" t="s">
        <v>81</v>
      </c>
      <c r="FI5" s="2" t="s">
        <v>80</v>
      </c>
      <c r="FJ5" s="2" t="s">
        <v>81</v>
      </c>
      <c r="FK5" s="2" t="s">
        <v>68</v>
      </c>
      <c r="FL5" s="2" t="s">
        <v>69</v>
      </c>
      <c r="FM5" s="2" t="s">
        <v>80</v>
      </c>
      <c r="FN5" s="2" t="s">
        <v>81</v>
      </c>
      <c r="FO5" s="2" t="s">
        <v>80</v>
      </c>
      <c r="FP5" s="2" t="s">
        <v>81</v>
      </c>
      <c r="FQ5" s="2" t="s">
        <v>68</v>
      </c>
      <c r="FR5" s="2" t="s">
        <v>69</v>
      </c>
      <c r="FS5" s="2" t="s">
        <v>80</v>
      </c>
      <c r="FT5" s="2" t="s">
        <v>81</v>
      </c>
      <c r="FU5" s="2" t="s">
        <v>80</v>
      </c>
      <c r="FV5" s="2" t="s">
        <v>81</v>
      </c>
      <c r="FW5" s="2" t="s">
        <v>68</v>
      </c>
      <c r="FX5" s="2" t="s">
        <v>69</v>
      </c>
      <c r="FY5" s="2" t="s">
        <v>80</v>
      </c>
      <c r="FZ5" s="2" t="s">
        <v>81</v>
      </c>
      <c r="GA5" s="2" t="s">
        <v>80</v>
      </c>
      <c r="GB5" s="2" t="s">
        <v>81</v>
      </c>
      <c r="GC5" s="2" t="s">
        <v>68</v>
      </c>
      <c r="GD5" s="2" t="s">
        <v>69</v>
      </c>
      <c r="GE5" s="2" t="s">
        <v>80</v>
      </c>
      <c r="GF5" s="2" t="s">
        <v>81</v>
      </c>
      <c r="GG5" s="2" t="s">
        <v>80</v>
      </c>
      <c r="GH5" s="2" t="s">
        <v>81</v>
      </c>
      <c r="GI5" s="2" t="s">
        <v>68</v>
      </c>
      <c r="GJ5" s="2" t="s">
        <v>69</v>
      </c>
      <c r="GK5" s="2" t="s">
        <v>80</v>
      </c>
      <c r="GL5" s="2" t="s">
        <v>81</v>
      </c>
      <c r="GM5" s="2" t="s">
        <v>80</v>
      </c>
      <c r="GN5" s="2" t="s">
        <v>81</v>
      </c>
      <c r="GO5" s="2" t="s">
        <v>68</v>
      </c>
      <c r="GP5" s="2" t="s">
        <v>69</v>
      </c>
      <c r="GQ5" s="2" t="s">
        <v>80</v>
      </c>
      <c r="GR5" s="2" t="s">
        <v>81</v>
      </c>
      <c r="GS5" s="2" t="s">
        <v>80</v>
      </c>
      <c r="GT5" s="2" t="s">
        <v>81</v>
      </c>
      <c r="GU5" s="2" t="s">
        <v>68</v>
      </c>
      <c r="GV5" s="2" t="s">
        <v>69</v>
      </c>
      <c r="GW5" s="2" t="s">
        <v>80</v>
      </c>
      <c r="GX5" s="2" t="s">
        <v>81</v>
      </c>
      <c r="GY5" s="2" t="s">
        <v>80</v>
      </c>
      <c r="GZ5" s="2" t="s">
        <v>81</v>
      </c>
      <c r="HA5" s="2" t="s">
        <v>68</v>
      </c>
      <c r="HB5" s="2" t="s">
        <v>69</v>
      </c>
      <c r="HC5" s="2" t="s">
        <v>80</v>
      </c>
      <c r="HD5" s="2" t="s">
        <v>81</v>
      </c>
      <c r="HE5" s="2" t="s">
        <v>80</v>
      </c>
      <c r="HF5" s="2" t="s">
        <v>81</v>
      </c>
      <c r="HG5" s="2" t="s">
        <v>68</v>
      </c>
      <c r="HH5" s="2" t="s">
        <v>69</v>
      </c>
      <c r="HI5" s="2" t="s">
        <v>80</v>
      </c>
      <c r="HJ5" s="2" t="s">
        <v>81</v>
      </c>
      <c r="HK5" s="2" t="s">
        <v>80</v>
      </c>
      <c r="HL5" s="2" t="s">
        <v>81</v>
      </c>
      <c r="HM5" s="2" t="s">
        <v>68</v>
      </c>
      <c r="HN5" s="2" t="s">
        <v>69</v>
      </c>
      <c r="HO5" s="2" t="s">
        <v>80</v>
      </c>
      <c r="HP5" s="2" t="s">
        <v>81</v>
      </c>
      <c r="HQ5" s="2" t="s">
        <v>80</v>
      </c>
      <c r="HR5" s="2" t="s">
        <v>81</v>
      </c>
      <c r="HS5" s="2" t="s">
        <v>68</v>
      </c>
      <c r="HT5" s="2" t="s">
        <v>69</v>
      </c>
      <c r="HU5" s="2" t="s">
        <v>80</v>
      </c>
      <c r="HV5" s="2" t="s">
        <v>81</v>
      </c>
      <c r="HW5" s="2" t="s">
        <v>80</v>
      </c>
      <c r="HX5" s="2" t="s">
        <v>81</v>
      </c>
      <c r="HY5" s="2" t="s">
        <v>68</v>
      </c>
      <c r="HZ5" s="2" t="s">
        <v>69</v>
      </c>
      <c r="IA5" s="2" t="s">
        <v>80</v>
      </c>
      <c r="IB5" s="2" t="s">
        <v>81</v>
      </c>
      <c r="IC5" s="2" t="s">
        <v>80</v>
      </c>
      <c r="ID5" s="2" t="s">
        <v>81</v>
      </c>
      <c r="IE5" s="2" t="s">
        <v>68</v>
      </c>
      <c r="IF5" s="2" t="s">
        <v>69</v>
      </c>
      <c r="IG5" s="2" t="s">
        <v>80</v>
      </c>
      <c r="IH5" s="2" t="s">
        <v>81</v>
      </c>
      <c r="II5" s="2" t="s">
        <v>80</v>
      </c>
      <c r="IJ5" s="2" t="s">
        <v>81</v>
      </c>
      <c r="IK5" s="2" t="s">
        <v>68</v>
      </c>
      <c r="IL5" s="2" t="s">
        <v>69</v>
      </c>
      <c r="IM5" s="2" t="s">
        <v>80</v>
      </c>
      <c r="IN5" s="2" t="s">
        <v>81</v>
      </c>
      <c r="IO5" s="2" t="s">
        <v>80</v>
      </c>
      <c r="IP5" s="2" t="s">
        <v>81</v>
      </c>
      <c r="IQ5" s="2" t="s">
        <v>68</v>
      </c>
      <c r="IR5" s="2" t="s">
        <v>69</v>
      </c>
      <c r="IS5" s="2" t="s">
        <v>80</v>
      </c>
      <c r="IT5" s="2" t="s">
        <v>81</v>
      </c>
      <c r="IU5" s="2" t="s">
        <v>80</v>
      </c>
      <c r="IV5" s="2" t="s">
        <v>81</v>
      </c>
      <c r="IW5" s="2" t="s">
        <v>68</v>
      </c>
      <c r="IX5" s="2" t="s">
        <v>69</v>
      </c>
      <c r="IY5" s="2" t="s">
        <v>80</v>
      </c>
      <c r="IZ5" s="2" t="s">
        <v>81</v>
      </c>
      <c r="JA5" s="2" t="s">
        <v>80</v>
      </c>
      <c r="JB5" s="2" t="s">
        <v>81</v>
      </c>
      <c r="JC5" s="2" t="s">
        <v>68</v>
      </c>
      <c r="JD5" s="2" t="s">
        <v>69</v>
      </c>
      <c r="JE5" s="2" t="s">
        <v>80</v>
      </c>
      <c r="JF5" s="2" t="s">
        <v>81</v>
      </c>
      <c r="JG5" s="2" t="s">
        <v>80</v>
      </c>
      <c r="JH5" s="2" t="s">
        <v>81</v>
      </c>
      <c r="JI5" s="2" t="s">
        <v>68</v>
      </c>
      <c r="JJ5" s="2" t="s">
        <v>69</v>
      </c>
      <c r="JK5" s="2" t="s">
        <v>82</v>
      </c>
      <c r="JL5" s="2" t="s">
        <v>83</v>
      </c>
      <c r="JM5" s="2" t="s">
        <v>84</v>
      </c>
      <c r="JN5" s="2" t="s">
        <v>85</v>
      </c>
      <c r="JO5" s="2" t="s">
        <v>86</v>
      </c>
      <c r="JP5" s="2" t="s">
        <v>87</v>
      </c>
      <c r="JQ5" s="2" t="s">
        <v>88</v>
      </c>
      <c r="JR5" s="2" t="s">
        <v>89</v>
      </c>
      <c r="JS5" s="2" t="s">
        <v>90</v>
      </c>
      <c r="JT5" s="2" t="s">
        <v>91</v>
      </c>
      <c r="JU5" s="2" t="s">
        <v>92</v>
      </c>
      <c r="JV5" s="2" t="s">
        <v>93</v>
      </c>
      <c r="JW5" s="2" t="s">
        <v>94</v>
      </c>
      <c r="JX5" s="2" t="s">
        <v>95</v>
      </c>
      <c r="JY5" s="2" t="s">
        <v>96</v>
      </c>
      <c r="JZ5" s="2" t="s">
        <v>97</v>
      </c>
      <c r="KA5" s="2" t="s">
        <v>98</v>
      </c>
      <c r="KB5" s="2" t="s">
        <v>99</v>
      </c>
      <c r="KC5" s="2" t="s">
        <v>100</v>
      </c>
      <c r="KD5" s="2" t="s">
        <v>101</v>
      </c>
      <c r="KE5" s="2" t="s">
        <v>7</v>
      </c>
      <c r="KF5" s="2" t="s">
        <v>102</v>
      </c>
      <c r="KG5" s="2" t="s">
        <v>103</v>
      </c>
      <c r="KH5" s="2" t="s">
        <v>104</v>
      </c>
      <c r="KI5" s="2" t="s">
        <v>105</v>
      </c>
      <c r="KJ5" s="2" t="s">
        <v>106</v>
      </c>
      <c r="KK5" s="2" t="s">
        <v>107</v>
      </c>
      <c r="KL5" s="2" t="s">
        <v>108</v>
      </c>
      <c r="KM5" s="2" t="s">
        <v>109</v>
      </c>
      <c r="KN5" s="2" t="s">
        <v>110</v>
      </c>
      <c r="KO5" s="2" t="s">
        <v>111</v>
      </c>
      <c r="KP5" s="2" t="s">
        <v>112</v>
      </c>
      <c r="KQ5" s="2" t="s">
        <v>113</v>
      </c>
      <c r="KR5" s="2" t="s">
        <v>114</v>
      </c>
      <c r="KS5" s="2" t="s">
        <v>115</v>
      </c>
      <c r="KT5" s="2" t="s">
        <v>116</v>
      </c>
      <c r="KU5" s="2" t="s">
        <v>117</v>
      </c>
      <c r="KV5" s="2" t="s">
        <v>118</v>
      </c>
      <c r="KW5" s="2" t="s">
        <v>119</v>
      </c>
      <c r="KX5" s="2" t="s">
        <v>120</v>
      </c>
      <c r="KY5" s="2" t="s">
        <v>121</v>
      </c>
      <c r="KZ5" s="2" t="s">
        <v>122</v>
      </c>
      <c r="LA5" s="2" t="s">
        <v>123</v>
      </c>
      <c r="LB5" s="2" t="s">
        <v>124</v>
      </c>
      <c r="LC5" s="2" t="s">
        <v>125</v>
      </c>
      <c r="LD5" s="2" t="s">
        <v>126</v>
      </c>
      <c r="LE5" s="2" t="s">
        <v>127</v>
      </c>
      <c r="LF5" s="2" t="s">
        <v>128</v>
      </c>
      <c r="LG5" s="2" t="s">
        <v>129</v>
      </c>
      <c r="LH5" s="2" t="s">
        <v>130</v>
      </c>
      <c r="LI5" s="2" t="s">
        <v>131</v>
      </c>
      <c r="LJ5" s="2" t="s">
        <v>132</v>
      </c>
      <c r="LK5" s="2" t="s">
        <v>133</v>
      </c>
      <c r="LL5" s="2" t="s">
        <v>134</v>
      </c>
      <c r="LM5" s="2" t="s">
        <v>135</v>
      </c>
    </row>
    <row r="6">
      <c r="A6" s="3" t="s">
        <v>136</v>
      </c>
      <c r="B6" s="3" t="s">
        <v>137</v>
      </c>
      <c r="C6" s="3" t="s">
        <v>138</v>
      </c>
      <c r="D6" s="3" t="s">
        <v>139</v>
      </c>
      <c r="E6" s="3" t="s">
        <v>140</v>
      </c>
      <c r="F6" s="3" t="s">
        <v>140</v>
      </c>
      <c r="G6" s="3" t="s">
        <v>140</v>
      </c>
      <c r="H6" s="3" t="s">
        <v>141</v>
      </c>
      <c r="I6" s="3" t="s">
        <v>225</v>
      </c>
      <c r="J6" s="3" t="s">
        <v>226</v>
      </c>
      <c r="K6" s="4">
        <v>497</v>
      </c>
      <c r="L6" s="4">
        <f>=ROUNDDOWN(7.88888888888889,0)</f>
      </c>
      <c r="M6" s="4">
        <v>1762</v>
      </c>
      <c r="N6" s="5">
        <v>1</v>
      </c>
      <c r="O6" s="4"/>
      <c r="P6" s="4">
        <f>=ROUNDDOWN({0},0)</f>
      </c>
      <c r="Q6" s="4"/>
      <c r="R6" s="5"/>
      <c r="S6" s="4">
        <v>696</v>
      </c>
      <c r="T6" s="6">
        <v>28214.41</v>
      </c>
      <c r="U6" s="4">
        <v>620</v>
      </c>
      <c r="V6" s="6">
        <v>25239.03</v>
      </c>
      <c r="W6" s="5">
        <v>0.1226</v>
      </c>
      <c r="X6" s="5">
        <v>0.1179</v>
      </c>
      <c r="Y6" s="4">
        <v>102</v>
      </c>
      <c r="Z6" s="6">
        <v>4280.5</v>
      </c>
      <c r="AA6" s="4">
        <v>110</v>
      </c>
      <c r="AB6" s="6">
        <v>4602.02</v>
      </c>
      <c r="AC6" s="5">
        <v>-0.0727</v>
      </c>
      <c r="AD6" s="5">
        <v>-0.0699</v>
      </c>
      <c r="AE6" s="4">
        <v>98</v>
      </c>
      <c r="AF6" s="6">
        <v>4266.56</v>
      </c>
      <c r="AG6" s="4">
        <v>10</v>
      </c>
      <c r="AH6" s="6">
        <v>396.8</v>
      </c>
      <c r="AI6" s="5">
        <v>8.8</v>
      </c>
      <c r="AJ6" s="5">
        <v>9.7524</v>
      </c>
      <c r="AK6" s="4"/>
      <c r="AL6" s="6"/>
      <c r="AM6" s="4"/>
      <c r="AN6" s="6"/>
      <c r="AO6" s="5"/>
      <c r="AP6" s="5"/>
      <c r="AQ6" s="4"/>
      <c r="AR6" s="6"/>
      <c r="AS6" s="4"/>
      <c r="AT6" s="6"/>
      <c r="AU6" s="5"/>
      <c r="AV6" s="5"/>
      <c r="AW6" s="4">
        <v>357</v>
      </c>
      <c r="AX6" s="6">
        <v>14222.15</v>
      </c>
      <c r="AY6" s="4">
        <v>185</v>
      </c>
      <c r="AZ6" s="6">
        <v>7341.96</v>
      </c>
      <c r="BA6" s="5">
        <v>0.9297</v>
      </c>
      <c r="BB6" s="5">
        <v>0.9371</v>
      </c>
      <c r="BC6" s="4">
        <v>44</v>
      </c>
      <c r="BD6" s="6">
        <v>1819.84</v>
      </c>
      <c r="BE6" s="4">
        <v>143</v>
      </c>
      <c r="BF6" s="6">
        <v>5872.31</v>
      </c>
      <c r="BG6" s="5">
        <v>-0.6923</v>
      </c>
      <c r="BH6" s="5">
        <v>-0.6901</v>
      </c>
      <c r="BI6" s="4">
        <v>30</v>
      </c>
      <c r="BJ6" s="6">
        <v>1249.98</v>
      </c>
      <c r="BK6" s="4">
        <v>35</v>
      </c>
      <c r="BL6" s="6">
        <v>1431.13</v>
      </c>
      <c r="BM6" s="5">
        <v>-0.1429</v>
      </c>
      <c r="BN6" s="5">
        <v>-0.1266</v>
      </c>
      <c r="BO6" s="4">
        <v>26</v>
      </c>
      <c r="BP6" s="6">
        <v>847.06</v>
      </c>
      <c r="BQ6" s="4">
        <v>12</v>
      </c>
      <c r="BR6" s="6">
        <v>437.79</v>
      </c>
      <c r="BS6" s="5">
        <v>1.1667</v>
      </c>
      <c r="BT6" s="5">
        <v>0.9349</v>
      </c>
      <c r="BU6" s="4">
        <v>24</v>
      </c>
      <c r="BV6" s="6">
        <v>939.11</v>
      </c>
      <c r="BW6" s="4">
        <v>22</v>
      </c>
      <c r="BX6" s="6">
        <v>864.19</v>
      </c>
      <c r="BY6" s="5">
        <v>0.0909</v>
      </c>
      <c r="BZ6" s="5">
        <v>0.0867</v>
      </c>
      <c r="CA6" s="4">
        <v>5</v>
      </c>
      <c r="CB6" s="6">
        <v>224.54</v>
      </c>
      <c r="CC6" s="4">
        <v>37</v>
      </c>
      <c r="CD6" s="6">
        <v>1531.82</v>
      </c>
      <c r="CE6" s="5">
        <v>-0.8649</v>
      </c>
      <c r="CF6" s="5">
        <v>-0.8534</v>
      </c>
      <c r="CG6" s="4"/>
      <c r="CH6" s="6"/>
      <c r="CI6" s="4"/>
      <c r="CJ6" s="6"/>
      <c r="CK6" s="5"/>
      <c r="CL6" s="5"/>
      <c r="CM6" s="4"/>
      <c r="CN6" s="6"/>
      <c r="CO6" s="4"/>
      <c r="CP6" s="6"/>
      <c r="CQ6" s="5"/>
      <c r="CR6" s="5"/>
      <c r="CS6" s="4">
        <v>8</v>
      </c>
      <c r="CT6" s="6">
        <v>296.63</v>
      </c>
      <c r="CU6" s="4">
        <v>24</v>
      </c>
      <c r="CV6" s="6">
        <v>936.37</v>
      </c>
      <c r="CW6" s="5">
        <v>-0.6667</v>
      </c>
      <c r="CX6" s="5">
        <v>-0.6832</v>
      </c>
      <c r="CY6" s="4">
        <v>2</v>
      </c>
      <c r="CZ6" s="6">
        <v>68.04</v>
      </c>
      <c r="DA6" s="4">
        <v>5</v>
      </c>
      <c r="DB6" s="6">
        <v>181.44</v>
      </c>
      <c r="DC6" s="5">
        <v>-0.6</v>
      </c>
      <c r="DD6" s="5">
        <v>-0.625</v>
      </c>
      <c r="DE6" s="4"/>
      <c r="DF6" s="6"/>
      <c r="DG6" s="4"/>
      <c r="DH6" s="6"/>
      <c r="DI6" s="5"/>
      <c r="DJ6" s="5"/>
      <c r="DK6" s="4"/>
      <c r="DL6" s="6"/>
      <c r="DM6" s="4">
        <v>3</v>
      </c>
      <c r="DN6" s="6">
        <v>227.37</v>
      </c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>
        <v>33</v>
      </c>
      <c r="FV6" s="6">
        <v>1374</v>
      </c>
      <c r="FW6" s="5"/>
      <c r="FX6" s="5"/>
      <c r="FY6" s="4"/>
      <c r="FZ6" s="6"/>
      <c r="GA6" s="4">
        <v>1</v>
      </c>
      <c r="GB6" s="6">
        <v>41.83</v>
      </c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/>
      <c r="IB6" s="6"/>
      <c r="IC6" s="4"/>
      <c r="ID6" s="6"/>
      <c r="IE6" s="5"/>
      <c r="IF6" s="5"/>
      <c r="IG6" s="4"/>
      <c r="IH6" s="6"/>
      <c r="II6" s="4"/>
      <c r="IJ6" s="6"/>
      <c r="IK6" s="5"/>
      <c r="IL6" s="5"/>
      <c r="IM6" s="4"/>
      <c r="IN6" s="6"/>
      <c r="IO6" s="4"/>
      <c r="IP6" s="6"/>
      <c r="IQ6" s="5"/>
      <c r="IR6" s="5"/>
      <c r="IS6" s="4"/>
      <c r="IT6" s="6"/>
      <c r="IU6" s="4"/>
      <c r="IV6" s="6"/>
      <c r="IW6" s="5"/>
      <c r="IX6" s="5"/>
      <c r="IY6" s="4"/>
      <c r="IZ6" s="6"/>
      <c r="JA6" s="4"/>
      <c r="JB6" s="6"/>
      <c r="JC6" s="5"/>
      <c r="JD6" s="5"/>
      <c r="JE6" s="4"/>
      <c r="JF6" s="6"/>
      <c r="JG6" s="4"/>
      <c r="JH6" s="6"/>
      <c r="JI6" s="5"/>
      <c r="JJ6" s="5"/>
      <c r="JK6" s="4">
        <v>497</v>
      </c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>
        <v>200</v>
      </c>
      <c r="KG6" s="4"/>
      <c r="KH6" s="4"/>
      <c r="KI6" s="4"/>
      <c r="KJ6" s="4">
        <v>252</v>
      </c>
      <c r="KK6" s="4"/>
      <c r="KL6" s="4"/>
      <c r="KM6" s="4"/>
      <c r="KN6" s="4">
        <v>330</v>
      </c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>
        <v>390</v>
      </c>
      <c r="LE6" s="4"/>
      <c r="LF6" s="4">
        <v>410</v>
      </c>
      <c r="LG6" s="4">
        <v>180</v>
      </c>
      <c r="LH6" s="4"/>
      <c r="LI6" s="4"/>
      <c r="LJ6" s="4"/>
      <c r="LK6" s="4"/>
      <c r="LL6" s="4"/>
      <c r="LM6" s="4"/>
    </row>
    <row r="7">
      <c r="A7" s="3" t="s">
        <v>136</v>
      </c>
      <c r="B7" s="3" t="s">
        <v>137</v>
      </c>
      <c r="C7" s="3" t="s">
        <v>138</v>
      </c>
      <c r="D7" s="3" t="s">
        <v>139</v>
      </c>
      <c r="E7" s="3" t="s">
        <v>140</v>
      </c>
      <c r="F7" s="3" t="s">
        <v>140</v>
      </c>
      <c r="G7" s="3" t="s">
        <v>140</v>
      </c>
      <c r="H7" s="3" t="s">
        <v>141</v>
      </c>
      <c r="I7" s="3" t="s">
        <v>227</v>
      </c>
      <c r="J7" s="3" t="s">
        <v>228</v>
      </c>
      <c r="K7" s="4">
        <v>576</v>
      </c>
      <c r="L7" s="4">
        <f>=ROUNDDOWN(12.1518987341772,0)</f>
      </c>
      <c r="M7" s="4">
        <v>1230</v>
      </c>
      <c r="N7" s="5">
        <v>0.9811</v>
      </c>
      <c r="O7" s="4"/>
      <c r="P7" s="4">
        <f>=ROUNDDOWN({0},0)</f>
      </c>
      <c r="Q7" s="4"/>
      <c r="R7" s="5"/>
      <c r="S7" s="4">
        <v>628</v>
      </c>
      <c r="T7" s="6">
        <v>26349.07</v>
      </c>
      <c r="U7" s="4">
        <v>498</v>
      </c>
      <c r="V7" s="6">
        <v>20647.59</v>
      </c>
      <c r="W7" s="5">
        <v>0.261</v>
      </c>
      <c r="X7" s="5">
        <v>0.2761</v>
      </c>
      <c r="Y7" s="4">
        <v>104</v>
      </c>
      <c r="Z7" s="6">
        <v>4423.01</v>
      </c>
      <c r="AA7" s="4">
        <v>101</v>
      </c>
      <c r="AB7" s="6">
        <v>4269.68</v>
      </c>
      <c r="AC7" s="5">
        <v>0.0297</v>
      </c>
      <c r="AD7" s="5">
        <v>0.0359</v>
      </c>
      <c r="AE7" s="4">
        <v>144</v>
      </c>
      <c r="AF7" s="6">
        <v>6190.94</v>
      </c>
      <c r="AG7" s="4">
        <v>20</v>
      </c>
      <c r="AH7" s="6">
        <v>800</v>
      </c>
      <c r="AI7" s="5">
        <v>6.2</v>
      </c>
      <c r="AJ7" s="5">
        <v>6.7387</v>
      </c>
      <c r="AK7" s="4"/>
      <c r="AL7" s="6"/>
      <c r="AM7" s="4"/>
      <c r="AN7" s="6"/>
      <c r="AO7" s="5"/>
      <c r="AP7" s="5"/>
      <c r="AQ7" s="4"/>
      <c r="AR7" s="6"/>
      <c r="AS7" s="4"/>
      <c r="AT7" s="6"/>
      <c r="AU7" s="5"/>
      <c r="AV7" s="5"/>
      <c r="AW7" s="4">
        <v>166</v>
      </c>
      <c r="AX7" s="6">
        <v>6728.3</v>
      </c>
      <c r="AY7" s="4">
        <v>55</v>
      </c>
      <c r="AZ7" s="6">
        <v>2219.18</v>
      </c>
      <c r="BA7" s="5">
        <v>2.0182</v>
      </c>
      <c r="BB7" s="5">
        <v>2.0319</v>
      </c>
      <c r="BC7" s="4">
        <v>88</v>
      </c>
      <c r="BD7" s="6">
        <v>4008.98</v>
      </c>
      <c r="BE7" s="4">
        <v>144</v>
      </c>
      <c r="BF7" s="6">
        <v>6306.52</v>
      </c>
      <c r="BG7" s="5">
        <v>-0.3889</v>
      </c>
      <c r="BH7" s="5">
        <v>-0.3643</v>
      </c>
      <c r="BI7" s="4">
        <v>9</v>
      </c>
      <c r="BJ7" s="6">
        <v>374.39</v>
      </c>
      <c r="BK7" s="4">
        <v>26</v>
      </c>
      <c r="BL7" s="6">
        <v>1074.86</v>
      </c>
      <c r="BM7" s="5">
        <v>-0.6538</v>
      </c>
      <c r="BN7" s="5">
        <v>-0.6517</v>
      </c>
      <c r="BO7" s="4">
        <v>37</v>
      </c>
      <c r="BP7" s="6">
        <v>1350.57</v>
      </c>
      <c r="BQ7" s="4">
        <v>18</v>
      </c>
      <c r="BR7" s="6">
        <v>576.65</v>
      </c>
      <c r="BS7" s="5">
        <v>1.0556</v>
      </c>
      <c r="BT7" s="5">
        <v>1.3421</v>
      </c>
      <c r="BU7" s="4">
        <v>32</v>
      </c>
      <c r="BV7" s="6">
        <v>1307.71</v>
      </c>
      <c r="BW7" s="4">
        <v>16</v>
      </c>
      <c r="BX7" s="6">
        <v>633.74</v>
      </c>
      <c r="BY7" s="5">
        <v>1</v>
      </c>
      <c r="BZ7" s="5">
        <v>1.0635</v>
      </c>
      <c r="CA7" s="4">
        <v>43</v>
      </c>
      <c r="CB7" s="6">
        <v>1749.77</v>
      </c>
      <c r="CC7" s="4">
        <v>47</v>
      </c>
      <c r="CD7" s="6">
        <v>1806.69</v>
      </c>
      <c r="CE7" s="5">
        <v>-0.0851</v>
      </c>
      <c r="CF7" s="5">
        <v>-0.0315</v>
      </c>
      <c r="CG7" s="4"/>
      <c r="CH7" s="6"/>
      <c r="CI7" s="4"/>
      <c r="CJ7" s="6"/>
      <c r="CK7" s="5"/>
      <c r="CL7" s="5"/>
      <c r="CM7" s="4"/>
      <c r="CN7" s="6"/>
      <c r="CO7" s="4"/>
      <c r="CP7" s="6"/>
      <c r="CQ7" s="5"/>
      <c r="CR7" s="5"/>
      <c r="CS7" s="4">
        <v>4</v>
      </c>
      <c r="CT7" s="6">
        <v>145.41</v>
      </c>
      <c r="CU7" s="4">
        <v>18</v>
      </c>
      <c r="CV7" s="6">
        <v>703.73</v>
      </c>
      <c r="CW7" s="5">
        <v>-0.7778</v>
      </c>
      <c r="CX7" s="5">
        <v>-0.7934</v>
      </c>
      <c r="CY7" s="4"/>
      <c r="CZ7" s="6"/>
      <c r="DA7" s="4">
        <v>6</v>
      </c>
      <c r="DB7" s="6">
        <v>229.11</v>
      </c>
      <c r="DC7" s="5"/>
      <c r="DD7" s="5"/>
      <c r="DE7" s="4"/>
      <c r="DF7" s="6"/>
      <c r="DG7" s="4"/>
      <c r="DH7" s="6"/>
      <c r="DI7" s="5"/>
      <c r="DJ7" s="5"/>
      <c r="DK7" s="4">
        <v>1</v>
      </c>
      <c r="DL7" s="6">
        <v>69.99</v>
      </c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>
        <v>3</v>
      </c>
      <c r="EX7" s="6">
        <v>134.4</v>
      </c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>
        <v>43</v>
      </c>
      <c r="FV7" s="6">
        <v>1851.2</v>
      </c>
      <c r="FW7" s="5"/>
      <c r="FX7" s="5"/>
      <c r="FY7" s="4"/>
      <c r="FZ7" s="6"/>
      <c r="GA7" s="4">
        <v>1</v>
      </c>
      <c r="GB7" s="6">
        <v>41.83</v>
      </c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/>
      <c r="IB7" s="6"/>
      <c r="IC7" s="4"/>
      <c r="ID7" s="6"/>
      <c r="IE7" s="5"/>
      <c r="IF7" s="5"/>
      <c r="IG7" s="4"/>
      <c r="IH7" s="6"/>
      <c r="II7" s="4"/>
      <c r="IJ7" s="6"/>
      <c r="IK7" s="5"/>
      <c r="IL7" s="5"/>
      <c r="IM7" s="4"/>
      <c r="IN7" s="6"/>
      <c r="IO7" s="4"/>
      <c r="IP7" s="6"/>
      <c r="IQ7" s="5"/>
      <c r="IR7" s="5"/>
      <c r="IS7" s="4"/>
      <c r="IT7" s="6"/>
      <c r="IU7" s="4"/>
      <c r="IV7" s="6"/>
      <c r="IW7" s="5"/>
      <c r="IX7" s="5"/>
      <c r="IY7" s="4"/>
      <c r="IZ7" s="6"/>
      <c r="JA7" s="4"/>
      <c r="JB7" s="6"/>
      <c r="JC7" s="5"/>
      <c r="JD7" s="5"/>
      <c r="JE7" s="4"/>
      <c r="JF7" s="6"/>
      <c r="JG7" s="4"/>
      <c r="JH7" s="6"/>
      <c r="JI7" s="5"/>
      <c r="JJ7" s="5"/>
      <c r="JK7" s="4">
        <v>576</v>
      </c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>
        <v>270</v>
      </c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>
        <v>490</v>
      </c>
      <c r="LG7" s="4">
        <v>470</v>
      </c>
      <c r="LH7" s="4"/>
      <c r="LI7" s="4"/>
      <c r="LJ7" s="4"/>
      <c r="LK7" s="4"/>
      <c r="LL7" s="4"/>
      <c r="LM7" s="4"/>
    </row>
    <row r="8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140</v>
      </c>
      <c r="G8" s="3" t="s">
        <v>140</v>
      </c>
      <c r="H8" s="3" t="s">
        <v>141</v>
      </c>
      <c r="I8" s="3" t="s">
        <v>229</v>
      </c>
      <c r="J8" s="3" t="s">
        <v>228</v>
      </c>
      <c r="K8" s="4">
        <v>455</v>
      </c>
      <c r="L8" s="4">
        <f>=ROUNDDOWN(8.125,0)</f>
      </c>
      <c r="M8" s="4">
        <v>1534</v>
      </c>
      <c r="N8" s="5">
        <v>1</v>
      </c>
      <c r="O8" s="4"/>
      <c r="P8" s="4">
        <f>=ROUNDDOWN({0},0)</f>
      </c>
      <c r="Q8" s="4"/>
      <c r="R8" s="5"/>
      <c r="S8" s="4">
        <v>590</v>
      </c>
      <c r="T8" s="6">
        <v>24063.55</v>
      </c>
      <c r="U8" s="4">
        <v>533</v>
      </c>
      <c r="V8" s="6">
        <v>21765.73</v>
      </c>
      <c r="W8" s="5">
        <v>0.1069</v>
      </c>
      <c r="X8" s="5">
        <v>0.1056</v>
      </c>
      <c r="Y8" s="4">
        <v>111</v>
      </c>
      <c r="Z8" s="6">
        <v>4725.42</v>
      </c>
      <c r="AA8" s="4">
        <v>106</v>
      </c>
      <c r="AB8" s="6">
        <v>4582.1</v>
      </c>
      <c r="AC8" s="5">
        <v>0.0472</v>
      </c>
      <c r="AD8" s="5">
        <v>0.0313</v>
      </c>
      <c r="AE8" s="4">
        <v>112</v>
      </c>
      <c r="AF8" s="6">
        <v>4864.12</v>
      </c>
      <c r="AG8" s="4">
        <v>19</v>
      </c>
      <c r="AH8" s="6">
        <v>788.66</v>
      </c>
      <c r="AI8" s="5">
        <v>4.8947</v>
      </c>
      <c r="AJ8" s="5">
        <v>5.1676</v>
      </c>
      <c r="AK8" s="4"/>
      <c r="AL8" s="6"/>
      <c r="AM8" s="4"/>
      <c r="AN8" s="6"/>
      <c r="AO8" s="5"/>
      <c r="AP8" s="5"/>
      <c r="AQ8" s="4"/>
      <c r="AR8" s="6"/>
      <c r="AS8" s="4"/>
      <c r="AT8" s="6"/>
      <c r="AU8" s="5"/>
      <c r="AV8" s="5"/>
      <c r="AW8" s="4">
        <v>212</v>
      </c>
      <c r="AX8" s="6">
        <v>8426.54</v>
      </c>
      <c r="AY8" s="4">
        <v>78</v>
      </c>
      <c r="AZ8" s="6">
        <v>3041.46</v>
      </c>
      <c r="BA8" s="5">
        <v>1.7179</v>
      </c>
      <c r="BB8" s="5">
        <v>1.7706</v>
      </c>
      <c r="BC8" s="4">
        <v>41</v>
      </c>
      <c r="BD8" s="6">
        <v>1738.42</v>
      </c>
      <c r="BE8" s="4">
        <v>155</v>
      </c>
      <c r="BF8" s="6">
        <v>6292.85</v>
      </c>
      <c r="BG8" s="5">
        <v>-0.7355</v>
      </c>
      <c r="BH8" s="5">
        <v>-0.7237</v>
      </c>
      <c r="BI8" s="4">
        <v>23</v>
      </c>
      <c r="BJ8" s="6">
        <v>942.01</v>
      </c>
      <c r="BK8" s="4">
        <v>31</v>
      </c>
      <c r="BL8" s="6">
        <v>1274.13</v>
      </c>
      <c r="BM8" s="5">
        <v>-0.2581</v>
      </c>
      <c r="BN8" s="5">
        <v>-0.2607</v>
      </c>
      <c r="BO8" s="4">
        <v>36</v>
      </c>
      <c r="BP8" s="6">
        <v>1263.5</v>
      </c>
      <c r="BQ8" s="4">
        <v>17</v>
      </c>
      <c r="BR8" s="6">
        <v>571.15</v>
      </c>
      <c r="BS8" s="5">
        <v>1.1176</v>
      </c>
      <c r="BT8" s="5">
        <v>1.2122</v>
      </c>
      <c r="BU8" s="4">
        <v>23</v>
      </c>
      <c r="BV8" s="6">
        <v>864.22</v>
      </c>
      <c r="BW8" s="4">
        <v>15</v>
      </c>
      <c r="BX8" s="6">
        <v>587.67</v>
      </c>
      <c r="BY8" s="5">
        <v>0.5333</v>
      </c>
      <c r="BZ8" s="5">
        <v>0.4706</v>
      </c>
      <c r="CA8" s="4">
        <v>10</v>
      </c>
      <c r="CB8" s="6">
        <v>407.89</v>
      </c>
      <c r="CC8" s="4">
        <v>44</v>
      </c>
      <c r="CD8" s="6">
        <v>1869.87</v>
      </c>
      <c r="CE8" s="5">
        <v>-0.7727</v>
      </c>
      <c r="CF8" s="5">
        <v>-0.7819</v>
      </c>
      <c r="CG8" s="4"/>
      <c r="CH8" s="6"/>
      <c r="CI8" s="4"/>
      <c r="CJ8" s="6"/>
      <c r="CK8" s="5"/>
      <c r="CL8" s="5"/>
      <c r="CM8" s="4"/>
      <c r="CN8" s="6"/>
      <c r="CO8" s="4"/>
      <c r="CP8" s="6"/>
      <c r="CQ8" s="5"/>
      <c r="CR8" s="5"/>
      <c r="CS8" s="4">
        <v>4</v>
      </c>
      <c r="CT8" s="6">
        <v>157.03</v>
      </c>
      <c r="CU8" s="4">
        <v>16</v>
      </c>
      <c r="CV8" s="6">
        <v>622.32</v>
      </c>
      <c r="CW8" s="5">
        <v>-0.75</v>
      </c>
      <c r="CX8" s="5">
        <v>-0.7477</v>
      </c>
      <c r="CY8" s="4">
        <v>3</v>
      </c>
      <c r="CZ8" s="6">
        <v>102.06</v>
      </c>
      <c r="DA8" s="4">
        <v>5</v>
      </c>
      <c r="DB8" s="6">
        <v>175.77</v>
      </c>
      <c r="DC8" s="5">
        <v>-0.4</v>
      </c>
      <c r="DD8" s="5">
        <v>-0.4194</v>
      </c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>
        <v>9</v>
      </c>
      <c r="ED8" s="6">
        <v>325.51</v>
      </c>
      <c r="EE8" s="4"/>
      <c r="EF8" s="6"/>
      <c r="EG8" s="5"/>
      <c r="EH8" s="5"/>
      <c r="EI8" s="4">
        <v>5</v>
      </c>
      <c r="EJ8" s="6">
        <v>201.65</v>
      </c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>
        <v>1</v>
      </c>
      <c r="FN8" s="6">
        <v>45.18</v>
      </c>
      <c r="FO8" s="4"/>
      <c r="FP8" s="6"/>
      <c r="FQ8" s="5"/>
      <c r="FR8" s="5"/>
      <c r="FS8" s="4"/>
      <c r="FT8" s="6"/>
      <c r="FU8" s="4">
        <v>33</v>
      </c>
      <c r="FV8" s="6">
        <v>1395.6</v>
      </c>
      <c r="FW8" s="5"/>
      <c r="FX8" s="5"/>
      <c r="FY8" s="4"/>
      <c r="FZ8" s="6"/>
      <c r="GA8" s="4">
        <v>9</v>
      </c>
      <c r="GB8" s="6">
        <v>361.91</v>
      </c>
      <c r="GC8" s="5"/>
      <c r="GD8" s="5"/>
      <c r="GE8" s="4"/>
      <c r="GF8" s="6"/>
      <c r="GG8" s="4">
        <v>5</v>
      </c>
      <c r="GH8" s="6">
        <v>202.24</v>
      </c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/>
      <c r="IB8" s="6"/>
      <c r="IC8" s="4"/>
      <c r="ID8" s="6"/>
      <c r="IE8" s="5"/>
      <c r="IF8" s="5"/>
      <c r="IG8" s="4"/>
      <c r="IH8" s="6"/>
      <c r="II8" s="4"/>
      <c r="IJ8" s="6"/>
      <c r="IK8" s="5"/>
      <c r="IL8" s="5"/>
      <c r="IM8" s="4"/>
      <c r="IN8" s="6"/>
      <c r="IO8" s="4"/>
      <c r="IP8" s="6"/>
      <c r="IQ8" s="5"/>
      <c r="IR8" s="5"/>
      <c r="IS8" s="4"/>
      <c r="IT8" s="6"/>
      <c r="IU8" s="4"/>
      <c r="IV8" s="6"/>
      <c r="IW8" s="5"/>
      <c r="IX8" s="5"/>
      <c r="IY8" s="4"/>
      <c r="IZ8" s="6"/>
      <c r="JA8" s="4"/>
      <c r="JB8" s="6"/>
      <c r="JC8" s="5"/>
      <c r="JD8" s="5"/>
      <c r="JE8" s="4"/>
      <c r="JF8" s="6"/>
      <c r="JG8" s="4"/>
      <c r="JH8" s="6"/>
      <c r="JI8" s="5"/>
      <c r="JJ8" s="5"/>
      <c r="JK8" s="4">
        <v>455</v>
      </c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>
        <v>100</v>
      </c>
      <c r="KI8" s="4"/>
      <c r="KJ8" s="4">
        <v>344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>
        <v>370</v>
      </c>
      <c r="LG8" s="4">
        <v>500</v>
      </c>
      <c r="LH8" s="4"/>
      <c r="LI8" s="4"/>
      <c r="LJ8" s="4"/>
      <c r="LK8" s="4"/>
      <c r="LL8" s="4"/>
      <c r="LM8" s="4">
        <v>220</v>
      </c>
    </row>
    <row r="9">
      <c r="A9" s="3" t="s">
        <v>136</v>
      </c>
      <c r="B9" s="3" t="s">
        <v>137</v>
      </c>
      <c r="C9" s="3" t="s">
        <v>138</v>
      </c>
      <c r="D9" s="3" t="s">
        <v>139</v>
      </c>
      <c r="E9" s="3" t="s">
        <v>140</v>
      </c>
      <c r="F9" s="3" t="s">
        <v>140</v>
      </c>
      <c r="G9" s="3" t="s">
        <v>140</v>
      </c>
      <c r="H9" s="3" t="s">
        <v>141</v>
      </c>
      <c r="I9" s="3" t="s">
        <v>230</v>
      </c>
      <c r="J9" s="3" t="s">
        <v>228</v>
      </c>
      <c r="K9" s="4">
        <v>439</v>
      </c>
      <c r="L9" s="4">
        <f>=ROUNDDOWN(9.5021645021645,0)</f>
      </c>
      <c r="M9" s="4">
        <v>1428</v>
      </c>
      <c r="N9" s="5">
        <v>0.9892</v>
      </c>
      <c r="O9" s="4"/>
      <c r="P9" s="4">
        <f>=ROUNDDOWN({0},0)</f>
      </c>
      <c r="Q9" s="4"/>
      <c r="R9" s="5"/>
      <c r="S9" s="4">
        <v>575</v>
      </c>
      <c r="T9" s="6">
        <v>23958.58</v>
      </c>
      <c r="U9" s="4">
        <v>563</v>
      </c>
      <c r="V9" s="6">
        <v>23392.77</v>
      </c>
      <c r="W9" s="5">
        <v>0.0213</v>
      </c>
      <c r="X9" s="5">
        <v>0.0242</v>
      </c>
      <c r="Y9" s="4">
        <v>82</v>
      </c>
      <c r="Z9" s="6">
        <v>3495.8</v>
      </c>
      <c r="AA9" s="4">
        <v>105</v>
      </c>
      <c r="AB9" s="6">
        <v>4610.12</v>
      </c>
      <c r="AC9" s="5">
        <v>-0.219</v>
      </c>
      <c r="AD9" s="5">
        <v>-0.2417</v>
      </c>
      <c r="AE9" s="4">
        <v>99</v>
      </c>
      <c r="AF9" s="6">
        <v>4461.26</v>
      </c>
      <c r="AG9" s="4">
        <v>24</v>
      </c>
      <c r="AH9" s="6">
        <v>1015.58</v>
      </c>
      <c r="AI9" s="5">
        <v>3.125</v>
      </c>
      <c r="AJ9" s="5">
        <v>3.3928</v>
      </c>
      <c r="AK9" s="4"/>
      <c r="AL9" s="6"/>
      <c r="AM9" s="4"/>
      <c r="AN9" s="6"/>
      <c r="AO9" s="5"/>
      <c r="AP9" s="5"/>
      <c r="AQ9" s="4"/>
      <c r="AR9" s="6"/>
      <c r="AS9" s="4"/>
      <c r="AT9" s="6"/>
      <c r="AU9" s="5"/>
      <c r="AV9" s="5"/>
      <c r="AW9" s="4">
        <v>210</v>
      </c>
      <c r="AX9" s="6">
        <v>8746.18</v>
      </c>
      <c r="AY9" s="4">
        <v>84</v>
      </c>
      <c r="AZ9" s="6">
        <v>3327.55</v>
      </c>
      <c r="BA9" s="5">
        <v>1.5</v>
      </c>
      <c r="BB9" s="5">
        <v>1.6284</v>
      </c>
      <c r="BC9" s="4">
        <v>61</v>
      </c>
      <c r="BD9" s="6">
        <v>2556.9</v>
      </c>
      <c r="BE9" s="4">
        <v>167</v>
      </c>
      <c r="BF9" s="6">
        <v>6926.36</v>
      </c>
      <c r="BG9" s="5">
        <v>-0.6347</v>
      </c>
      <c r="BH9" s="5">
        <v>-0.6308</v>
      </c>
      <c r="BI9" s="4">
        <v>31</v>
      </c>
      <c r="BJ9" s="6">
        <v>1358.69</v>
      </c>
      <c r="BK9" s="4">
        <v>28</v>
      </c>
      <c r="BL9" s="6">
        <v>1256.04</v>
      </c>
      <c r="BM9" s="5">
        <v>0.1071</v>
      </c>
      <c r="BN9" s="5">
        <v>0.0817</v>
      </c>
      <c r="BO9" s="4">
        <v>49</v>
      </c>
      <c r="BP9" s="6">
        <v>1636.74</v>
      </c>
      <c r="BQ9" s="4">
        <v>21</v>
      </c>
      <c r="BR9" s="6">
        <v>722.98</v>
      </c>
      <c r="BS9" s="5">
        <v>1.3333</v>
      </c>
      <c r="BT9" s="5">
        <v>1.2639</v>
      </c>
      <c r="BU9" s="4">
        <v>21</v>
      </c>
      <c r="BV9" s="6">
        <v>818.13</v>
      </c>
      <c r="BW9" s="4">
        <v>21</v>
      </c>
      <c r="BX9" s="6">
        <v>783.57</v>
      </c>
      <c r="BY9" s="5"/>
      <c r="BZ9" s="5">
        <v>0.0441</v>
      </c>
      <c r="CA9" s="4">
        <v>6</v>
      </c>
      <c r="CB9" s="6">
        <v>272.86</v>
      </c>
      <c r="CC9" s="4">
        <v>22</v>
      </c>
      <c r="CD9" s="6">
        <v>945.39</v>
      </c>
      <c r="CE9" s="5">
        <v>-0.7273</v>
      </c>
      <c r="CF9" s="5">
        <v>-0.7114</v>
      </c>
      <c r="CG9" s="4"/>
      <c r="CH9" s="6"/>
      <c r="CI9" s="4"/>
      <c r="CJ9" s="6"/>
      <c r="CK9" s="5"/>
      <c r="CL9" s="5"/>
      <c r="CM9" s="4"/>
      <c r="CN9" s="6"/>
      <c r="CO9" s="4"/>
      <c r="CP9" s="6"/>
      <c r="CQ9" s="5"/>
      <c r="CR9" s="5"/>
      <c r="CS9" s="4">
        <v>9</v>
      </c>
      <c r="CT9" s="6">
        <v>343.15</v>
      </c>
      <c r="CU9" s="4">
        <v>32</v>
      </c>
      <c r="CV9" s="6">
        <v>1221.4</v>
      </c>
      <c r="CW9" s="5">
        <v>-0.7188</v>
      </c>
      <c r="CX9" s="5">
        <v>-0.7191</v>
      </c>
      <c r="CY9" s="4">
        <v>1</v>
      </c>
      <c r="CZ9" s="6">
        <v>39.69</v>
      </c>
      <c r="DA9" s="4">
        <v>2</v>
      </c>
      <c r="DB9" s="6">
        <v>85.05</v>
      </c>
      <c r="DC9" s="5">
        <v>-0.5</v>
      </c>
      <c r="DD9" s="5">
        <v>-0.5333</v>
      </c>
      <c r="DE9" s="4"/>
      <c r="DF9" s="6"/>
      <c r="DG9" s="4"/>
      <c r="DH9" s="6"/>
      <c r="DI9" s="5"/>
      <c r="DJ9" s="5"/>
      <c r="DK9" s="4"/>
      <c r="DL9" s="6"/>
      <c r="DM9" s="4">
        <v>4</v>
      </c>
      <c r="DN9" s="6">
        <v>295.96</v>
      </c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>
        <v>4</v>
      </c>
      <c r="ED9" s="6">
        <v>160.04</v>
      </c>
      <c r="EE9" s="4">
        <v>1</v>
      </c>
      <c r="EF9" s="6">
        <v>34.55</v>
      </c>
      <c r="EG9" s="5">
        <v>3</v>
      </c>
      <c r="EH9" s="5">
        <v>3.6321</v>
      </c>
      <c r="EI9" s="4">
        <v>2</v>
      </c>
      <c r="EJ9" s="6">
        <v>69.14</v>
      </c>
      <c r="EK9" s="4">
        <v>6</v>
      </c>
      <c r="EL9" s="6">
        <v>207.42</v>
      </c>
      <c r="EM9" s="5">
        <v>-0.6667</v>
      </c>
      <c r="EN9" s="5">
        <v>-0.6667</v>
      </c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>
        <v>46</v>
      </c>
      <c r="FV9" s="6">
        <v>1960.8</v>
      </c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/>
      <c r="IB9" s="6"/>
      <c r="IC9" s="4"/>
      <c r="ID9" s="6"/>
      <c r="IE9" s="5"/>
      <c r="IF9" s="5"/>
      <c r="IG9" s="4"/>
      <c r="IH9" s="6"/>
      <c r="II9" s="4"/>
      <c r="IJ9" s="6"/>
      <c r="IK9" s="5"/>
      <c r="IL9" s="5"/>
      <c r="IM9" s="4"/>
      <c r="IN9" s="6"/>
      <c r="IO9" s="4"/>
      <c r="IP9" s="6"/>
      <c r="IQ9" s="5"/>
      <c r="IR9" s="5"/>
      <c r="IS9" s="4"/>
      <c r="IT9" s="6"/>
      <c r="IU9" s="4"/>
      <c r="IV9" s="6"/>
      <c r="IW9" s="5"/>
      <c r="IX9" s="5"/>
      <c r="IY9" s="4"/>
      <c r="IZ9" s="6"/>
      <c r="JA9" s="4"/>
      <c r="JB9" s="6"/>
      <c r="JC9" s="5"/>
      <c r="JD9" s="5"/>
      <c r="JE9" s="4"/>
      <c r="JF9" s="6"/>
      <c r="JG9" s="4"/>
      <c r="JH9" s="6"/>
      <c r="JI9" s="5"/>
      <c r="JJ9" s="5"/>
      <c r="JK9" s="4">
        <v>439</v>
      </c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>
        <v>140</v>
      </c>
      <c r="KG9" s="4"/>
      <c r="KH9" s="4">
        <v>100</v>
      </c>
      <c r="KI9" s="4"/>
      <c r="KJ9" s="4">
        <v>228</v>
      </c>
      <c r="KK9" s="4"/>
      <c r="KL9" s="4"/>
      <c r="KM9" s="4"/>
      <c r="KN9" s="4">
        <v>60</v>
      </c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>
        <v>440</v>
      </c>
      <c r="LE9" s="4"/>
      <c r="LF9" s="4"/>
      <c r="LG9" s="4"/>
      <c r="LH9" s="4"/>
      <c r="LI9" s="4"/>
      <c r="LJ9" s="4"/>
      <c r="LK9" s="4"/>
      <c r="LL9" s="4"/>
      <c r="LM9" s="4">
        <v>460</v>
      </c>
    </row>
    <row r="10">
      <c r="A10" s="3" t="s">
        <v>136</v>
      </c>
      <c r="B10" s="3" t="s">
        <v>137</v>
      </c>
      <c r="C10" s="3" t="s">
        <v>138</v>
      </c>
      <c r="D10" s="3" t="s">
        <v>139</v>
      </c>
      <c r="E10" s="3" t="s">
        <v>140</v>
      </c>
      <c r="F10" s="3" t="s">
        <v>140</v>
      </c>
      <c r="G10" s="3" t="s">
        <v>140</v>
      </c>
      <c r="H10" s="3" t="s">
        <v>141</v>
      </c>
      <c r="I10" s="3" t="s">
        <v>231</v>
      </c>
      <c r="J10" s="3" t="s">
        <v>228</v>
      </c>
      <c r="K10" s="4">
        <v>585</v>
      </c>
      <c r="L10" s="4">
        <f>=ROUNDDOWN(19.5652173913043,0)</f>
      </c>
      <c r="M10" s="4">
        <v>740</v>
      </c>
      <c r="N10" s="5">
        <v>1</v>
      </c>
      <c r="O10" s="4"/>
      <c r="P10" s="4">
        <f>=ROUNDDOWN({0},0)</f>
      </c>
      <c r="Q10" s="4"/>
      <c r="R10" s="5"/>
      <c r="S10" s="4">
        <v>398</v>
      </c>
      <c r="T10" s="6">
        <v>16482.08</v>
      </c>
      <c r="U10" s="4">
        <v>336</v>
      </c>
      <c r="V10" s="6">
        <v>14244.47</v>
      </c>
      <c r="W10" s="5">
        <v>0.1845</v>
      </c>
      <c r="X10" s="5">
        <v>0.1571</v>
      </c>
      <c r="Y10" s="4">
        <v>56</v>
      </c>
      <c r="Z10" s="6">
        <v>2498.7</v>
      </c>
      <c r="AA10" s="4">
        <v>53</v>
      </c>
      <c r="AB10" s="6">
        <v>2272.5</v>
      </c>
      <c r="AC10" s="5">
        <v>0.0566</v>
      </c>
      <c r="AD10" s="5">
        <v>0.0995</v>
      </c>
      <c r="AE10" s="4">
        <v>59</v>
      </c>
      <c r="AF10" s="6">
        <v>2623.22</v>
      </c>
      <c r="AG10" s="4">
        <v>7</v>
      </c>
      <c r="AH10" s="6">
        <v>283.06</v>
      </c>
      <c r="AI10" s="5">
        <v>7.4286</v>
      </c>
      <c r="AJ10" s="5">
        <v>8.2674</v>
      </c>
      <c r="AK10" s="4"/>
      <c r="AL10" s="6"/>
      <c r="AM10" s="4"/>
      <c r="AN10" s="6"/>
      <c r="AO10" s="5"/>
      <c r="AP10" s="5"/>
      <c r="AQ10" s="4"/>
      <c r="AR10" s="6"/>
      <c r="AS10" s="4"/>
      <c r="AT10" s="6"/>
      <c r="AU10" s="5"/>
      <c r="AV10" s="5"/>
      <c r="AW10" s="4">
        <v>153</v>
      </c>
      <c r="AX10" s="6">
        <v>6107.93</v>
      </c>
      <c r="AY10" s="4">
        <v>65</v>
      </c>
      <c r="AZ10" s="6">
        <v>2603.48</v>
      </c>
      <c r="BA10" s="5">
        <v>1.3538</v>
      </c>
      <c r="BB10" s="5">
        <v>1.3461</v>
      </c>
      <c r="BC10" s="4">
        <v>32</v>
      </c>
      <c r="BD10" s="6">
        <v>1461.4</v>
      </c>
      <c r="BE10" s="4">
        <v>116</v>
      </c>
      <c r="BF10" s="6">
        <v>5187.36</v>
      </c>
      <c r="BG10" s="5">
        <v>-0.7241</v>
      </c>
      <c r="BH10" s="5">
        <v>-0.7183</v>
      </c>
      <c r="BI10" s="4">
        <v>22</v>
      </c>
      <c r="BJ10" s="6">
        <v>923.9</v>
      </c>
      <c r="BK10" s="4">
        <v>19</v>
      </c>
      <c r="BL10" s="6">
        <v>748.77</v>
      </c>
      <c r="BM10" s="5">
        <v>0.1579</v>
      </c>
      <c r="BN10" s="5">
        <v>0.2339</v>
      </c>
      <c r="BO10" s="4">
        <v>36</v>
      </c>
      <c r="BP10" s="6">
        <v>1221.28</v>
      </c>
      <c r="BQ10" s="4">
        <v>3</v>
      </c>
      <c r="BR10" s="6">
        <v>95.39</v>
      </c>
      <c r="BS10" s="5">
        <v>11</v>
      </c>
      <c r="BT10" s="5">
        <v>11.803</v>
      </c>
      <c r="BU10" s="4">
        <v>19</v>
      </c>
      <c r="BV10" s="6">
        <v>794.99</v>
      </c>
      <c r="BW10" s="4">
        <v>6</v>
      </c>
      <c r="BX10" s="6">
        <v>218.94</v>
      </c>
      <c r="BY10" s="5">
        <v>2.1667</v>
      </c>
      <c r="BZ10" s="5">
        <v>2.6311</v>
      </c>
      <c r="CA10" s="4">
        <v>5</v>
      </c>
      <c r="CB10" s="6">
        <v>216.23</v>
      </c>
      <c r="CC10" s="4">
        <v>11</v>
      </c>
      <c r="CD10" s="6">
        <v>498.89</v>
      </c>
      <c r="CE10" s="5">
        <v>-0.5455</v>
      </c>
      <c r="CF10" s="5">
        <v>-0.5666</v>
      </c>
      <c r="CG10" s="4"/>
      <c r="CH10" s="6"/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>
        <v>14</v>
      </c>
      <c r="CT10" s="6">
        <v>523.46</v>
      </c>
      <c r="CU10" s="4">
        <v>19</v>
      </c>
      <c r="CV10" s="6">
        <v>738.64</v>
      </c>
      <c r="CW10" s="5">
        <v>-0.2632</v>
      </c>
      <c r="CX10" s="5">
        <v>-0.2913</v>
      </c>
      <c r="CY10" s="4"/>
      <c r="CZ10" s="6"/>
      <c r="DA10" s="4">
        <v>5</v>
      </c>
      <c r="DB10" s="6">
        <v>197.4</v>
      </c>
      <c r="DC10" s="5"/>
      <c r="DD10" s="5"/>
      <c r="DE10" s="4"/>
      <c r="DF10" s="6"/>
      <c r="DG10" s="4"/>
      <c r="DH10" s="6"/>
      <c r="DI10" s="5"/>
      <c r="DJ10" s="5"/>
      <c r="DK10" s="4">
        <v>1</v>
      </c>
      <c r="DL10" s="6">
        <v>65.79</v>
      </c>
      <c r="DM10" s="4">
        <v>2</v>
      </c>
      <c r="DN10" s="6">
        <v>112.98</v>
      </c>
      <c r="DO10" s="5">
        <v>-0.5</v>
      </c>
      <c r="DP10" s="5">
        <v>-0.4177</v>
      </c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>
        <v>1</v>
      </c>
      <c r="FN10" s="6">
        <v>45.18</v>
      </c>
      <c r="FO10" s="4"/>
      <c r="FP10" s="6"/>
      <c r="FQ10" s="5"/>
      <c r="FR10" s="5"/>
      <c r="FS10" s="4"/>
      <c r="FT10" s="6"/>
      <c r="FU10" s="4">
        <v>28</v>
      </c>
      <c r="FV10" s="6">
        <v>1203.4</v>
      </c>
      <c r="FW10" s="5"/>
      <c r="FX10" s="5"/>
      <c r="FY10" s="4"/>
      <c r="FZ10" s="6"/>
      <c r="GA10" s="4">
        <v>2</v>
      </c>
      <c r="GB10" s="6">
        <v>83.66</v>
      </c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/>
      <c r="IB10" s="6"/>
      <c r="IC10" s="4"/>
      <c r="ID10" s="6"/>
      <c r="IE10" s="5"/>
      <c r="IF10" s="5"/>
      <c r="IG10" s="4"/>
      <c r="IH10" s="6"/>
      <c r="II10" s="4"/>
      <c r="IJ10" s="6"/>
      <c r="IK10" s="5"/>
      <c r="IL10" s="5"/>
      <c r="IM10" s="4"/>
      <c r="IN10" s="6"/>
      <c r="IO10" s="4"/>
      <c r="IP10" s="6"/>
      <c r="IQ10" s="5"/>
      <c r="IR10" s="5"/>
      <c r="IS10" s="4"/>
      <c r="IT10" s="6"/>
      <c r="IU10" s="4"/>
      <c r="IV10" s="6"/>
      <c r="IW10" s="5"/>
      <c r="IX10" s="5"/>
      <c r="IY10" s="4"/>
      <c r="IZ10" s="6"/>
      <c r="JA10" s="4"/>
      <c r="JB10" s="6"/>
      <c r="JC10" s="5"/>
      <c r="JD10" s="5"/>
      <c r="JE10" s="4"/>
      <c r="JF10" s="6"/>
      <c r="JG10" s="4"/>
      <c r="JH10" s="6"/>
      <c r="JI10" s="5"/>
      <c r="JJ10" s="5"/>
      <c r="JK10" s="4">
        <v>585</v>
      </c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>
        <v>130</v>
      </c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>
        <v>370</v>
      </c>
      <c r="LE10" s="4"/>
      <c r="LF10" s="4"/>
      <c r="LG10" s="4"/>
      <c r="LH10" s="4"/>
      <c r="LI10" s="4"/>
      <c r="LJ10" s="4"/>
      <c r="LK10" s="4"/>
      <c r="LL10" s="4"/>
      <c r="LM10" s="4">
        <v>240</v>
      </c>
    </row>
    <row r="11">
      <c r="A11" s="3" t="s">
        <v>136</v>
      </c>
      <c r="B11" s="3" t="s">
        <v>137</v>
      </c>
      <c r="C11" s="3" t="s">
        <v>138</v>
      </c>
      <c r="D11" s="3" t="s">
        <v>139</v>
      </c>
      <c r="E11" s="3" t="s">
        <v>140</v>
      </c>
      <c r="F11" s="3" t="s">
        <v>140</v>
      </c>
      <c r="G11" s="3" t="s">
        <v>140</v>
      </c>
      <c r="H11" s="3" t="s">
        <v>141</v>
      </c>
      <c r="I11" s="3" t="s">
        <v>232</v>
      </c>
      <c r="J11" s="3" t="s">
        <v>228</v>
      </c>
      <c r="K11" s="4">
        <v>398</v>
      </c>
      <c r="L11" s="4">
        <f>=ROUNDDOWN(8.9438202247191,0)</f>
      </c>
      <c r="M11" s="4">
        <v>1212</v>
      </c>
      <c r="N11" s="5">
        <v>0.9542</v>
      </c>
      <c r="O11" s="4"/>
      <c r="P11" s="4">
        <f>=ROUNDDOWN({0},0)</f>
      </c>
      <c r="Q11" s="4"/>
      <c r="R11" s="5"/>
      <c r="S11" s="4">
        <v>384</v>
      </c>
      <c r="T11" s="6">
        <v>14859.68</v>
      </c>
      <c r="U11" s="4">
        <v>392</v>
      </c>
      <c r="V11" s="6">
        <v>15638.07</v>
      </c>
      <c r="W11" s="5">
        <v>-0.0204</v>
      </c>
      <c r="X11" s="5">
        <v>-0.0498</v>
      </c>
      <c r="Y11" s="4">
        <v>83</v>
      </c>
      <c r="Z11" s="6">
        <v>3329.46</v>
      </c>
      <c r="AA11" s="4">
        <v>70</v>
      </c>
      <c r="AB11" s="6">
        <v>3033.49</v>
      </c>
      <c r="AC11" s="5">
        <v>0.1857</v>
      </c>
      <c r="AD11" s="5">
        <v>0.0976</v>
      </c>
      <c r="AE11" s="4">
        <v>54</v>
      </c>
      <c r="AF11" s="6">
        <v>2184.76</v>
      </c>
      <c r="AG11" s="4">
        <v>12</v>
      </c>
      <c r="AH11" s="6">
        <v>534.12</v>
      </c>
      <c r="AI11" s="5">
        <v>3.5</v>
      </c>
      <c r="AJ11" s="5">
        <v>3.0904</v>
      </c>
      <c r="AK11" s="4"/>
      <c r="AL11" s="6"/>
      <c r="AM11" s="4"/>
      <c r="AN11" s="6"/>
      <c r="AO11" s="5"/>
      <c r="AP11" s="5"/>
      <c r="AQ11" s="4"/>
      <c r="AR11" s="6"/>
      <c r="AS11" s="4"/>
      <c r="AT11" s="6"/>
      <c r="AU11" s="5"/>
      <c r="AV11" s="5"/>
      <c r="AW11" s="4">
        <v>133</v>
      </c>
      <c r="AX11" s="6">
        <v>5065.44</v>
      </c>
      <c r="AY11" s="4">
        <v>92</v>
      </c>
      <c r="AZ11" s="6">
        <v>3494.69</v>
      </c>
      <c r="BA11" s="5">
        <v>0.4457</v>
      </c>
      <c r="BB11" s="5">
        <v>0.4495</v>
      </c>
      <c r="BC11" s="4">
        <v>31</v>
      </c>
      <c r="BD11" s="6">
        <v>1206.34</v>
      </c>
      <c r="BE11" s="4">
        <v>75</v>
      </c>
      <c r="BF11" s="6">
        <v>2947.41</v>
      </c>
      <c r="BG11" s="5">
        <v>-0.5867</v>
      </c>
      <c r="BH11" s="5">
        <v>-0.5907</v>
      </c>
      <c r="BI11" s="4">
        <v>31</v>
      </c>
      <c r="BJ11" s="6">
        <v>1262.05</v>
      </c>
      <c r="BK11" s="4">
        <v>40</v>
      </c>
      <c r="BL11" s="6">
        <v>1612.28</v>
      </c>
      <c r="BM11" s="5">
        <v>-0.225</v>
      </c>
      <c r="BN11" s="5">
        <v>-0.2172</v>
      </c>
      <c r="BO11" s="4">
        <v>19</v>
      </c>
      <c r="BP11" s="6">
        <v>577.14</v>
      </c>
      <c r="BQ11" s="4">
        <v>7</v>
      </c>
      <c r="BR11" s="6">
        <v>240.95</v>
      </c>
      <c r="BS11" s="5">
        <v>1.7143</v>
      </c>
      <c r="BT11" s="5">
        <v>1.3953</v>
      </c>
      <c r="BU11" s="4">
        <v>12</v>
      </c>
      <c r="BV11" s="6">
        <v>460.9</v>
      </c>
      <c r="BW11" s="4">
        <v>20</v>
      </c>
      <c r="BX11" s="6">
        <v>737.48</v>
      </c>
      <c r="BY11" s="5">
        <v>-0.4</v>
      </c>
      <c r="BZ11" s="5">
        <v>-0.375</v>
      </c>
      <c r="CA11" s="4">
        <v>6</v>
      </c>
      <c r="CB11" s="6">
        <v>239.81</v>
      </c>
      <c r="CC11" s="4">
        <v>14</v>
      </c>
      <c r="CD11" s="6">
        <v>534.55</v>
      </c>
      <c r="CE11" s="5">
        <v>-0.5714</v>
      </c>
      <c r="CF11" s="5">
        <v>-0.5514</v>
      </c>
      <c r="CG11" s="4"/>
      <c r="CH11" s="6"/>
      <c r="CI11" s="4"/>
      <c r="CJ11" s="6"/>
      <c r="CK11" s="5"/>
      <c r="CL11" s="5"/>
      <c r="CM11" s="4"/>
      <c r="CN11" s="6"/>
      <c r="CO11" s="4"/>
      <c r="CP11" s="6"/>
      <c r="CQ11" s="5"/>
      <c r="CR11" s="5"/>
      <c r="CS11" s="4">
        <v>10</v>
      </c>
      <c r="CT11" s="6">
        <v>354.81</v>
      </c>
      <c r="CU11" s="4">
        <v>26</v>
      </c>
      <c r="CV11" s="6">
        <v>988.74</v>
      </c>
      <c r="CW11" s="5">
        <v>-0.6154</v>
      </c>
      <c r="CX11" s="5">
        <v>-0.6411</v>
      </c>
      <c r="CY11" s="4">
        <v>2</v>
      </c>
      <c r="CZ11" s="6">
        <v>68.04</v>
      </c>
      <c r="DA11" s="4">
        <v>5</v>
      </c>
      <c r="DB11" s="6">
        <v>183.75</v>
      </c>
      <c r="DC11" s="5">
        <v>-0.6</v>
      </c>
      <c r="DD11" s="5">
        <v>-0.6297</v>
      </c>
      <c r="DE11" s="4"/>
      <c r="DF11" s="6"/>
      <c r="DG11" s="4"/>
      <c r="DH11" s="6"/>
      <c r="DI11" s="5"/>
      <c r="DJ11" s="5"/>
      <c r="DK11" s="4"/>
      <c r="DL11" s="6"/>
      <c r="DM11" s="4">
        <v>2</v>
      </c>
      <c r="DN11" s="6">
        <v>99.98</v>
      </c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>
        <v>3</v>
      </c>
      <c r="ED11" s="6">
        <v>110.93</v>
      </c>
      <c r="EE11" s="4">
        <v>1</v>
      </c>
      <c r="EF11" s="6">
        <v>41.83</v>
      </c>
      <c r="EG11" s="5">
        <v>2</v>
      </c>
      <c r="EH11" s="5">
        <v>1.6519</v>
      </c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>
        <v>28</v>
      </c>
      <c r="FV11" s="6">
        <v>1188.8</v>
      </c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/>
      <c r="IB11" s="6"/>
      <c r="IC11" s="4"/>
      <c r="ID11" s="6"/>
      <c r="IE11" s="5"/>
      <c r="IF11" s="5"/>
      <c r="IG11" s="4"/>
      <c r="IH11" s="6"/>
      <c r="II11" s="4"/>
      <c r="IJ11" s="6"/>
      <c r="IK11" s="5"/>
      <c r="IL11" s="5"/>
      <c r="IM11" s="4"/>
      <c r="IN11" s="6"/>
      <c r="IO11" s="4"/>
      <c r="IP11" s="6"/>
      <c r="IQ11" s="5"/>
      <c r="IR11" s="5"/>
      <c r="IS11" s="4"/>
      <c r="IT11" s="6"/>
      <c r="IU11" s="4"/>
      <c r="IV11" s="6"/>
      <c r="IW11" s="5"/>
      <c r="IX11" s="5"/>
      <c r="IY11" s="4"/>
      <c r="IZ11" s="6"/>
      <c r="JA11" s="4"/>
      <c r="JB11" s="6"/>
      <c r="JC11" s="5"/>
      <c r="JD11" s="5"/>
      <c r="JE11" s="4"/>
      <c r="JF11" s="6"/>
      <c r="JG11" s="4"/>
      <c r="JH11" s="6"/>
      <c r="JI11" s="5"/>
      <c r="JJ11" s="5"/>
      <c r="JK11" s="4">
        <v>397</v>
      </c>
      <c r="JL11" s="4">
        <v>1</v>
      </c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>
        <v>202</v>
      </c>
      <c r="KG11" s="4"/>
      <c r="KH11" s="4"/>
      <c r="KI11" s="4"/>
      <c r="KJ11" s="4"/>
      <c r="KK11" s="4"/>
      <c r="KL11" s="4"/>
      <c r="KM11" s="4"/>
      <c r="KN11" s="4">
        <v>260</v>
      </c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>
        <v>240</v>
      </c>
      <c r="LE11" s="4"/>
      <c r="LF11" s="4">
        <v>280</v>
      </c>
      <c r="LG11" s="4">
        <v>230</v>
      </c>
      <c r="LH11" s="4"/>
      <c r="LI11" s="4"/>
      <c r="LJ11" s="4"/>
      <c r="LK11" s="4"/>
      <c r="LL11" s="4"/>
      <c r="LM11" s="4"/>
    </row>
    <row r="12">
      <c r="A12" s="3" t="s">
        <v>136</v>
      </c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140</v>
      </c>
      <c r="G12" s="3" t="s">
        <v>140</v>
      </c>
      <c r="H12" s="3" t="s">
        <v>141</v>
      </c>
      <c r="I12" s="3" t="s">
        <v>233</v>
      </c>
      <c r="J12" s="3" t="s">
        <v>228</v>
      </c>
      <c r="K12" s="4">
        <v>567</v>
      </c>
      <c r="L12" s="4">
        <f>=ROUNDDOWN(15.3243243243243,0)</f>
      </c>
      <c r="M12" s="4">
        <v>811</v>
      </c>
      <c r="N12" s="5">
        <v>1</v>
      </c>
      <c r="O12" s="4"/>
      <c r="P12" s="4">
        <f>=ROUNDDOWN({0},0)</f>
      </c>
      <c r="Q12" s="4"/>
      <c r="R12" s="5"/>
      <c r="S12" s="4">
        <v>379</v>
      </c>
      <c r="T12" s="6">
        <v>14838.58</v>
      </c>
      <c r="U12" s="4">
        <v>388</v>
      </c>
      <c r="V12" s="6">
        <v>15086.26</v>
      </c>
      <c r="W12" s="5">
        <v>-0.0232</v>
      </c>
      <c r="X12" s="5">
        <v>-0.0164</v>
      </c>
      <c r="Y12" s="4">
        <v>47</v>
      </c>
      <c r="Z12" s="6">
        <v>1868.1</v>
      </c>
      <c r="AA12" s="4">
        <v>39</v>
      </c>
      <c r="AB12" s="6">
        <v>1499.68</v>
      </c>
      <c r="AC12" s="5">
        <v>0.2051</v>
      </c>
      <c r="AD12" s="5">
        <v>0.2457</v>
      </c>
      <c r="AE12" s="4">
        <v>63</v>
      </c>
      <c r="AF12" s="6">
        <v>2566.4</v>
      </c>
      <c r="AG12" s="4">
        <v>12</v>
      </c>
      <c r="AH12" s="6">
        <v>486.4</v>
      </c>
      <c r="AI12" s="5">
        <v>4.25</v>
      </c>
      <c r="AJ12" s="5">
        <v>4.2763</v>
      </c>
      <c r="AK12" s="4"/>
      <c r="AL12" s="6"/>
      <c r="AM12" s="4"/>
      <c r="AN12" s="6"/>
      <c r="AO12" s="5"/>
      <c r="AP12" s="5"/>
      <c r="AQ12" s="4"/>
      <c r="AR12" s="6"/>
      <c r="AS12" s="4"/>
      <c r="AT12" s="6"/>
      <c r="AU12" s="5"/>
      <c r="AV12" s="5"/>
      <c r="AW12" s="4">
        <v>158</v>
      </c>
      <c r="AX12" s="6">
        <v>6120.13</v>
      </c>
      <c r="AY12" s="4">
        <v>90</v>
      </c>
      <c r="AZ12" s="6">
        <v>3475.78</v>
      </c>
      <c r="BA12" s="5">
        <v>0.7556</v>
      </c>
      <c r="BB12" s="5">
        <v>0.7608</v>
      </c>
      <c r="BC12" s="4">
        <v>40</v>
      </c>
      <c r="BD12" s="6">
        <v>1621.4</v>
      </c>
      <c r="BE12" s="4">
        <v>107</v>
      </c>
      <c r="BF12" s="6">
        <v>4272.89</v>
      </c>
      <c r="BG12" s="5">
        <v>-0.6262</v>
      </c>
      <c r="BH12" s="5">
        <v>-0.6205</v>
      </c>
      <c r="BI12" s="4">
        <v>10</v>
      </c>
      <c r="BJ12" s="6">
        <v>380.42</v>
      </c>
      <c r="BK12" s="4">
        <v>28</v>
      </c>
      <c r="BL12" s="6">
        <v>1117.12</v>
      </c>
      <c r="BM12" s="5">
        <v>-0.6429</v>
      </c>
      <c r="BN12" s="5">
        <v>-0.6595</v>
      </c>
      <c r="BO12" s="4">
        <v>18</v>
      </c>
      <c r="BP12" s="6">
        <v>575.61</v>
      </c>
      <c r="BQ12" s="4">
        <v>8</v>
      </c>
      <c r="BR12" s="6">
        <v>278.9</v>
      </c>
      <c r="BS12" s="5">
        <v>1.25</v>
      </c>
      <c r="BT12" s="5">
        <v>1.0639</v>
      </c>
      <c r="BU12" s="4">
        <v>5</v>
      </c>
      <c r="BV12" s="6">
        <v>184.37</v>
      </c>
      <c r="BW12" s="4">
        <v>16</v>
      </c>
      <c r="BX12" s="6">
        <v>610.72</v>
      </c>
      <c r="BY12" s="5">
        <v>-0.6875</v>
      </c>
      <c r="BZ12" s="5">
        <v>-0.6981</v>
      </c>
      <c r="CA12" s="4">
        <v>4</v>
      </c>
      <c r="CB12" s="6">
        <v>168.84</v>
      </c>
      <c r="CC12" s="4">
        <v>21</v>
      </c>
      <c r="CD12" s="6">
        <v>778.09</v>
      </c>
      <c r="CE12" s="5">
        <v>-0.8095</v>
      </c>
      <c r="CF12" s="5">
        <v>-0.783</v>
      </c>
      <c r="CG12" s="4"/>
      <c r="CH12" s="6"/>
      <c r="CI12" s="4"/>
      <c r="CJ12" s="6"/>
      <c r="CK12" s="5"/>
      <c r="CL12" s="5"/>
      <c r="CM12" s="4"/>
      <c r="CN12" s="6"/>
      <c r="CO12" s="4"/>
      <c r="CP12" s="6"/>
      <c r="CQ12" s="5"/>
      <c r="CR12" s="5"/>
      <c r="CS12" s="4">
        <v>24</v>
      </c>
      <c r="CT12" s="6">
        <v>913.13</v>
      </c>
      <c r="CU12" s="4">
        <v>38</v>
      </c>
      <c r="CV12" s="6">
        <v>1430.78</v>
      </c>
      <c r="CW12" s="5">
        <v>-0.3684</v>
      </c>
      <c r="CX12" s="5">
        <v>-0.3618</v>
      </c>
      <c r="CY12" s="4">
        <v>5</v>
      </c>
      <c r="CZ12" s="6">
        <v>187.11</v>
      </c>
      <c r="DA12" s="4">
        <v>10</v>
      </c>
      <c r="DB12" s="6">
        <v>351.54</v>
      </c>
      <c r="DC12" s="5">
        <v>-0.5</v>
      </c>
      <c r="DD12" s="5">
        <v>-0.4677</v>
      </c>
      <c r="DE12" s="4"/>
      <c r="DF12" s="6"/>
      <c r="DG12" s="4"/>
      <c r="DH12" s="6"/>
      <c r="DI12" s="5"/>
      <c r="DJ12" s="5"/>
      <c r="DK12" s="4">
        <v>2</v>
      </c>
      <c r="DL12" s="6">
        <v>142.14</v>
      </c>
      <c r="DM12" s="4">
        <v>2</v>
      </c>
      <c r="DN12" s="6">
        <v>112.98</v>
      </c>
      <c r="DO12" s="5"/>
      <c r="DP12" s="5">
        <v>0.2581</v>
      </c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>
        <v>3</v>
      </c>
      <c r="ED12" s="6">
        <v>110.93</v>
      </c>
      <c r="EE12" s="4">
        <v>2</v>
      </c>
      <c r="EF12" s="6">
        <v>76.38</v>
      </c>
      <c r="EG12" s="5">
        <v>0.5</v>
      </c>
      <c r="EH12" s="5">
        <v>0.4523</v>
      </c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>
        <v>15</v>
      </c>
      <c r="FV12" s="6">
        <v>595</v>
      </c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/>
      <c r="IB12" s="6"/>
      <c r="IC12" s="4"/>
      <c r="ID12" s="6"/>
      <c r="IE12" s="5"/>
      <c r="IF12" s="5"/>
      <c r="IG12" s="4"/>
      <c r="IH12" s="6"/>
      <c r="II12" s="4"/>
      <c r="IJ12" s="6"/>
      <c r="IK12" s="5"/>
      <c r="IL12" s="5"/>
      <c r="IM12" s="4"/>
      <c r="IN12" s="6"/>
      <c r="IO12" s="4"/>
      <c r="IP12" s="6"/>
      <c r="IQ12" s="5"/>
      <c r="IR12" s="5"/>
      <c r="IS12" s="4"/>
      <c r="IT12" s="6"/>
      <c r="IU12" s="4"/>
      <c r="IV12" s="6"/>
      <c r="IW12" s="5"/>
      <c r="IX12" s="5"/>
      <c r="IY12" s="4"/>
      <c r="IZ12" s="6"/>
      <c r="JA12" s="4"/>
      <c r="JB12" s="6"/>
      <c r="JC12" s="5"/>
      <c r="JD12" s="5"/>
      <c r="JE12" s="4"/>
      <c r="JF12" s="6"/>
      <c r="JG12" s="4"/>
      <c r="JH12" s="6"/>
      <c r="JI12" s="5"/>
      <c r="JJ12" s="5"/>
      <c r="JK12" s="4">
        <v>567</v>
      </c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>
        <v>341</v>
      </c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>
        <v>290</v>
      </c>
      <c r="LG12" s="4">
        <v>180</v>
      </c>
      <c r="LH12" s="4"/>
      <c r="LI12" s="4"/>
      <c r="LJ12" s="4"/>
      <c r="LK12" s="4"/>
      <c r="LL12" s="4"/>
      <c r="LM12" s="4"/>
    </row>
    <row r="13">
      <c r="A13" s="3" t="s">
        <v>136</v>
      </c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140</v>
      </c>
      <c r="G13" s="3" t="s">
        <v>140</v>
      </c>
      <c r="H13" s="3" t="s">
        <v>141</v>
      </c>
      <c r="I13" s="3" t="s">
        <v>234</v>
      </c>
      <c r="J13" s="3" t="s">
        <v>228</v>
      </c>
      <c r="K13" s="4">
        <v>347</v>
      </c>
      <c r="L13" s="4">
        <f>=ROUNDDOWN(11.9655172413793,0)</f>
      </c>
      <c r="M13" s="4">
        <v>950</v>
      </c>
      <c r="N13" s="5">
        <v>1</v>
      </c>
      <c r="O13" s="4"/>
      <c r="P13" s="4">
        <f>=ROUNDDOWN({0},0)</f>
      </c>
      <c r="Q13" s="4"/>
      <c r="R13" s="5"/>
      <c r="S13" s="4">
        <v>371</v>
      </c>
      <c r="T13" s="6">
        <v>14461.39</v>
      </c>
      <c r="U13" s="4">
        <v>364</v>
      </c>
      <c r="V13" s="6">
        <v>14083.1</v>
      </c>
      <c r="W13" s="5">
        <v>0.0192</v>
      </c>
      <c r="X13" s="5">
        <v>0.0269</v>
      </c>
      <c r="Y13" s="4">
        <v>49</v>
      </c>
      <c r="Z13" s="6">
        <v>1889.74</v>
      </c>
      <c r="AA13" s="4">
        <v>54</v>
      </c>
      <c r="AB13" s="6">
        <v>2093.06</v>
      </c>
      <c r="AC13" s="5">
        <v>-0.0926</v>
      </c>
      <c r="AD13" s="5">
        <v>-0.0971</v>
      </c>
      <c r="AE13" s="4">
        <v>66</v>
      </c>
      <c r="AF13" s="6">
        <v>2726.4</v>
      </c>
      <c r="AG13" s="4">
        <v>10</v>
      </c>
      <c r="AH13" s="6">
        <v>409.6</v>
      </c>
      <c r="AI13" s="5">
        <v>5.6</v>
      </c>
      <c r="AJ13" s="5">
        <v>5.6562</v>
      </c>
      <c r="AK13" s="4"/>
      <c r="AL13" s="6"/>
      <c r="AM13" s="4"/>
      <c r="AN13" s="6"/>
      <c r="AO13" s="5"/>
      <c r="AP13" s="5"/>
      <c r="AQ13" s="4"/>
      <c r="AR13" s="6"/>
      <c r="AS13" s="4"/>
      <c r="AT13" s="6"/>
      <c r="AU13" s="5"/>
      <c r="AV13" s="5"/>
      <c r="AW13" s="4">
        <v>122</v>
      </c>
      <c r="AX13" s="6">
        <v>4777.52</v>
      </c>
      <c r="AY13" s="4">
        <v>66</v>
      </c>
      <c r="AZ13" s="6">
        <v>2515.03</v>
      </c>
      <c r="BA13" s="5">
        <v>0.8485</v>
      </c>
      <c r="BB13" s="5">
        <v>0.8996</v>
      </c>
      <c r="BC13" s="4">
        <v>32</v>
      </c>
      <c r="BD13" s="6">
        <v>1255.64</v>
      </c>
      <c r="BE13" s="4">
        <v>68</v>
      </c>
      <c r="BF13" s="6">
        <v>2669.76</v>
      </c>
      <c r="BG13" s="5">
        <v>-0.5294</v>
      </c>
      <c r="BH13" s="5">
        <v>-0.5297</v>
      </c>
      <c r="BI13" s="4">
        <v>26</v>
      </c>
      <c r="BJ13" s="6">
        <v>1032.58</v>
      </c>
      <c r="BK13" s="4">
        <v>32</v>
      </c>
      <c r="BL13" s="6">
        <v>1243.92</v>
      </c>
      <c r="BM13" s="5">
        <v>-0.1875</v>
      </c>
      <c r="BN13" s="5">
        <v>-0.1699</v>
      </c>
      <c r="BO13" s="4">
        <v>17</v>
      </c>
      <c r="BP13" s="6">
        <v>544.16</v>
      </c>
      <c r="BQ13" s="4">
        <v>17</v>
      </c>
      <c r="BR13" s="6">
        <v>543.83</v>
      </c>
      <c r="BS13" s="5"/>
      <c r="BT13" s="5">
        <v>0.0006</v>
      </c>
      <c r="BU13" s="4">
        <v>15</v>
      </c>
      <c r="BV13" s="6">
        <v>570.39</v>
      </c>
      <c r="BW13" s="4">
        <v>14</v>
      </c>
      <c r="BX13" s="6">
        <v>535.82</v>
      </c>
      <c r="BY13" s="5">
        <v>0.0714</v>
      </c>
      <c r="BZ13" s="5">
        <v>0.0645</v>
      </c>
      <c r="CA13" s="4">
        <v>2</v>
      </c>
      <c r="CB13" s="6">
        <v>87.84</v>
      </c>
      <c r="CC13" s="4">
        <v>31</v>
      </c>
      <c r="CD13" s="6">
        <v>1217.2</v>
      </c>
      <c r="CE13" s="5">
        <v>-0.9355</v>
      </c>
      <c r="CF13" s="5">
        <v>-0.9278</v>
      </c>
      <c r="CG13" s="4"/>
      <c r="CH13" s="6"/>
      <c r="CI13" s="4"/>
      <c r="CJ13" s="6"/>
      <c r="CK13" s="5"/>
      <c r="CL13" s="5"/>
      <c r="CM13" s="4"/>
      <c r="CN13" s="6"/>
      <c r="CO13" s="4"/>
      <c r="CP13" s="6"/>
      <c r="CQ13" s="5"/>
      <c r="CR13" s="5"/>
      <c r="CS13" s="4">
        <v>17</v>
      </c>
      <c r="CT13" s="6">
        <v>639.78</v>
      </c>
      <c r="CU13" s="4">
        <v>33</v>
      </c>
      <c r="CV13" s="6">
        <v>1256.28</v>
      </c>
      <c r="CW13" s="5">
        <v>-0.4848</v>
      </c>
      <c r="CX13" s="5">
        <v>-0.4907</v>
      </c>
      <c r="CY13" s="4">
        <v>12</v>
      </c>
      <c r="CZ13" s="6">
        <v>425.25</v>
      </c>
      <c r="DA13" s="4">
        <v>10</v>
      </c>
      <c r="DB13" s="6">
        <v>357.21</v>
      </c>
      <c r="DC13" s="5">
        <v>0.2</v>
      </c>
      <c r="DD13" s="5">
        <v>0.1905</v>
      </c>
      <c r="DE13" s="4"/>
      <c r="DF13" s="6"/>
      <c r="DG13" s="4"/>
      <c r="DH13" s="6"/>
      <c r="DI13" s="5"/>
      <c r="DJ13" s="5"/>
      <c r="DK13" s="4">
        <v>2</v>
      </c>
      <c r="DL13" s="6">
        <v>85.39</v>
      </c>
      <c r="DM13" s="4">
        <v>2</v>
      </c>
      <c r="DN13" s="6">
        <v>117.98</v>
      </c>
      <c r="DO13" s="5"/>
      <c r="DP13" s="5">
        <v>-0.2762</v>
      </c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>
        <v>10</v>
      </c>
      <c r="ED13" s="6">
        <v>381.9</v>
      </c>
      <c r="EE13" s="4">
        <v>3</v>
      </c>
      <c r="EF13" s="6">
        <v>118.21</v>
      </c>
      <c r="EG13" s="5">
        <v>2.3333</v>
      </c>
      <c r="EH13" s="5">
        <v>2.2307</v>
      </c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>
        <v>1</v>
      </c>
      <c r="EV13" s="6">
        <v>44.8</v>
      </c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>
        <v>24</v>
      </c>
      <c r="FV13" s="6">
        <v>1005.2</v>
      </c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/>
      <c r="IB13" s="6"/>
      <c r="IC13" s="4"/>
      <c r="ID13" s="6"/>
      <c r="IE13" s="5"/>
      <c r="IF13" s="5"/>
      <c r="IG13" s="4"/>
      <c r="IH13" s="6"/>
      <c r="II13" s="4"/>
      <c r="IJ13" s="6"/>
      <c r="IK13" s="5"/>
      <c r="IL13" s="5"/>
      <c r="IM13" s="4"/>
      <c r="IN13" s="6"/>
      <c r="IO13" s="4"/>
      <c r="IP13" s="6"/>
      <c r="IQ13" s="5"/>
      <c r="IR13" s="5"/>
      <c r="IS13" s="4"/>
      <c r="IT13" s="6"/>
      <c r="IU13" s="4"/>
      <c r="IV13" s="6"/>
      <c r="IW13" s="5"/>
      <c r="IX13" s="5"/>
      <c r="IY13" s="4"/>
      <c r="IZ13" s="6"/>
      <c r="JA13" s="4"/>
      <c r="JB13" s="6"/>
      <c r="JC13" s="5"/>
      <c r="JD13" s="5"/>
      <c r="JE13" s="4"/>
      <c r="JF13" s="6"/>
      <c r="JG13" s="4"/>
      <c r="JH13" s="6"/>
      <c r="JI13" s="5"/>
      <c r="JJ13" s="5"/>
      <c r="JK13" s="4">
        <v>346</v>
      </c>
      <c r="JL13" s="4"/>
      <c r="JM13" s="4"/>
      <c r="JN13" s="4"/>
      <c r="JO13" s="4">
        <v>1</v>
      </c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>
        <v>220</v>
      </c>
      <c r="KI13" s="4"/>
      <c r="KJ13" s="4">
        <v>230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>
        <v>370</v>
      </c>
      <c r="LG13" s="4">
        <v>130</v>
      </c>
      <c r="LH13" s="4"/>
      <c r="LI13" s="4"/>
      <c r="LJ13" s="4"/>
      <c r="LK13" s="4"/>
      <c r="LL13" s="4"/>
      <c r="LM13" s="4"/>
    </row>
    <row r="14">
      <c r="A14" s="3" t="s">
        <v>136</v>
      </c>
      <c r="B14" s="3" t="s">
        <v>137</v>
      </c>
      <c r="C14" s="3" t="s">
        <v>138</v>
      </c>
      <c r="D14" s="3" t="s">
        <v>139</v>
      </c>
      <c r="E14" s="3" t="s">
        <v>142</v>
      </c>
      <c r="F14" s="3" t="s">
        <v>142</v>
      </c>
      <c r="G14" s="3" t="s">
        <v>142</v>
      </c>
      <c r="H14" s="3" t="s">
        <v>143</v>
      </c>
      <c r="I14" s="3" t="s">
        <v>227</v>
      </c>
      <c r="J14" s="3" t="s">
        <v>228</v>
      </c>
      <c r="K14" s="4">
        <v>213</v>
      </c>
      <c r="L14" s="4">
        <f>=ROUNDDOWN(4.4375,0)</f>
      </c>
      <c r="M14" s="4">
        <v>1250</v>
      </c>
      <c r="N14" s="5">
        <v>0.9432</v>
      </c>
      <c r="O14" s="4"/>
      <c r="P14" s="4">
        <f>=ROUNDDOWN({0},0)</f>
      </c>
      <c r="Q14" s="4"/>
      <c r="R14" s="5"/>
      <c r="S14" s="4">
        <v>560</v>
      </c>
      <c r="T14" s="6">
        <v>37917.56</v>
      </c>
      <c r="U14" s="4">
        <v>343</v>
      </c>
      <c r="V14" s="6">
        <v>22052.5</v>
      </c>
      <c r="W14" s="5">
        <v>0.6327</v>
      </c>
      <c r="X14" s="5">
        <v>0.7194</v>
      </c>
      <c r="Y14" s="4">
        <v>106</v>
      </c>
      <c r="Z14" s="6">
        <v>7012.53</v>
      </c>
      <c r="AA14" s="4">
        <v>92</v>
      </c>
      <c r="AB14" s="6">
        <v>5642.34</v>
      </c>
      <c r="AC14" s="5">
        <v>0.1522</v>
      </c>
      <c r="AD14" s="5">
        <v>0.2428</v>
      </c>
      <c r="AE14" s="4">
        <v>215</v>
      </c>
      <c r="AF14" s="6">
        <v>15339.52</v>
      </c>
      <c r="AG14" s="4">
        <v>23</v>
      </c>
      <c r="AH14" s="6">
        <v>1577.36</v>
      </c>
      <c r="AI14" s="5">
        <v>8.3478</v>
      </c>
      <c r="AJ14" s="5">
        <v>8.7248</v>
      </c>
      <c r="AK14" s="4"/>
      <c r="AL14" s="6"/>
      <c r="AM14" s="4"/>
      <c r="AN14" s="6"/>
      <c r="AO14" s="5"/>
      <c r="AP14" s="5"/>
      <c r="AQ14" s="4"/>
      <c r="AR14" s="6"/>
      <c r="AS14" s="4"/>
      <c r="AT14" s="6"/>
      <c r="AU14" s="5"/>
      <c r="AV14" s="5"/>
      <c r="AW14" s="4">
        <v>52</v>
      </c>
      <c r="AX14" s="6">
        <v>3524.52</v>
      </c>
      <c r="AY14" s="4">
        <v>52</v>
      </c>
      <c r="AZ14" s="6">
        <v>3388.03</v>
      </c>
      <c r="BA14" s="5"/>
      <c r="BB14" s="5">
        <v>0.0403</v>
      </c>
      <c r="BC14" s="4"/>
      <c r="BD14" s="6"/>
      <c r="BE14" s="4"/>
      <c r="BF14" s="6"/>
      <c r="BG14" s="5"/>
      <c r="BH14" s="5"/>
      <c r="BI14" s="4">
        <v>21</v>
      </c>
      <c r="BJ14" s="6">
        <v>1464.45</v>
      </c>
      <c r="BK14" s="4">
        <v>46</v>
      </c>
      <c r="BL14" s="6">
        <v>3143.71</v>
      </c>
      <c r="BM14" s="5">
        <v>-0.5435</v>
      </c>
      <c r="BN14" s="5">
        <v>-0.5342</v>
      </c>
      <c r="BO14" s="4">
        <v>35</v>
      </c>
      <c r="BP14" s="6">
        <v>2121.58</v>
      </c>
      <c r="BQ14" s="4">
        <v>22</v>
      </c>
      <c r="BR14" s="6">
        <v>1288.44</v>
      </c>
      <c r="BS14" s="5">
        <v>0.5909</v>
      </c>
      <c r="BT14" s="5">
        <v>0.6466</v>
      </c>
      <c r="BU14" s="4">
        <v>41</v>
      </c>
      <c r="BV14" s="6">
        <v>2710.28</v>
      </c>
      <c r="BW14" s="4">
        <v>20</v>
      </c>
      <c r="BX14" s="6">
        <v>1302.89</v>
      </c>
      <c r="BY14" s="5">
        <v>1.05</v>
      </c>
      <c r="BZ14" s="5">
        <v>1.0802</v>
      </c>
      <c r="CA14" s="4">
        <v>65</v>
      </c>
      <c r="CB14" s="6">
        <v>3980.17</v>
      </c>
      <c r="CC14" s="4">
        <v>55</v>
      </c>
      <c r="CD14" s="6">
        <v>3423.54</v>
      </c>
      <c r="CE14" s="5">
        <v>0.1818</v>
      </c>
      <c r="CF14" s="5">
        <v>0.1626</v>
      </c>
      <c r="CG14" s="4"/>
      <c r="CH14" s="6"/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>
        <v>6</v>
      </c>
      <c r="DF14" s="6">
        <v>396.11</v>
      </c>
      <c r="DG14" s="4">
        <v>2</v>
      </c>
      <c r="DH14" s="6">
        <v>126.59</v>
      </c>
      <c r="DI14" s="5">
        <v>2</v>
      </c>
      <c r="DJ14" s="5">
        <v>2.1291</v>
      </c>
      <c r="DK14" s="4">
        <v>2</v>
      </c>
      <c r="DL14" s="6">
        <v>162.49</v>
      </c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>
        <v>7</v>
      </c>
      <c r="EJ14" s="6">
        <v>486.22</v>
      </c>
      <c r="EK14" s="4">
        <v>10</v>
      </c>
      <c r="EL14" s="6">
        <v>694.6</v>
      </c>
      <c r="EM14" s="5">
        <v>-0.3</v>
      </c>
      <c r="EN14" s="5">
        <v>-0.3</v>
      </c>
      <c r="EO14" s="4">
        <v>10</v>
      </c>
      <c r="EP14" s="6">
        <v>719.69</v>
      </c>
      <c r="EQ14" s="4"/>
      <c r="ER14" s="6"/>
      <c r="ES14" s="5"/>
      <c r="ET14" s="5"/>
      <c r="EU14" s="4"/>
      <c r="EV14" s="6"/>
      <c r="EW14" s="4">
        <v>3</v>
      </c>
      <c r="EX14" s="6">
        <v>190.44</v>
      </c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>
        <v>18</v>
      </c>
      <c r="FV14" s="6">
        <v>1274.56</v>
      </c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/>
      <c r="IB14" s="6"/>
      <c r="IC14" s="4"/>
      <c r="ID14" s="6"/>
      <c r="IE14" s="5"/>
      <c r="IF14" s="5"/>
      <c r="IG14" s="4"/>
      <c r="IH14" s="6"/>
      <c r="II14" s="4"/>
      <c r="IJ14" s="6"/>
      <c r="IK14" s="5"/>
      <c r="IL14" s="5"/>
      <c r="IM14" s="4"/>
      <c r="IN14" s="6"/>
      <c r="IO14" s="4"/>
      <c r="IP14" s="6"/>
      <c r="IQ14" s="5"/>
      <c r="IR14" s="5"/>
      <c r="IS14" s="4"/>
      <c r="IT14" s="6"/>
      <c r="IU14" s="4"/>
      <c r="IV14" s="6"/>
      <c r="IW14" s="5"/>
      <c r="IX14" s="5"/>
      <c r="IY14" s="4"/>
      <c r="IZ14" s="6"/>
      <c r="JA14" s="4"/>
      <c r="JB14" s="6"/>
      <c r="JC14" s="5"/>
      <c r="JD14" s="5"/>
      <c r="JE14" s="4"/>
      <c r="JF14" s="6"/>
      <c r="JG14" s="4"/>
      <c r="JH14" s="6"/>
      <c r="JI14" s="5"/>
      <c r="JJ14" s="5"/>
      <c r="JK14" s="4">
        <v>213</v>
      </c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>
        <v>420</v>
      </c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>
        <v>240</v>
      </c>
      <c r="LF14" s="4"/>
      <c r="LG14" s="4">
        <v>150</v>
      </c>
      <c r="LH14" s="4"/>
      <c r="LI14" s="4"/>
      <c r="LJ14" s="4"/>
      <c r="LK14" s="4"/>
      <c r="LL14" s="4"/>
      <c r="LM14" s="4">
        <v>440</v>
      </c>
    </row>
    <row r="15">
      <c r="A15" s="3" t="s">
        <v>136</v>
      </c>
      <c r="B15" s="3" t="s">
        <v>137</v>
      </c>
      <c r="C15" s="3" t="s">
        <v>138</v>
      </c>
      <c r="D15" s="3" t="s">
        <v>139</v>
      </c>
      <c r="E15" s="3" t="s">
        <v>142</v>
      </c>
      <c r="F15" s="3" t="s">
        <v>142</v>
      </c>
      <c r="G15" s="3" t="s">
        <v>142</v>
      </c>
      <c r="H15" s="3" t="s">
        <v>143</v>
      </c>
      <c r="I15" s="3" t="s">
        <v>235</v>
      </c>
      <c r="J15" s="3" t="s">
        <v>226</v>
      </c>
      <c r="K15" s="4">
        <v>450</v>
      </c>
      <c r="L15" s="4">
        <f>=ROUNDDOWN(10.9756097560976,0)</f>
      </c>
      <c r="M15" s="4">
        <v>1513</v>
      </c>
      <c r="N15" s="5">
        <v>0.9633</v>
      </c>
      <c r="O15" s="4"/>
      <c r="P15" s="4">
        <f>=ROUNDDOWN({0},0)</f>
      </c>
      <c r="Q15" s="4"/>
      <c r="R15" s="5"/>
      <c r="S15" s="4">
        <v>428</v>
      </c>
      <c r="T15" s="6">
        <v>30004.55</v>
      </c>
      <c r="U15" s="4">
        <v>279</v>
      </c>
      <c r="V15" s="6">
        <v>18725.53</v>
      </c>
      <c r="W15" s="5">
        <v>0.5341</v>
      </c>
      <c r="X15" s="5">
        <v>0.6023</v>
      </c>
      <c r="Y15" s="4">
        <v>111</v>
      </c>
      <c r="Z15" s="6">
        <v>7309.65</v>
      </c>
      <c r="AA15" s="4">
        <v>115</v>
      </c>
      <c r="AB15" s="6">
        <v>7382.18</v>
      </c>
      <c r="AC15" s="5">
        <v>-0.0348</v>
      </c>
      <c r="AD15" s="5">
        <v>-0.0098</v>
      </c>
      <c r="AE15" s="4">
        <v>163</v>
      </c>
      <c r="AF15" s="6">
        <v>12194.56</v>
      </c>
      <c r="AG15" s="4">
        <v>12</v>
      </c>
      <c r="AH15" s="6">
        <v>962.95</v>
      </c>
      <c r="AI15" s="5">
        <v>12.5833</v>
      </c>
      <c r="AJ15" s="5">
        <v>11.6638</v>
      </c>
      <c r="AK15" s="4"/>
      <c r="AL15" s="6"/>
      <c r="AM15" s="4"/>
      <c r="AN15" s="6"/>
      <c r="AO15" s="5"/>
      <c r="AP15" s="5"/>
      <c r="AQ15" s="4"/>
      <c r="AR15" s="6"/>
      <c r="AS15" s="4"/>
      <c r="AT15" s="6"/>
      <c r="AU15" s="5"/>
      <c r="AV15" s="5"/>
      <c r="AW15" s="4">
        <v>34</v>
      </c>
      <c r="AX15" s="6">
        <v>2335.46</v>
      </c>
      <c r="AY15" s="4">
        <v>35</v>
      </c>
      <c r="AZ15" s="6">
        <v>2335.27</v>
      </c>
      <c r="BA15" s="5">
        <v>-0.0286</v>
      </c>
      <c r="BB15" s="5">
        <v>0.0001</v>
      </c>
      <c r="BC15" s="4"/>
      <c r="BD15" s="6"/>
      <c r="BE15" s="4"/>
      <c r="BF15" s="6"/>
      <c r="BG15" s="5"/>
      <c r="BH15" s="5"/>
      <c r="BI15" s="4">
        <v>21</v>
      </c>
      <c r="BJ15" s="6">
        <v>1590.69</v>
      </c>
      <c r="BK15" s="4">
        <v>58</v>
      </c>
      <c r="BL15" s="6">
        <v>4244.77</v>
      </c>
      <c r="BM15" s="5">
        <v>-0.6379</v>
      </c>
      <c r="BN15" s="5">
        <v>-0.6253</v>
      </c>
      <c r="BO15" s="4">
        <v>18</v>
      </c>
      <c r="BP15" s="6">
        <v>1091.04</v>
      </c>
      <c r="BQ15" s="4">
        <v>15</v>
      </c>
      <c r="BR15" s="6">
        <v>857.68</v>
      </c>
      <c r="BS15" s="5">
        <v>0.2</v>
      </c>
      <c r="BT15" s="5">
        <v>0.2721</v>
      </c>
      <c r="BU15" s="4">
        <v>30</v>
      </c>
      <c r="BV15" s="6">
        <v>2074.71</v>
      </c>
      <c r="BW15" s="4">
        <v>20</v>
      </c>
      <c r="BX15" s="6">
        <v>1315.22</v>
      </c>
      <c r="BY15" s="5">
        <v>0.5</v>
      </c>
      <c r="BZ15" s="5">
        <v>0.5775</v>
      </c>
      <c r="CA15" s="4">
        <v>17</v>
      </c>
      <c r="CB15" s="6">
        <v>1085.74</v>
      </c>
      <c r="CC15" s="4">
        <v>9</v>
      </c>
      <c r="CD15" s="6">
        <v>616.46</v>
      </c>
      <c r="CE15" s="5">
        <v>0.8889</v>
      </c>
      <c r="CF15" s="5">
        <v>0.7612</v>
      </c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>
        <v>10</v>
      </c>
      <c r="DF15" s="6">
        <v>677.51</v>
      </c>
      <c r="DG15" s="4">
        <v>3</v>
      </c>
      <c r="DH15" s="6">
        <v>196.05</v>
      </c>
      <c r="DI15" s="5">
        <v>2.3333</v>
      </c>
      <c r="DJ15" s="5">
        <v>2.4558</v>
      </c>
      <c r="DK15" s="4"/>
      <c r="DL15" s="6"/>
      <c r="DM15" s="4">
        <v>2</v>
      </c>
      <c r="DN15" s="6">
        <v>139.98</v>
      </c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>
        <v>11</v>
      </c>
      <c r="EJ15" s="6">
        <v>764.06</v>
      </c>
      <c r="EK15" s="4">
        <v>2</v>
      </c>
      <c r="EL15" s="6">
        <v>138.92</v>
      </c>
      <c r="EM15" s="5">
        <v>4.5</v>
      </c>
      <c r="EN15" s="5">
        <v>4.5</v>
      </c>
      <c r="EO15" s="4">
        <v>13</v>
      </c>
      <c r="EP15" s="6">
        <v>881.13</v>
      </c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>
        <v>7</v>
      </c>
      <c r="FV15" s="6">
        <v>481.64</v>
      </c>
      <c r="FW15" s="5"/>
      <c r="FX15" s="5"/>
      <c r="FY15" s="4"/>
      <c r="FZ15" s="6"/>
      <c r="GA15" s="4">
        <v>1</v>
      </c>
      <c r="GB15" s="6">
        <v>54.41</v>
      </c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/>
      <c r="IB15" s="6"/>
      <c r="IC15" s="4"/>
      <c r="ID15" s="6"/>
      <c r="IE15" s="5"/>
      <c r="IF15" s="5"/>
      <c r="IG15" s="4"/>
      <c r="IH15" s="6"/>
      <c r="II15" s="4"/>
      <c r="IJ15" s="6"/>
      <c r="IK15" s="5"/>
      <c r="IL15" s="5"/>
      <c r="IM15" s="4"/>
      <c r="IN15" s="6"/>
      <c r="IO15" s="4"/>
      <c r="IP15" s="6"/>
      <c r="IQ15" s="5"/>
      <c r="IR15" s="5"/>
      <c r="IS15" s="4"/>
      <c r="IT15" s="6"/>
      <c r="IU15" s="4"/>
      <c r="IV15" s="6"/>
      <c r="IW15" s="5"/>
      <c r="IX15" s="5"/>
      <c r="IY15" s="4"/>
      <c r="IZ15" s="6"/>
      <c r="JA15" s="4"/>
      <c r="JB15" s="6"/>
      <c r="JC15" s="5"/>
      <c r="JD15" s="5"/>
      <c r="JE15" s="4"/>
      <c r="JF15" s="6"/>
      <c r="JG15" s="4"/>
      <c r="JH15" s="6"/>
      <c r="JI15" s="5"/>
      <c r="JJ15" s="5"/>
      <c r="JK15" s="4">
        <v>238</v>
      </c>
      <c r="JL15" s="4"/>
      <c r="JM15" s="4"/>
      <c r="JN15" s="4"/>
      <c r="JO15" s="4"/>
      <c r="JP15" s="4"/>
      <c r="JQ15" s="4"/>
      <c r="JR15" s="4">
        <v>212</v>
      </c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>
        <v>436</v>
      </c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>
        <v>177</v>
      </c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>
        <v>450</v>
      </c>
      <c r="LH15" s="4"/>
      <c r="LI15" s="4"/>
      <c r="LJ15" s="4"/>
      <c r="LK15" s="4"/>
      <c r="LL15" s="4"/>
      <c r="LM15" s="4">
        <v>450</v>
      </c>
    </row>
    <row r="16">
      <c r="A16" s="3" t="s">
        <v>136</v>
      </c>
      <c r="B16" s="3" t="s">
        <v>137</v>
      </c>
      <c r="C16" s="3" t="s">
        <v>138</v>
      </c>
      <c r="D16" s="3" t="s">
        <v>139</v>
      </c>
      <c r="E16" s="3" t="s">
        <v>142</v>
      </c>
      <c r="F16" s="3" t="s">
        <v>142</v>
      </c>
      <c r="G16" s="3" t="s">
        <v>142</v>
      </c>
      <c r="H16" s="3" t="s">
        <v>143</v>
      </c>
      <c r="I16" s="3" t="s">
        <v>236</v>
      </c>
      <c r="J16" s="3" t="s">
        <v>228</v>
      </c>
      <c r="K16" s="4">
        <v>428</v>
      </c>
      <c r="L16" s="4">
        <f>=ROUNDDOWN(13.375,0)</f>
      </c>
      <c r="M16" s="4">
        <v>1016</v>
      </c>
      <c r="N16" s="5">
        <v>0.9922</v>
      </c>
      <c r="O16" s="4"/>
      <c r="P16" s="4">
        <f>=ROUNDDOWN({0},0)</f>
      </c>
      <c r="Q16" s="4"/>
      <c r="R16" s="5"/>
      <c r="S16" s="4">
        <v>375</v>
      </c>
      <c r="T16" s="6">
        <v>25950.11</v>
      </c>
      <c r="U16" s="4">
        <v>163</v>
      </c>
      <c r="V16" s="6">
        <v>10978.09</v>
      </c>
      <c r="W16" s="5">
        <v>1.3006</v>
      </c>
      <c r="X16" s="5">
        <v>1.3638</v>
      </c>
      <c r="Y16" s="4">
        <v>125</v>
      </c>
      <c r="Z16" s="6">
        <v>8352.17</v>
      </c>
      <c r="AA16" s="4"/>
      <c r="AB16" s="6"/>
      <c r="AC16" s="5"/>
      <c r="AD16" s="5"/>
      <c r="AE16" s="4">
        <v>98</v>
      </c>
      <c r="AF16" s="6">
        <v>7339.08</v>
      </c>
      <c r="AG16" s="4">
        <v>14</v>
      </c>
      <c r="AH16" s="6">
        <v>1089.91</v>
      </c>
      <c r="AI16" s="5">
        <v>6</v>
      </c>
      <c r="AJ16" s="5">
        <v>5.7337</v>
      </c>
      <c r="AK16" s="4"/>
      <c r="AL16" s="6"/>
      <c r="AM16" s="4"/>
      <c r="AN16" s="6"/>
      <c r="AO16" s="5"/>
      <c r="AP16" s="5"/>
      <c r="AQ16" s="4"/>
      <c r="AR16" s="6"/>
      <c r="AS16" s="4"/>
      <c r="AT16" s="6"/>
      <c r="AU16" s="5"/>
      <c r="AV16" s="5"/>
      <c r="AW16" s="4">
        <v>57</v>
      </c>
      <c r="AX16" s="6">
        <v>3956.18</v>
      </c>
      <c r="AY16" s="4">
        <v>50</v>
      </c>
      <c r="AZ16" s="6">
        <v>3437.3</v>
      </c>
      <c r="BA16" s="5">
        <v>0.14</v>
      </c>
      <c r="BB16" s="5">
        <v>0.151</v>
      </c>
      <c r="BC16" s="4">
        <v>33</v>
      </c>
      <c r="BD16" s="6">
        <v>2070.24</v>
      </c>
      <c r="BE16" s="4">
        <v>42</v>
      </c>
      <c r="BF16" s="6">
        <v>2658.39</v>
      </c>
      <c r="BG16" s="5">
        <v>-0.2143</v>
      </c>
      <c r="BH16" s="5">
        <v>-0.2212</v>
      </c>
      <c r="BI16" s="4">
        <v>31</v>
      </c>
      <c r="BJ16" s="6">
        <v>2204.23</v>
      </c>
      <c r="BK16" s="4">
        <v>37</v>
      </c>
      <c r="BL16" s="6">
        <v>2562.13</v>
      </c>
      <c r="BM16" s="5">
        <v>-0.1622</v>
      </c>
      <c r="BN16" s="5">
        <v>-0.1397</v>
      </c>
      <c r="BO16" s="4">
        <v>24</v>
      </c>
      <c r="BP16" s="6">
        <v>1499.66</v>
      </c>
      <c r="BQ16" s="4">
        <v>10</v>
      </c>
      <c r="BR16" s="6">
        <v>573.06</v>
      </c>
      <c r="BS16" s="5">
        <v>1.4</v>
      </c>
      <c r="BT16" s="5">
        <v>1.6169</v>
      </c>
      <c r="BU16" s="4"/>
      <c r="BV16" s="6"/>
      <c r="BW16" s="4"/>
      <c r="BX16" s="6"/>
      <c r="BY16" s="5"/>
      <c r="BZ16" s="5"/>
      <c r="CA16" s="4">
        <v>7</v>
      </c>
      <c r="CB16" s="6">
        <v>528.55</v>
      </c>
      <c r="CC16" s="4">
        <v>10</v>
      </c>
      <c r="CD16" s="6">
        <v>657.3</v>
      </c>
      <c r="CE16" s="5">
        <v>-0.3</v>
      </c>
      <c r="CF16" s="5">
        <v>-0.1959</v>
      </c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/>
      <c r="IB16" s="6"/>
      <c r="IC16" s="4"/>
      <c r="ID16" s="6"/>
      <c r="IE16" s="5"/>
      <c r="IF16" s="5"/>
      <c r="IG16" s="4"/>
      <c r="IH16" s="6"/>
      <c r="II16" s="4"/>
      <c r="IJ16" s="6"/>
      <c r="IK16" s="5"/>
      <c r="IL16" s="5"/>
      <c r="IM16" s="4"/>
      <c r="IN16" s="6"/>
      <c r="IO16" s="4"/>
      <c r="IP16" s="6"/>
      <c r="IQ16" s="5"/>
      <c r="IR16" s="5"/>
      <c r="IS16" s="4"/>
      <c r="IT16" s="6"/>
      <c r="IU16" s="4"/>
      <c r="IV16" s="6"/>
      <c r="IW16" s="5"/>
      <c r="IX16" s="5"/>
      <c r="IY16" s="4"/>
      <c r="IZ16" s="6"/>
      <c r="JA16" s="4"/>
      <c r="JB16" s="6"/>
      <c r="JC16" s="5"/>
      <c r="JD16" s="5"/>
      <c r="JE16" s="4"/>
      <c r="JF16" s="6"/>
      <c r="JG16" s="4"/>
      <c r="JH16" s="6"/>
      <c r="JI16" s="5"/>
      <c r="JJ16" s="5"/>
      <c r="JK16" s="4">
        <v>330</v>
      </c>
      <c r="JL16" s="4"/>
      <c r="JM16" s="4"/>
      <c r="JN16" s="4"/>
      <c r="JO16" s="4"/>
      <c r="JP16" s="4"/>
      <c r="JQ16" s="4"/>
      <c r="JR16" s="4">
        <v>98</v>
      </c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>
        <v>167</v>
      </c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>
        <v>339</v>
      </c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>
        <v>200</v>
      </c>
      <c r="LH16" s="4"/>
      <c r="LI16" s="4"/>
      <c r="LJ16" s="4"/>
      <c r="LK16" s="4"/>
      <c r="LL16" s="4"/>
      <c r="LM16" s="4">
        <v>310</v>
      </c>
    </row>
    <row r="17">
      <c r="A17" s="3" t="s">
        <v>136</v>
      </c>
      <c r="B17" s="3" t="s">
        <v>137</v>
      </c>
      <c r="C17" s="3" t="s">
        <v>138</v>
      </c>
      <c r="D17" s="3" t="s">
        <v>139</v>
      </c>
      <c r="E17" s="3" t="s">
        <v>142</v>
      </c>
      <c r="F17" s="3" t="s">
        <v>142</v>
      </c>
      <c r="G17" s="3" t="s">
        <v>142</v>
      </c>
      <c r="H17" s="3" t="s">
        <v>143</v>
      </c>
      <c r="I17" s="3" t="s">
        <v>237</v>
      </c>
      <c r="J17" s="3" t="s">
        <v>226</v>
      </c>
      <c r="K17" s="4">
        <v>499</v>
      </c>
      <c r="L17" s="4">
        <f>=ROUNDDOWN(14.940119760479,0)</f>
      </c>
      <c r="M17" s="4">
        <v>998</v>
      </c>
      <c r="N17" s="5">
        <v>0.9549</v>
      </c>
      <c r="O17" s="4"/>
      <c r="P17" s="4">
        <f>=ROUNDDOWN({0},0)</f>
      </c>
      <c r="Q17" s="4"/>
      <c r="R17" s="5"/>
      <c r="S17" s="4">
        <v>342</v>
      </c>
      <c r="T17" s="6">
        <v>23175.73</v>
      </c>
      <c r="U17" s="4">
        <v>251</v>
      </c>
      <c r="V17" s="6">
        <v>16240.54</v>
      </c>
      <c r="W17" s="5">
        <v>0.3625</v>
      </c>
      <c r="X17" s="5">
        <v>0.427</v>
      </c>
      <c r="Y17" s="4">
        <v>155</v>
      </c>
      <c r="Z17" s="6">
        <v>10012.65</v>
      </c>
      <c r="AA17" s="4">
        <v>58</v>
      </c>
      <c r="AB17" s="6">
        <v>3476.25</v>
      </c>
      <c r="AC17" s="5">
        <v>1.6724</v>
      </c>
      <c r="AD17" s="5">
        <v>1.8803</v>
      </c>
      <c r="AE17" s="4">
        <v>55</v>
      </c>
      <c r="AF17" s="6">
        <v>4310.27</v>
      </c>
      <c r="AG17" s="4">
        <v>19</v>
      </c>
      <c r="AH17" s="6">
        <v>1379.88</v>
      </c>
      <c r="AI17" s="5">
        <v>1.8947</v>
      </c>
      <c r="AJ17" s="5">
        <v>2.1237</v>
      </c>
      <c r="AK17" s="4">
        <v>1</v>
      </c>
      <c r="AL17" s="6">
        <v>124.99</v>
      </c>
      <c r="AM17" s="4"/>
      <c r="AN17" s="6"/>
      <c r="AO17" s="5"/>
      <c r="AP17" s="5"/>
      <c r="AQ17" s="4"/>
      <c r="AR17" s="6"/>
      <c r="AS17" s="4"/>
      <c r="AT17" s="6"/>
      <c r="AU17" s="5"/>
      <c r="AV17" s="5"/>
      <c r="AW17" s="4">
        <v>77</v>
      </c>
      <c r="AX17" s="6">
        <v>5048.6</v>
      </c>
      <c r="AY17" s="4">
        <v>82</v>
      </c>
      <c r="AZ17" s="6">
        <v>5358.48</v>
      </c>
      <c r="BA17" s="5">
        <v>-0.061</v>
      </c>
      <c r="BB17" s="5">
        <v>-0.0578</v>
      </c>
      <c r="BC17" s="4"/>
      <c r="BD17" s="6"/>
      <c r="BE17" s="4"/>
      <c r="BF17" s="6"/>
      <c r="BG17" s="5"/>
      <c r="BH17" s="5"/>
      <c r="BI17" s="4">
        <v>20</v>
      </c>
      <c r="BJ17" s="6">
        <v>1441.22</v>
      </c>
      <c r="BK17" s="4">
        <v>42</v>
      </c>
      <c r="BL17" s="6">
        <v>2788.95</v>
      </c>
      <c r="BM17" s="5">
        <v>-0.5238</v>
      </c>
      <c r="BN17" s="5">
        <v>-0.4832</v>
      </c>
      <c r="BO17" s="4">
        <v>6</v>
      </c>
      <c r="BP17" s="6">
        <v>369.21</v>
      </c>
      <c r="BQ17" s="4">
        <v>6</v>
      </c>
      <c r="BR17" s="6">
        <v>325.4</v>
      </c>
      <c r="BS17" s="5"/>
      <c r="BT17" s="5">
        <v>0.1346</v>
      </c>
      <c r="BU17" s="4">
        <v>15</v>
      </c>
      <c r="BV17" s="6">
        <v>985.44</v>
      </c>
      <c r="BW17" s="4">
        <v>12</v>
      </c>
      <c r="BX17" s="6">
        <v>781.82</v>
      </c>
      <c r="BY17" s="5">
        <v>0.25</v>
      </c>
      <c r="BZ17" s="5">
        <v>0.2604</v>
      </c>
      <c r="CA17" s="4">
        <v>8</v>
      </c>
      <c r="CB17" s="6">
        <v>479.1</v>
      </c>
      <c r="CC17" s="4">
        <v>21</v>
      </c>
      <c r="CD17" s="6">
        <v>1330.45</v>
      </c>
      <c r="CE17" s="5">
        <v>-0.619</v>
      </c>
      <c r="CF17" s="5">
        <v>-0.6399</v>
      </c>
      <c r="CG17" s="4"/>
      <c r="CH17" s="6"/>
      <c r="CI17" s="4"/>
      <c r="CJ17" s="6"/>
      <c r="CK17" s="5"/>
      <c r="CL17" s="5"/>
      <c r="CM17" s="4"/>
      <c r="CN17" s="6"/>
      <c r="CO17" s="4"/>
      <c r="CP17" s="6"/>
      <c r="CQ17" s="5"/>
      <c r="CR17" s="5"/>
      <c r="CS17" s="4"/>
      <c r="CT17" s="6"/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>
        <v>1</v>
      </c>
      <c r="DF17" s="6">
        <v>69.46</v>
      </c>
      <c r="DG17" s="4">
        <v>7</v>
      </c>
      <c r="DH17" s="6">
        <v>506.12</v>
      </c>
      <c r="DI17" s="5">
        <v>-0.8571</v>
      </c>
      <c r="DJ17" s="5">
        <v>-0.8628</v>
      </c>
      <c r="DK17" s="4">
        <v>1</v>
      </c>
      <c r="DL17" s="6">
        <v>128.79</v>
      </c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>
        <v>3</v>
      </c>
      <c r="EP17" s="6">
        <v>206</v>
      </c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>
        <v>4</v>
      </c>
      <c r="FV17" s="6">
        <v>293.19</v>
      </c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/>
      <c r="IB17" s="6"/>
      <c r="IC17" s="4"/>
      <c r="ID17" s="6"/>
      <c r="IE17" s="5"/>
      <c r="IF17" s="5"/>
      <c r="IG17" s="4"/>
      <c r="IH17" s="6"/>
      <c r="II17" s="4"/>
      <c r="IJ17" s="6"/>
      <c r="IK17" s="5"/>
      <c r="IL17" s="5"/>
      <c r="IM17" s="4"/>
      <c r="IN17" s="6"/>
      <c r="IO17" s="4"/>
      <c r="IP17" s="6"/>
      <c r="IQ17" s="5"/>
      <c r="IR17" s="5"/>
      <c r="IS17" s="4"/>
      <c r="IT17" s="6"/>
      <c r="IU17" s="4"/>
      <c r="IV17" s="6"/>
      <c r="IW17" s="5"/>
      <c r="IX17" s="5"/>
      <c r="IY17" s="4"/>
      <c r="IZ17" s="6"/>
      <c r="JA17" s="4"/>
      <c r="JB17" s="6"/>
      <c r="JC17" s="5"/>
      <c r="JD17" s="5"/>
      <c r="JE17" s="4"/>
      <c r="JF17" s="6"/>
      <c r="JG17" s="4"/>
      <c r="JH17" s="6"/>
      <c r="JI17" s="5"/>
      <c r="JJ17" s="5"/>
      <c r="JK17" s="4">
        <v>371</v>
      </c>
      <c r="JL17" s="4"/>
      <c r="JM17" s="4"/>
      <c r="JN17" s="4"/>
      <c r="JO17" s="4"/>
      <c r="JP17" s="4"/>
      <c r="JQ17" s="4"/>
      <c r="JR17" s="4">
        <v>128</v>
      </c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>
        <v>270</v>
      </c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>
        <v>228</v>
      </c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>
        <v>180</v>
      </c>
      <c r="LH17" s="4"/>
      <c r="LI17" s="4"/>
      <c r="LJ17" s="4"/>
      <c r="LK17" s="4"/>
      <c r="LL17" s="4"/>
      <c r="LM17" s="4">
        <v>320</v>
      </c>
    </row>
    <row r="18">
      <c r="A18" s="3" t="s">
        <v>136</v>
      </c>
      <c r="B18" s="3" t="s">
        <v>137</v>
      </c>
      <c r="C18" s="3" t="s">
        <v>138</v>
      </c>
      <c r="D18" s="3" t="s">
        <v>139</v>
      </c>
      <c r="E18" s="3" t="s">
        <v>142</v>
      </c>
      <c r="F18" s="3" t="s">
        <v>142</v>
      </c>
      <c r="G18" s="3" t="s">
        <v>142</v>
      </c>
      <c r="H18" s="3" t="s">
        <v>143</v>
      </c>
      <c r="I18" s="3" t="s">
        <v>238</v>
      </c>
      <c r="J18" s="3" t="s">
        <v>228</v>
      </c>
      <c r="K18" s="4">
        <v>592</v>
      </c>
      <c r="L18" s="4">
        <f>=ROUNDDOWN(21.9259259259259,0)</f>
      </c>
      <c r="M18" s="4">
        <v>804</v>
      </c>
      <c r="N18" s="5">
        <v>0.9839</v>
      </c>
      <c r="O18" s="4"/>
      <c r="P18" s="4">
        <f>=ROUNDDOWN({0},0)</f>
      </c>
      <c r="Q18" s="4"/>
      <c r="R18" s="5"/>
      <c r="S18" s="4">
        <v>252</v>
      </c>
      <c r="T18" s="6">
        <v>16847.5</v>
      </c>
      <c r="U18" s="4">
        <v>98</v>
      </c>
      <c r="V18" s="6">
        <v>6557.48</v>
      </c>
      <c r="W18" s="5">
        <v>1.5714</v>
      </c>
      <c r="X18" s="5">
        <v>1.5692</v>
      </c>
      <c r="Y18" s="4">
        <v>75</v>
      </c>
      <c r="Z18" s="6">
        <v>4857.55</v>
      </c>
      <c r="AA18" s="4"/>
      <c r="AB18" s="6"/>
      <c r="AC18" s="5"/>
      <c r="AD18" s="5"/>
      <c r="AE18" s="4">
        <v>77</v>
      </c>
      <c r="AF18" s="6">
        <v>5469.33</v>
      </c>
      <c r="AG18" s="4">
        <v>6</v>
      </c>
      <c r="AH18" s="6">
        <v>507.08</v>
      </c>
      <c r="AI18" s="5">
        <v>11.8333</v>
      </c>
      <c r="AJ18" s="5">
        <v>9.7859</v>
      </c>
      <c r="AK18" s="4"/>
      <c r="AL18" s="6"/>
      <c r="AM18" s="4"/>
      <c r="AN18" s="6"/>
      <c r="AO18" s="5"/>
      <c r="AP18" s="5"/>
      <c r="AQ18" s="4"/>
      <c r="AR18" s="6"/>
      <c r="AS18" s="4"/>
      <c r="AT18" s="6"/>
      <c r="AU18" s="5"/>
      <c r="AV18" s="5"/>
      <c r="AW18" s="4">
        <v>24</v>
      </c>
      <c r="AX18" s="6">
        <v>1662.71</v>
      </c>
      <c r="AY18" s="4">
        <v>34</v>
      </c>
      <c r="AZ18" s="6">
        <v>2298.04</v>
      </c>
      <c r="BA18" s="5">
        <v>-0.2941</v>
      </c>
      <c r="BB18" s="5">
        <v>-0.2765</v>
      </c>
      <c r="BC18" s="4">
        <v>26</v>
      </c>
      <c r="BD18" s="6">
        <v>1694.99</v>
      </c>
      <c r="BE18" s="4">
        <v>30</v>
      </c>
      <c r="BF18" s="6">
        <v>1923.51</v>
      </c>
      <c r="BG18" s="5">
        <v>-0.1333</v>
      </c>
      <c r="BH18" s="5">
        <v>-0.1188</v>
      </c>
      <c r="BI18" s="4">
        <v>21</v>
      </c>
      <c r="BJ18" s="6">
        <v>1403.67</v>
      </c>
      <c r="BK18" s="4">
        <v>12</v>
      </c>
      <c r="BL18" s="6">
        <v>853.26</v>
      </c>
      <c r="BM18" s="5">
        <v>0.75</v>
      </c>
      <c r="BN18" s="5">
        <v>0.6451</v>
      </c>
      <c r="BO18" s="4">
        <v>15</v>
      </c>
      <c r="BP18" s="6">
        <v>823.39</v>
      </c>
      <c r="BQ18" s="4">
        <v>13</v>
      </c>
      <c r="BR18" s="6">
        <v>782.27</v>
      </c>
      <c r="BS18" s="5">
        <v>0.1538</v>
      </c>
      <c r="BT18" s="5">
        <v>0.0526</v>
      </c>
      <c r="BU18" s="4"/>
      <c r="BV18" s="6"/>
      <c r="BW18" s="4"/>
      <c r="BX18" s="6"/>
      <c r="BY18" s="5"/>
      <c r="BZ18" s="5"/>
      <c r="CA18" s="4">
        <v>13</v>
      </c>
      <c r="CB18" s="6">
        <v>837.17</v>
      </c>
      <c r="CC18" s="4">
        <v>2</v>
      </c>
      <c r="CD18" s="6">
        <v>138.91</v>
      </c>
      <c r="CE18" s="5">
        <v>5.5</v>
      </c>
      <c r="CF18" s="5">
        <v>5.0267</v>
      </c>
      <c r="CG18" s="4"/>
      <c r="CH18" s="6"/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>
        <v>1</v>
      </c>
      <c r="DL18" s="6">
        <v>98.69</v>
      </c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>
        <v>1</v>
      </c>
      <c r="GB18" s="6">
        <v>54.41</v>
      </c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/>
      <c r="IB18" s="6"/>
      <c r="IC18" s="4"/>
      <c r="ID18" s="6"/>
      <c r="IE18" s="5"/>
      <c r="IF18" s="5"/>
      <c r="IG18" s="4"/>
      <c r="IH18" s="6"/>
      <c r="II18" s="4"/>
      <c r="IJ18" s="6"/>
      <c r="IK18" s="5"/>
      <c r="IL18" s="5"/>
      <c r="IM18" s="4"/>
      <c r="IN18" s="6"/>
      <c r="IO18" s="4"/>
      <c r="IP18" s="6"/>
      <c r="IQ18" s="5"/>
      <c r="IR18" s="5"/>
      <c r="IS18" s="4"/>
      <c r="IT18" s="6"/>
      <c r="IU18" s="4"/>
      <c r="IV18" s="6"/>
      <c r="IW18" s="5"/>
      <c r="IX18" s="5"/>
      <c r="IY18" s="4"/>
      <c r="IZ18" s="6"/>
      <c r="JA18" s="4"/>
      <c r="JB18" s="6"/>
      <c r="JC18" s="5"/>
      <c r="JD18" s="5"/>
      <c r="JE18" s="4"/>
      <c r="JF18" s="6"/>
      <c r="JG18" s="4"/>
      <c r="JH18" s="6"/>
      <c r="JI18" s="5"/>
      <c r="JJ18" s="5"/>
      <c r="JK18" s="4">
        <v>592</v>
      </c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>
        <v>249</v>
      </c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>
        <v>55</v>
      </c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>
        <v>180</v>
      </c>
      <c r="LH18" s="4"/>
      <c r="LI18" s="4"/>
      <c r="LJ18" s="4"/>
      <c r="LK18" s="4"/>
      <c r="LL18" s="4"/>
      <c r="LM18" s="4">
        <v>320</v>
      </c>
    </row>
    <row r="19">
      <c r="A19" s="3" t="s">
        <v>136</v>
      </c>
      <c r="B19" s="3" t="s">
        <v>137</v>
      </c>
      <c r="C19" s="3" t="s">
        <v>138</v>
      </c>
      <c r="D19" s="3" t="s">
        <v>139</v>
      </c>
      <c r="E19" s="3" t="s">
        <v>142</v>
      </c>
      <c r="F19" s="3" t="s">
        <v>142</v>
      </c>
      <c r="G19" s="3" t="s">
        <v>142</v>
      </c>
      <c r="H19" s="3" t="s">
        <v>143</v>
      </c>
      <c r="I19" s="3" t="s">
        <v>239</v>
      </c>
      <c r="J19" s="3" t="s">
        <v>228</v>
      </c>
      <c r="K19" s="4">
        <v>372</v>
      </c>
      <c r="L19" s="4">
        <f>=ROUNDDOWN(21.8823529411765,0)</f>
      </c>
      <c r="M19" s="4">
        <v>1009</v>
      </c>
      <c r="N19" s="5">
        <v>0.9911</v>
      </c>
      <c r="O19" s="4"/>
      <c r="P19" s="4">
        <f>=ROUNDDOWN({0},0)</f>
      </c>
      <c r="Q19" s="4"/>
      <c r="R19" s="5"/>
      <c r="S19" s="4">
        <v>112</v>
      </c>
      <c r="T19" s="6">
        <v>7506.82</v>
      </c>
      <c r="U19" s="4">
        <v>81</v>
      </c>
      <c r="V19" s="6">
        <v>5337.29</v>
      </c>
      <c r="W19" s="5">
        <v>0.3827</v>
      </c>
      <c r="X19" s="5">
        <v>0.4065</v>
      </c>
      <c r="Y19" s="4">
        <v>34</v>
      </c>
      <c r="Z19" s="6">
        <v>2169.98</v>
      </c>
      <c r="AA19" s="4"/>
      <c r="AB19" s="6"/>
      <c r="AC19" s="5"/>
      <c r="AD19" s="5"/>
      <c r="AE19" s="4">
        <v>30</v>
      </c>
      <c r="AF19" s="6">
        <v>2100.36</v>
      </c>
      <c r="AG19" s="4">
        <v>4</v>
      </c>
      <c r="AH19" s="6">
        <v>268.03</v>
      </c>
      <c r="AI19" s="5">
        <v>6.5</v>
      </c>
      <c r="AJ19" s="5">
        <v>6.8363</v>
      </c>
      <c r="AK19" s="4"/>
      <c r="AL19" s="6"/>
      <c r="AM19" s="4"/>
      <c r="AN19" s="6"/>
      <c r="AO19" s="5"/>
      <c r="AP19" s="5"/>
      <c r="AQ19" s="4"/>
      <c r="AR19" s="6"/>
      <c r="AS19" s="4"/>
      <c r="AT19" s="6"/>
      <c r="AU19" s="5"/>
      <c r="AV19" s="5"/>
      <c r="AW19" s="4">
        <v>21</v>
      </c>
      <c r="AX19" s="6">
        <v>1471.85</v>
      </c>
      <c r="AY19" s="4">
        <v>28</v>
      </c>
      <c r="AZ19" s="6">
        <v>1871.33</v>
      </c>
      <c r="BA19" s="5">
        <v>-0.25</v>
      </c>
      <c r="BB19" s="5">
        <v>-0.2135</v>
      </c>
      <c r="BC19" s="4">
        <v>8</v>
      </c>
      <c r="BD19" s="6">
        <v>506.36</v>
      </c>
      <c r="BE19" s="4">
        <v>21</v>
      </c>
      <c r="BF19" s="6">
        <v>1360.02</v>
      </c>
      <c r="BG19" s="5">
        <v>-0.619</v>
      </c>
      <c r="BH19" s="5">
        <v>-0.6277</v>
      </c>
      <c r="BI19" s="4">
        <v>4</v>
      </c>
      <c r="BJ19" s="6">
        <v>336.37</v>
      </c>
      <c r="BK19" s="4">
        <v>19</v>
      </c>
      <c r="BL19" s="6">
        <v>1307.02</v>
      </c>
      <c r="BM19" s="5">
        <v>-0.7895</v>
      </c>
      <c r="BN19" s="5">
        <v>-0.7426</v>
      </c>
      <c r="BO19" s="4">
        <v>8</v>
      </c>
      <c r="BP19" s="6">
        <v>425.29</v>
      </c>
      <c r="BQ19" s="4">
        <v>6</v>
      </c>
      <c r="BR19" s="6">
        <v>297.75</v>
      </c>
      <c r="BS19" s="5">
        <v>0.3333</v>
      </c>
      <c r="BT19" s="5">
        <v>0.4283</v>
      </c>
      <c r="BU19" s="4"/>
      <c r="BV19" s="6"/>
      <c r="BW19" s="4"/>
      <c r="BX19" s="6"/>
      <c r="BY19" s="5"/>
      <c r="BZ19" s="5"/>
      <c r="CA19" s="4">
        <v>6</v>
      </c>
      <c r="CB19" s="6">
        <v>400.47</v>
      </c>
      <c r="CC19" s="4">
        <v>3</v>
      </c>
      <c r="CD19" s="6">
        <v>233.14</v>
      </c>
      <c r="CE19" s="5">
        <v>1</v>
      </c>
      <c r="CF19" s="5">
        <v>0.7177</v>
      </c>
      <c r="CG19" s="4"/>
      <c r="CH19" s="6"/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>
        <v>1</v>
      </c>
      <c r="EV19" s="6">
        <v>96.14</v>
      </c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/>
      <c r="IB19" s="6"/>
      <c r="IC19" s="4"/>
      <c r="ID19" s="6"/>
      <c r="IE19" s="5"/>
      <c r="IF19" s="5"/>
      <c r="IG19" s="4"/>
      <c r="IH19" s="6"/>
      <c r="II19" s="4"/>
      <c r="IJ19" s="6"/>
      <c r="IK19" s="5"/>
      <c r="IL19" s="5"/>
      <c r="IM19" s="4"/>
      <c r="IN19" s="6"/>
      <c r="IO19" s="4"/>
      <c r="IP19" s="6"/>
      <c r="IQ19" s="5"/>
      <c r="IR19" s="5"/>
      <c r="IS19" s="4"/>
      <c r="IT19" s="6"/>
      <c r="IU19" s="4"/>
      <c r="IV19" s="6"/>
      <c r="IW19" s="5"/>
      <c r="IX19" s="5"/>
      <c r="IY19" s="4"/>
      <c r="IZ19" s="6"/>
      <c r="JA19" s="4"/>
      <c r="JB19" s="6"/>
      <c r="JC19" s="5"/>
      <c r="JD19" s="5"/>
      <c r="JE19" s="4"/>
      <c r="JF19" s="6"/>
      <c r="JG19" s="4"/>
      <c r="JH19" s="6"/>
      <c r="JI19" s="5"/>
      <c r="JJ19" s="5"/>
      <c r="JK19" s="4">
        <v>269</v>
      </c>
      <c r="JL19" s="4"/>
      <c r="JM19" s="4"/>
      <c r="JN19" s="4"/>
      <c r="JO19" s="4"/>
      <c r="JP19" s="4"/>
      <c r="JQ19" s="4"/>
      <c r="JR19" s="4">
        <v>103</v>
      </c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>
        <v>151</v>
      </c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>
        <v>358</v>
      </c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>
        <v>80</v>
      </c>
      <c r="LH19" s="4"/>
      <c r="LI19" s="4"/>
      <c r="LJ19" s="4"/>
      <c r="LK19" s="4"/>
      <c r="LL19" s="4"/>
      <c r="LM19" s="4">
        <v>420</v>
      </c>
    </row>
    <row r="20">
      <c r="A20" s="3" t="s">
        <v>136</v>
      </c>
      <c r="B20" s="3" t="s">
        <v>137</v>
      </c>
      <c r="C20" s="3" t="s">
        <v>138</v>
      </c>
      <c r="D20" s="3" t="s">
        <v>139</v>
      </c>
      <c r="E20" s="3" t="s">
        <v>142</v>
      </c>
      <c r="F20" s="3" t="s">
        <v>142</v>
      </c>
      <c r="G20" s="3" t="s">
        <v>142</v>
      </c>
      <c r="H20" s="3" t="s">
        <v>143</v>
      </c>
      <c r="I20" s="3" t="s">
        <v>240</v>
      </c>
      <c r="J20" s="3" t="s">
        <v>241</v>
      </c>
      <c r="K20" s="4"/>
      <c r="L20" s="4">
        <f>=ROUNDDOWN({0},0)</f>
      </c>
      <c r="M20" s="4"/>
      <c r="N20" s="5"/>
      <c r="O20" s="4"/>
      <c r="P20" s="4">
        <f>=ROUNDDOWN({0},0)</f>
      </c>
      <c r="Q20" s="4"/>
      <c r="R20" s="5"/>
      <c r="S20" s="4"/>
      <c r="T20" s="6"/>
      <c r="U20" s="4">
        <v>1</v>
      </c>
      <c r="V20" s="6">
        <v>51.81</v>
      </c>
      <c r="W20" s="5"/>
      <c r="X20" s="5"/>
      <c r="Y20" s="4"/>
      <c r="Z20" s="6"/>
      <c r="AA20" s="4"/>
      <c r="AB20" s="6"/>
      <c r="AC20" s="5"/>
      <c r="AD20" s="5"/>
      <c r="AE20" s="4"/>
      <c r="AF20" s="6"/>
      <c r="AG20" s="4"/>
      <c r="AH20" s="6"/>
      <c r="AI20" s="5"/>
      <c r="AJ20" s="5"/>
      <c r="AK20" s="4"/>
      <c r="AL20" s="6"/>
      <c r="AM20" s="4"/>
      <c r="AN20" s="6"/>
      <c r="AO20" s="5"/>
      <c r="AP20" s="5"/>
      <c r="AQ20" s="4"/>
      <c r="AR20" s="6"/>
      <c r="AS20" s="4"/>
      <c r="AT20" s="6"/>
      <c r="AU20" s="5"/>
      <c r="AV20" s="5"/>
      <c r="AW20" s="4"/>
      <c r="AX20" s="6"/>
      <c r="AY20" s="4"/>
      <c r="AZ20" s="6"/>
      <c r="BA20" s="5"/>
      <c r="BB20" s="5"/>
      <c r="BC20" s="4"/>
      <c r="BD20" s="6"/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/>
      <c r="BP20" s="6"/>
      <c r="BQ20" s="4"/>
      <c r="BR20" s="6"/>
      <c r="BS20" s="5"/>
      <c r="BT20" s="5"/>
      <c r="BU20" s="4"/>
      <c r="BV20" s="6"/>
      <c r="BW20" s="4"/>
      <c r="BX20" s="6"/>
      <c r="BY20" s="5"/>
      <c r="BZ20" s="5"/>
      <c r="CA20" s="4"/>
      <c r="CB20" s="6"/>
      <c r="CC20" s="4">
        <v>1</v>
      </c>
      <c r="CD20" s="6">
        <v>51.81</v>
      </c>
      <c r="CE20" s="5"/>
      <c r="CF20" s="5"/>
      <c r="CG20" s="4"/>
      <c r="CH20" s="6"/>
      <c r="CI20" s="4"/>
      <c r="CJ20" s="6"/>
      <c r="CK20" s="5"/>
      <c r="CL20" s="5"/>
      <c r="CM20" s="4"/>
      <c r="CN20" s="6"/>
      <c r="CO20" s="4"/>
      <c r="CP20" s="6"/>
      <c r="CQ20" s="5"/>
      <c r="CR20" s="5"/>
      <c r="CS20" s="4"/>
      <c r="CT20" s="6"/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/>
      <c r="IB20" s="6"/>
      <c r="IC20" s="4"/>
      <c r="ID20" s="6"/>
      <c r="IE20" s="5"/>
      <c r="IF20" s="5"/>
      <c r="IG20" s="4"/>
      <c r="IH20" s="6"/>
      <c r="II20" s="4"/>
      <c r="IJ20" s="6"/>
      <c r="IK20" s="5"/>
      <c r="IL20" s="5"/>
      <c r="IM20" s="4"/>
      <c r="IN20" s="6"/>
      <c r="IO20" s="4"/>
      <c r="IP20" s="6"/>
      <c r="IQ20" s="5"/>
      <c r="IR20" s="5"/>
      <c r="IS20" s="4"/>
      <c r="IT20" s="6"/>
      <c r="IU20" s="4"/>
      <c r="IV20" s="6"/>
      <c r="IW20" s="5"/>
      <c r="IX20" s="5"/>
      <c r="IY20" s="4"/>
      <c r="IZ20" s="6"/>
      <c r="JA20" s="4"/>
      <c r="JB20" s="6"/>
      <c r="JC20" s="5"/>
      <c r="JD20" s="5"/>
      <c r="JE20" s="4"/>
      <c r="JF20" s="6"/>
      <c r="JG20" s="4"/>
      <c r="JH20" s="6"/>
      <c r="JI20" s="5"/>
      <c r="JJ20" s="5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</row>
    <row r="21">
      <c r="A21" s="3" t="s">
        <v>136</v>
      </c>
      <c r="B21" s="3" t="s">
        <v>137</v>
      </c>
      <c r="C21" s="3" t="s">
        <v>138</v>
      </c>
      <c r="D21" s="3" t="s">
        <v>139</v>
      </c>
      <c r="E21" s="3" t="s">
        <v>142</v>
      </c>
      <c r="F21" s="3" t="s">
        <v>142</v>
      </c>
      <c r="G21" s="3" t="s">
        <v>142</v>
      </c>
      <c r="H21" s="3" t="s">
        <v>143</v>
      </c>
      <c r="I21" s="3" t="s">
        <v>230</v>
      </c>
      <c r="J21" s="3" t="s">
        <v>241</v>
      </c>
      <c r="K21" s="4"/>
      <c r="L21" s="4">
        <f>=ROUNDDOWN({0},0)</f>
      </c>
      <c r="M21" s="4"/>
      <c r="N21" s="5"/>
      <c r="O21" s="4"/>
      <c r="P21" s="4">
        <f>=ROUNDDOWN({0},0)</f>
      </c>
      <c r="Q21" s="4"/>
      <c r="R21" s="5"/>
      <c r="S21" s="4"/>
      <c r="T21" s="6"/>
      <c r="U21" s="4">
        <v>34</v>
      </c>
      <c r="V21" s="6">
        <v>2189.87</v>
      </c>
      <c r="W21" s="5"/>
      <c r="X21" s="5"/>
      <c r="Y21" s="4"/>
      <c r="Z21" s="6"/>
      <c r="AA21" s="4"/>
      <c r="AB21" s="6"/>
      <c r="AC21" s="5"/>
      <c r="AD21" s="5"/>
      <c r="AE21" s="4"/>
      <c r="AF21" s="6"/>
      <c r="AG21" s="4">
        <v>3</v>
      </c>
      <c r="AH21" s="6">
        <v>186.21</v>
      </c>
      <c r="AI21" s="5"/>
      <c r="AJ21" s="5"/>
      <c r="AK21" s="4"/>
      <c r="AL21" s="6"/>
      <c r="AM21" s="4"/>
      <c r="AN21" s="6"/>
      <c r="AO21" s="5"/>
      <c r="AP21" s="5"/>
      <c r="AQ21" s="4"/>
      <c r="AR21" s="6"/>
      <c r="AS21" s="4"/>
      <c r="AT21" s="6"/>
      <c r="AU21" s="5"/>
      <c r="AV21" s="5"/>
      <c r="AW21" s="4"/>
      <c r="AX21" s="6"/>
      <c r="AY21" s="4">
        <v>6</v>
      </c>
      <c r="AZ21" s="6">
        <v>416.76</v>
      </c>
      <c r="BA21" s="5"/>
      <c r="BB21" s="5"/>
      <c r="BC21" s="4"/>
      <c r="BD21" s="6"/>
      <c r="BE21" s="4"/>
      <c r="BF21" s="6"/>
      <c r="BG21" s="5"/>
      <c r="BH21" s="5"/>
      <c r="BI21" s="4"/>
      <c r="BJ21" s="6"/>
      <c r="BK21" s="4">
        <v>6</v>
      </c>
      <c r="BL21" s="6">
        <v>421.8</v>
      </c>
      <c r="BM21" s="5"/>
      <c r="BN21" s="5"/>
      <c r="BO21" s="4"/>
      <c r="BP21" s="6"/>
      <c r="BQ21" s="4">
        <v>1</v>
      </c>
      <c r="BR21" s="6">
        <v>67.18</v>
      </c>
      <c r="BS21" s="5"/>
      <c r="BT21" s="5"/>
      <c r="BU21" s="4"/>
      <c r="BV21" s="6"/>
      <c r="BW21" s="4">
        <v>5</v>
      </c>
      <c r="BX21" s="6">
        <v>347.3</v>
      </c>
      <c r="BY21" s="5"/>
      <c r="BZ21" s="5"/>
      <c r="CA21" s="4"/>
      <c r="CB21" s="6"/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>
        <v>13</v>
      </c>
      <c r="DB21" s="6">
        <v>750.62</v>
      </c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/>
      <c r="IB21" s="6"/>
      <c r="IC21" s="4"/>
      <c r="ID21" s="6"/>
      <c r="IE21" s="5"/>
      <c r="IF21" s="5"/>
      <c r="IG21" s="4"/>
      <c r="IH21" s="6"/>
      <c r="II21" s="4"/>
      <c r="IJ21" s="6"/>
      <c r="IK21" s="5"/>
      <c r="IL21" s="5"/>
      <c r="IM21" s="4"/>
      <c r="IN21" s="6"/>
      <c r="IO21" s="4"/>
      <c r="IP21" s="6"/>
      <c r="IQ21" s="5"/>
      <c r="IR21" s="5"/>
      <c r="IS21" s="4"/>
      <c r="IT21" s="6"/>
      <c r="IU21" s="4"/>
      <c r="IV21" s="6"/>
      <c r="IW21" s="5"/>
      <c r="IX21" s="5"/>
      <c r="IY21" s="4"/>
      <c r="IZ21" s="6"/>
      <c r="JA21" s="4"/>
      <c r="JB21" s="6"/>
      <c r="JC21" s="5"/>
      <c r="JD21" s="5"/>
      <c r="JE21" s="4"/>
      <c r="JF21" s="6"/>
      <c r="JG21" s="4"/>
      <c r="JH21" s="6"/>
      <c r="JI21" s="5"/>
      <c r="JJ21" s="5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</row>
    <row r="22">
      <c r="A22" s="3" t="s">
        <v>136</v>
      </c>
      <c r="B22" s="3" t="s">
        <v>137</v>
      </c>
      <c r="C22" s="3" t="s">
        <v>138</v>
      </c>
      <c r="D22" s="3" t="s">
        <v>139</v>
      </c>
      <c r="E22" s="3" t="s">
        <v>144</v>
      </c>
      <c r="F22" s="3" t="s">
        <v>144</v>
      </c>
      <c r="G22" s="3" t="s">
        <v>144</v>
      </c>
      <c r="H22" s="3" t="s">
        <v>141</v>
      </c>
      <c r="I22" s="3" t="s">
        <v>227</v>
      </c>
      <c r="J22" s="3" t="s">
        <v>242</v>
      </c>
      <c r="K22" s="4">
        <v>352</v>
      </c>
      <c r="L22" s="4">
        <f>=ROUNDDOWN(5.44049459041731,0)</f>
      </c>
      <c r="M22" s="4">
        <v>1805</v>
      </c>
      <c r="N22" s="5">
        <v>0.992</v>
      </c>
      <c r="O22" s="4"/>
      <c r="P22" s="4">
        <f>=ROUNDDOWN({0},0)</f>
      </c>
      <c r="Q22" s="4"/>
      <c r="R22" s="5"/>
      <c r="S22" s="4">
        <v>669</v>
      </c>
      <c r="T22" s="6">
        <v>32078.17</v>
      </c>
      <c r="U22" s="4">
        <v>554</v>
      </c>
      <c r="V22" s="6">
        <v>26410.68</v>
      </c>
      <c r="W22" s="5">
        <v>0.2076</v>
      </c>
      <c r="X22" s="5">
        <v>0.2146</v>
      </c>
      <c r="Y22" s="4">
        <v>66</v>
      </c>
      <c r="Z22" s="6">
        <v>3290.94</v>
      </c>
      <c r="AA22" s="4">
        <v>137</v>
      </c>
      <c r="AB22" s="6">
        <v>6867.83</v>
      </c>
      <c r="AC22" s="5">
        <v>-0.5182</v>
      </c>
      <c r="AD22" s="5">
        <v>-0.5208</v>
      </c>
      <c r="AE22" s="4">
        <v>200</v>
      </c>
      <c r="AF22" s="6">
        <v>9652.97</v>
      </c>
      <c r="AG22" s="4">
        <v>12</v>
      </c>
      <c r="AH22" s="6">
        <v>574.79</v>
      </c>
      <c r="AI22" s="5">
        <v>15.6667</v>
      </c>
      <c r="AJ22" s="5">
        <v>15.7939</v>
      </c>
      <c r="AK22" s="4"/>
      <c r="AL22" s="6"/>
      <c r="AM22" s="4"/>
      <c r="AN22" s="6"/>
      <c r="AO22" s="5"/>
      <c r="AP22" s="5"/>
      <c r="AQ22" s="4"/>
      <c r="AR22" s="6"/>
      <c r="AS22" s="4"/>
      <c r="AT22" s="6"/>
      <c r="AU22" s="5"/>
      <c r="AV22" s="5"/>
      <c r="AW22" s="4">
        <v>170</v>
      </c>
      <c r="AX22" s="6">
        <v>8256.64</v>
      </c>
      <c r="AY22" s="4">
        <v>111</v>
      </c>
      <c r="AZ22" s="6">
        <v>5370.84</v>
      </c>
      <c r="BA22" s="5">
        <v>0.5315</v>
      </c>
      <c r="BB22" s="5">
        <v>0.5373</v>
      </c>
      <c r="BC22" s="4">
        <v>35</v>
      </c>
      <c r="BD22" s="6">
        <v>1747.27</v>
      </c>
      <c r="BE22" s="4">
        <v>67</v>
      </c>
      <c r="BF22" s="6">
        <v>3358.06</v>
      </c>
      <c r="BG22" s="5">
        <v>-0.4776</v>
      </c>
      <c r="BH22" s="5">
        <v>-0.4797</v>
      </c>
      <c r="BI22" s="4">
        <v>91</v>
      </c>
      <c r="BJ22" s="6">
        <v>4080.02</v>
      </c>
      <c r="BK22" s="4">
        <v>44</v>
      </c>
      <c r="BL22" s="6">
        <v>2018.34</v>
      </c>
      <c r="BM22" s="5">
        <v>1.0682</v>
      </c>
      <c r="BN22" s="5">
        <v>1.0215</v>
      </c>
      <c r="BO22" s="4">
        <v>29</v>
      </c>
      <c r="BP22" s="6">
        <v>1243</v>
      </c>
      <c r="BQ22" s="4">
        <v>90</v>
      </c>
      <c r="BR22" s="6">
        <v>3692.41</v>
      </c>
      <c r="BS22" s="5">
        <v>-0.6778</v>
      </c>
      <c r="BT22" s="5">
        <v>-0.6634</v>
      </c>
      <c r="BU22" s="4">
        <v>19</v>
      </c>
      <c r="BV22" s="6">
        <v>901.58</v>
      </c>
      <c r="BW22" s="4">
        <v>12</v>
      </c>
      <c r="BX22" s="6">
        <v>564.56</v>
      </c>
      <c r="BY22" s="5">
        <v>0.5833</v>
      </c>
      <c r="BZ22" s="5">
        <v>0.597</v>
      </c>
      <c r="CA22" s="4">
        <v>32</v>
      </c>
      <c r="CB22" s="6">
        <v>1567.65</v>
      </c>
      <c r="CC22" s="4">
        <v>45</v>
      </c>
      <c r="CD22" s="6">
        <v>2261.52</v>
      </c>
      <c r="CE22" s="5">
        <v>-0.2889</v>
      </c>
      <c r="CF22" s="5">
        <v>-0.3068</v>
      </c>
      <c r="CG22" s="4"/>
      <c r="CH22" s="6"/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/>
      <c r="CT22" s="6"/>
      <c r="CU22" s="4"/>
      <c r="CV22" s="6"/>
      <c r="CW22" s="5"/>
      <c r="CX22" s="5"/>
      <c r="CY22" s="4">
        <v>2</v>
      </c>
      <c r="CZ22" s="6">
        <v>90.72</v>
      </c>
      <c r="DA22" s="4">
        <v>1</v>
      </c>
      <c r="DB22" s="6">
        <v>48.19</v>
      </c>
      <c r="DC22" s="5">
        <v>1</v>
      </c>
      <c r="DD22" s="5">
        <v>0.8825</v>
      </c>
      <c r="DE22" s="4">
        <v>15</v>
      </c>
      <c r="DF22" s="6">
        <v>730.32</v>
      </c>
      <c r="DG22" s="4"/>
      <c r="DH22" s="6"/>
      <c r="DI22" s="5"/>
      <c r="DJ22" s="5"/>
      <c r="DK22" s="4">
        <v>2</v>
      </c>
      <c r="DL22" s="6">
        <v>149.98</v>
      </c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>
        <v>8</v>
      </c>
      <c r="ED22" s="6">
        <v>367.08</v>
      </c>
      <c r="EE22" s="4">
        <v>1</v>
      </c>
      <c r="EF22" s="6">
        <v>48.3</v>
      </c>
      <c r="EG22" s="5">
        <v>7</v>
      </c>
      <c r="EH22" s="5">
        <v>6.6</v>
      </c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>
        <v>34</v>
      </c>
      <c r="FV22" s="6">
        <v>1605.84</v>
      </c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/>
      <c r="IB22" s="6"/>
      <c r="IC22" s="4"/>
      <c r="ID22" s="6"/>
      <c r="IE22" s="5"/>
      <c r="IF22" s="5"/>
      <c r="IG22" s="4"/>
      <c r="IH22" s="6"/>
      <c r="II22" s="4"/>
      <c r="IJ22" s="6"/>
      <c r="IK22" s="5"/>
      <c r="IL22" s="5"/>
      <c r="IM22" s="4"/>
      <c r="IN22" s="6"/>
      <c r="IO22" s="4"/>
      <c r="IP22" s="6"/>
      <c r="IQ22" s="5"/>
      <c r="IR22" s="5"/>
      <c r="IS22" s="4"/>
      <c r="IT22" s="6"/>
      <c r="IU22" s="4"/>
      <c r="IV22" s="6"/>
      <c r="IW22" s="5"/>
      <c r="IX22" s="5"/>
      <c r="IY22" s="4"/>
      <c r="IZ22" s="6"/>
      <c r="JA22" s="4"/>
      <c r="JB22" s="6"/>
      <c r="JC22" s="5"/>
      <c r="JD22" s="5"/>
      <c r="JE22" s="4"/>
      <c r="JF22" s="6"/>
      <c r="JG22" s="4"/>
      <c r="JH22" s="6"/>
      <c r="JI22" s="5"/>
      <c r="JJ22" s="5"/>
      <c r="JK22" s="4">
        <v>352</v>
      </c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>
        <v>345</v>
      </c>
      <c r="KG22" s="4"/>
      <c r="KH22" s="4">
        <v>396</v>
      </c>
      <c r="KI22" s="4"/>
      <c r="KJ22" s="4"/>
      <c r="KK22" s="4"/>
      <c r="KL22" s="4"/>
      <c r="KM22" s="4"/>
      <c r="KN22" s="4"/>
      <c r="KO22" s="4"/>
      <c r="KP22" s="4"/>
      <c r="KQ22" s="4"/>
      <c r="KR22" s="4">
        <v>554</v>
      </c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>
        <v>370</v>
      </c>
      <c r="LH22" s="4"/>
      <c r="LI22" s="4"/>
      <c r="LJ22" s="4"/>
      <c r="LK22" s="4"/>
      <c r="LL22" s="4"/>
      <c r="LM22" s="4">
        <v>140</v>
      </c>
    </row>
    <row r="23">
      <c r="A23" s="3" t="s">
        <v>136</v>
      </c>
      <c r="B23" s="3" t="s">
        <v>137</v>
      </c>
      <c r="C23" s="3" t="s">
        <v>138</v>
      </c>
      <c r="D23" s="3" t="s">
        <v>139</v>
      </c>
      <c r="E23" s="3" t="s">
        <v>144</v>
      </c>
      <c r="F23" s="3" t="s">
        <v>144</v>
      </c>
      <c r="G23" s="3" t="s">
        <v>144</v>
      </c>
      <c r="H23" s="3" t="s">
        <v>141</v>
      </c>
      <c r="I23" s="3" t="s">
        <v>229</v>
      </c>
      <c r="J23" s="3" t="s">
        <v>243</v>
      </c>
      <c r="K23" s="4">
        <v>235</v>
      </c>
      <c r="L23" s="4">
        <f>=ROUNDDOWN(4.51923076923077,0)</f>
      </c>
      <c r="M23" s="4">
        <v>1736</v>
      </c>
      <c r="N23" s="5">
        <v>0.9691</v>
      </c>
      <c r="O23" s="4"/>
      <c r="P23" s="4">
        <f>=ROUNDDOWN({0},0)</f>
      </c>
      <c r="Q23" s="4"/>
      <c r="R23" s="5"/>
      <c r="S23" s="4">
        <v>480</v>
      </c>
      <c r="T23" s="6">
        <v>22926.28</v>
      </c>
      <c r="U23" s="4">
        <v>453</v>
      </c>
      <c r="V23" s="6">
        <v>21805.6</v>
      </c>
      <c r="W23" s="5">
        <v>0.0596</v>
      </c>
      <c r="X23" s="5">
        <v>0.0514</v>
      </c>
      <c r="Y23" s="4">
        <v>33</v>
      </c>
      <c r="Z23" s="6">
        <v>1622.07</v>
      </c>
      <c r="AA23" s="4">
        <v>83</v>
      </c>
      <c r="AB23" s="6">
        <v>4221.57</v>
      </c>
      <c r="AC23" s="5">
        <v>-0.6024</v>
      </c>
      <c r="AD23" s="5">
        <v>-0.6158</v>
      </c>
      <c r="AE23" s="4">
        <v>123</v>
      </c>
      <c r="AF23" s="6">
        <v>5851.57</v>
      </c>
      <c r="AG23" s="4">
        <v>16</v>
      </c>
      <c r="AH23" s="6">
        <v>758.48</v>
      </c>
      <c r="AI23" s="5">
        <v>6.6875</v>
      </c>
      <c r="AJ23" s="5">
        <v>6.7149</v>
      </c>
      <c r="AK23" s="4"/>
      <c r="AL23" s="6"/>
      <c r="AM23" s="4"/>
      <c r="AN23" s="6"/>
      <c r="AO23" s="5"/>
      <c r="AP23" s="5"/>
      <c r="AQ23" s="4"/>
      <c r="AR23" s="6"/>
      <c r="AS23" s="4"/>
      <c r="AT23" s="6"/>
      <c r="AU23" s="5"/>
      <c r="AV23" s="5"/>
      <c r="AW23" s="4">
        <v>190</v>
      </c>
      <c r="AX23" s="6">
        <v>9265.96</v>
      </c>
      <c r="AY23" s="4">
        <v>112</v>
      </c>
      <c r="AZ23" s="6">
        <v>5401.24</v>
      </c>
      <c r="BA23" s="5">
        <v>0.6964</v>
      </c>
      <c r="BB23" s="5">
        <v>0.7155</v>
      </c>
      <c r="BC23" s="4">
        <v>37</v>
      </c>
      <c r="BD23" s="6">
        <v>1831.94</v>
      </c>
      <c r="BE23" s="4">
        <v>94</v>
      </c>
      <c r="BF23" s="6">
        <v>4742.98</v>
      </c>
      <c r="BG23" s="5">
        <v>-0.6064</v>
      </c>
      <c r="BH23" s="5">
        <v>-0.6138</v>
      </c>
      <c r="BI23" s="4">
        <v>57</v>
      </c>
      <c r="BJ23" s="6">
        <v>2533.84</v>
      </c>
      <c r="BK23" s="4">
        <v>71</v>
      </c>
      <c r="BL23" s="6">
        <v>3212.1</v>
      </c>
      <c r="BM23" s="5">
        <v>-0.1972</v>
      </c>
      <c r="BN23" s="5">
        <v>-0.2112</v>
      </c>
      <c r="BO23" s="4">
        <v>15</v>
      </c>
      <c r="BP23" s="6">
        <v>628.51</v>
      </c>
      <c r="BQ23" s="4">
        <v>39</v>
      </c>
      <c r="BR23" s="6">
        <v>1622.91</v>
      </c>
      <c r="BS23" s="5">
        <v>-0.6154</v>
      </c>
      <c r="BT23" s="5">
        <v>-0.6127</v>
      </c>
      <c r="BU23" s="4">
        <v>13</v>
      </c>
      <c r="BV23" s="6">
        <v>613.53</v>
      </c>
      <c r="BW23" s="4">
        <v>10</v>
      </c>
      <c r="BX23" s="6">
        <v>449.31</v>
      </c>
      <c r="BY23" s="5">
        <v>0.3</v>
      </c>
      <c r="BZ23" s="5">
        <v>0.3655</v>
      </c>
      <c r="CA23" s="4">
        <v>3</v>
      </c>
      <c r="CB23" s="6">
        <v>144.87</v>
      </c>
      <c r="CC23" s="4">
        <v>19</v>
      </c>
      <c r="CD23" s="6">
        <v>958.11</v>
      </c>
      <c r="CE23" s="5">
        <v>-0.8421</v>
      </c>
      <c r="CF23" s="5">
        <v>-0.8488</v>
      </c>
      <c r="CG23" s="4"/>
      <c r="CH23" s="6"/>
      <c r="CI23" s="4"/>
      <c r="CJ23" s="6"/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/>
      <c r="CZ23" s="6"/>
      <c r="DA23" s="4">
        <v>2</v>
      </c>
      <c r="DB23" s="6">
        <v>96.38</v>
      </c>
      <c r="DC23" s="5"/>
      <c r="DD23" s="5"/>
      <c r="DE23" s="4">
        <v>8</v>
      </c>
      <c r="DF23" s="6">
        <v>390.52</v>
      </c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>
        <v>1</v>
      </c>
      <c r="ED23" s="6">
        <v>43.47</v>
      </c>
      <c r="EE23" s="4">
        <v>2</v>
      </c>
      <c r="EF23" s="6">
        <v>96.6</v>
      </c>
      <c r="EG23" s="5">
        <v>-0.5</v>
      </c>
      <c r="EH23" s="5">
        <v>-0.55</v>
      </c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>
        <v>5</v>
      </c>
      <c r="FV23" s="6">
        <v>245.92</v>
      </c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/>
      <c r="IB23" s="6"/>
      <c r="IC23" s="4"/>
      <c r="ID23" s="6"/>
      <c r="IE23" s="5"/>
      <c r="IF23" s="5"/>
      <c r="IG23" s="4"/>
      <c r="IH23" s="6"/>
      <c r="II23" s="4"/>
      <c r="IJ23" s="6"/>
      <c r="IK23" s="5"/>
      <c r="IL23" s="5"/>
      <c r="IM23" s="4"/>
      <c r="IN23" s="6"/>
      <c r="IO23" s="4"/>
      <c r="IP23" s="6"/>
      <c r="IQ23" s="5"/>
      <c r="IR23" s="5"/>
      <c r="IS23" s="4"/>
      <c r="IT23" s="6"/>
      <c r="IU23" s="4"/>
      <c r="IV23" s="6"/>
      <c r="IW23" s="5"/>
      <c r="IX23" s="5"/>
      <c r="IY23" s="4"/>
      <c r="IZ23" s="6"/>
      <c r="JA23" s="4"/>
      <c r="JB23" s="6"/>
      <c r="JC23" s="5"/>
      <c r="JD23" s="5"/>
      <c r="JE23" s="4"/>
      <c r="JF23" s="6"/>
      <c r="JG23" s="4"/>
      <c r="JH23" s="6"/>
      <c r="JI23" s="5"/>
      <c r="JJ23" s="5"/>
      <c r="JK23" s="4">
        <v>235</v>
      </c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>
        <v>218</v>
      </c>
      <c r="KG23" s="4"/>
      <c r="KH23" s="4">
        <v>388</v>
      </c>
      <c r="KI23" s="4"/>
      <c r="KJ23" s="4"/>
      <c r="KK23" s="4"/>
      <c r="KL23" s="4"/>
      <c r="KM23" s="4"/>
      <c r="KN23" s="4"/>
      <c r="KO23" s="4"/>
      <c r="KP23" s="4"/>
      <c r="KQ23" s="4"/>
      <c r="KR23" s="4">
        <v>600</v>
      </c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>
        <v>290</v>
      </c>
      <c r="LH23" s="4"/>
      <c r="LI23" s="4"/>
      <c r="LJ23" s="4"/>
      <c r="LK23" s="4"/>
      <c r="LL23" s="4"/>
      <c r="LM23" s="4">
        <v>240</v>
      </c>
    </row>
    <row r="24">
      <c r="A24" s="3" t="s">
        <v>136</v>
      </c>
      <c r="B24" s="3" t="s">
        <v>137</v>
      </c>
      <c r="C24" s="3" t="s">
        <v>138</v>
      </c>
      <c r="D24" s="3" t="s">
        <v>139</v>
      </c>
      <c r="E24" s="3" t="s">
        <v>144</v>
      </c>
      <c r="F24" s="3" t="s">
        <v>144</v>
      </c>
      <c r="G24" s="3" t="s">
        <v>144</v>
      </c>
      <c r="H24" s="3" t="s">
        <v>141</v>
      </c>
      <c r="I24" s="3" t="s">
        <v>230</v>
      </c>
      <c r="J24" s="3" t="s">
        <v>242</v>
      </c>
      <c r="K24" s="4">
        <v>167</v>
      </c>
      <c r="L24" s="4">
        <f>=ROUNDDOWN(2.65079365079365,0)</f>
      </c>
      <c r="M24" s="4">
        <v>1943</v>
      </c>
      <c r="N24" s="5">
        <v>0.8413</v>
      </c>
      <c r="O24" s="4"/>
      <c r="P24" s="4">
        <f>=ROUNDDOWN({0},0)</f>
      </c>
      <c r="Q24" s="4"/>
      <c r="R24" s="5"/>
      <c r="S24" s="4">
        <v>473</v>
      </c>
      <c r="T24" s="6">
        <v>22692.37</v>
      </c>
      <c r="U24" s="4">
        <v>461</v>
      </c>
      <c r="V24" s="6">
        <v>21934.98</v>
      </c>
      <c r="W24" s="5">
        <v>0.026</v>
      </c>
      <c r="X24" s="5">
        <v>0.0345</v>
      </c>
      <c r="Y24" s="4">
        <v>30</v>
      </c>
      <c r="Z24" s="6">
        <v>1502.5</v>
      </c>
      <c r="AA24" s="4">
        <v>75</v>
      </c>
      <c r="AB24" s="6">
        <v>3784.85</v>
      </c>
      <c r="AC24" s="5">
        <v>-0.6</v>
      </c>
      <c r="AD24" s="5">
        <v>-0.603</v>
      </c>
      <c r="AE24" s="4">
        <v>99</v>
      </c>
      <c r="AF24" s="6">
        <v>4808.73</v>
      </c>
      <c r="AG24" s="4">
        <v>7</v>
      </c>
      <c r="AH24" s="6">
        <v>352.59</v>
      </c>
      <c r="AI24" s="5">
        <v>13.1429</v>
      </c>
      <c r="AJ24" s="5">
        <v>12.6383</v>
      </c>
      <c r="AK24" s="4"/>
      <c r="AL24" s="6"/>
      <c r="AM24" s="4"/>
      <c r="AN24" s="6"/>
      <c r="AO24" s="5"/>
      <c r="AP24" s="5"/>
      <c r="AQ24" s="4"/>
      <c r="AR24" s="6"/>
      <c r="AS24" s="4"/>
      <c r="AT24" s="6"/>
      <c r="AU24" s="5"/>
      <c r="AV24" s="5"/>
      <c r="AW24" s="4">
        <v>216</v>
      </c>
      <c r="AX24" s="6">
        <v>10574.52</v>
      </c>
      <c r="AY24" s="4">
        <v>103</v>
      </c>
      <c r="AZ24" s="6">
        <v>4995.56</v>
      </c>
      <c r="BA24" s="5">
        <v>1.0971</v>
      </c>
      <c r="BB24" s="5">
        <v>1.1168</v>
      </c>
      <c r="BC24" s="4">
        <v>13</v>
      </c>
      <c r="BD24" s="6">
        <v>649.26</v>
      </c>
      <c r="BE24" s="4">
        <v>34</v>
      </c>
      <c r="BF24" s="6">
        <v>1688.68</v>
      </c>
      <c r="BG24" s="5">
        <v>-0.6176</v>
      </c>
      <c r="BH24" s="5">
        <v>-0.6155</v>
      </c>
      <c r="BI24" s="4">
        <v>69</v>
      </c>
      <c r="BJ24" s="6">
        <v>3053.88</v>
      </c>
      <c r="BK24" s="4">
        <v>81</v>
      </c>
      <c r="BL24" s="6">
        <v>3692.88</v>
      </c>
      <c r="BM24" s="5">
        <v>-0.1481</v>
      </c>
      <c r="BN24" s="5">
        <v>-0.173</v>
      </c>
      <c r="BO24" s="4">
        <v>23</v>
      </c>
      <c r="BP24" s="6">
        <v>984.76</v>
      </c>
      <c r="BQ24" s="4">
        <v>80</v>
      </c>
      <c r="BR24" s="6">
        <v>3569.63</v>
      </c>
      <c r="BS24" s="5">
        <v>-0.7125</v>
      </c>
      <c r="BT24" s="5">
        <v>-0.7241</v>
      </c>
      <c r="BU24" s="4">
        <v>5</v>
      </c>
      <c r="BV24" s="6">
        <v>239.08</v>
      </c>
      <c r="BW24" s="4">
        <v>8</v>
      </c>
      <c r="BX24" s="6">
        <v>368.68</v>
      </c>
      <c r="BY24" s="5">
        <v>-0.375</v>
      </c>
      <c r="BZ24" s="5">
        <v>-0.3515</v>
      </c>
      <c r="CA24" s="4">
        <v>4</v>
      </c>
      <c r="CB24" s="6">
        <v>203.89</v>
      </c>
      <c r="CC24" s="4">
        <v>47</v>
      </c>
      <c r="CD24" s="6">
        <v>2218.25</v>
      </c>
      <c r="CE24" s="5">
        <v>-0.9149</v>
      </c>
      <c r="CF24" s="5">
        <v>-0.9081</v>
      </c>
      <c r="CG24" s="4"/>
      <c r="CH24" s="6"/>
      <c r="CI24" s="4"/>
      <c r="CJ24" s="6"/>
      <c r="CK24" s="5"/>
      <c r="CL24" s="5"/>
      <c r="CM24" s="4"/>
      <c r="CN24" s="6"/>
      <c r="CO24" s="4"/>
      <c r="CP24" s="6"/>
      <c r="CQ24" s="5"/>
      <c r="CR24" s="5"/>
      <c r="CS24" s="4">
        <v>1</v>
      </c>
      <c r="CT24" s="6">
        <v>43.47</v>
      </c>
      <c r="CU24" s="4"/>
      <c r="CV24" s="6"/>
      <c r="CW24" s="5"/>
      <c r="CX24" s="5"/>
      <c r="CY24" s="4"/>
      <c r="CZ24" s="6"/>
      <c r="DA24" s="4">
        <v>1</v>
      </c>
      <c r="DB24" s="6">
        <v>48.19</v>
      </c>
      <c r="DC24" s="5"/>
      <c r="DD24" s="5"/>
      <c r="DE24" s="4">
        <v>10</v>
      </c>
      <c r="DF24" s="6">
        <v>497.04</v>
      </c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>
        <v>3</v>
      </c>
      <c r="ED24" s="6">
        <v>135.24</v>
      </c>
      <c r="EE24" s="4">
        <v>1</v>
      </c>
      <c r="EF24" s="6">
        <v>48.3</v>
      </c>
      <c r="EG24" s="5">
        <v>2</v>
      </c>
      <c r="EH24" s="5">
        <v>1.8</v>
      </c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>
        <v>24</v>
      </c>
      <c r="FV24" s="6">
        <v>1167.37</v>
      </c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/>
      <c r="IB24" s="6"/>
      <c r="IC24" s="4"/>
      <c r="ID24" s="6"/>
      <c r="IE24" s="5"/>
      <c r="IF24" s="5"/>
      <c r="IG24" s="4"/>
      <c r="IH24" s="6"/>
      <c r="II24" s="4"/>
      <c r="IJ24" s="6"/>
      <c r="IK24" s="5"/>
      <c r="IL24" s="5"/>
      <c r="IM24" s="4"/>
      <c r="IN24" s="6"/>
      <c r="IO24" s="4"/>
      <c r="IP24" s="6"/>
      <c r="IQ24" s="5"/>
      <c r="IR24" s="5"/>
      <c r="IS24" s="4"/>
      <c r="IT24" s="6"/>
      <c r="IU24" s="4"/>
      <c r="IV24" s="6"/>
      <c r="IW24" s="5"/>
      <c r="IX24" s="5"/>
      <c r="IY24" s="4"/>
      <c r="IZ24" s="6"/>
      <c r="JA24" s="4"/>
      <c r="JB24" s="6"/>
      <c r="JC24" s="5"/>
      <c r="JD24" s="5"/>
      <c r="JE24" s="4"/>
      <c r="JF24" s="6"/>
      <c r="JG24" s="4"/>
      <c r="JH24" s="6"/>
      <c r="JI24" s="5"/>
      <c r="JJ24" s="5"/>
      <c r="JK24" s="4">
        <v>167</v>
      </c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>
        <v>202</v>
      </c>
      <c r="KG24" s="4"/>
      <c r="KH24" s="4">
        <v>417</v>
      </c>
      <c r="KI24" s="4"/>
      <c r="KJ24" s="4"/>
      <c r="KK24" s="4"/>
      <c r="KL24" s="4"/>
      <c r="KM24" s="4"/>
      <c r="KN24" s="4"/>
      <c r="KO24" s="4"/>
      <c r="KP24" s="4"/>
      <c r="KQ24" s="4"/>
      <c r="KR24" s="4">
        <v>804</v>
      </c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>
        <v>270</v>
      </c>
      <c r="LH24" s="4"/>
      <c r="LI24" s="4"/>
      <c r="LJ24" s="4"/>
      <c r="LK24" s="4"/>
      <c r="LL24" s="4"/>
      <c r="LM24" s="4">
        <v>250</v>
      </c>
    </row>
    <row r="25">
      <c r="A25" s="3" t="s">
        <v>136</v>
      </c>
      <c r="B25" s="3" t="s">
        <v>137</v>
      </c>
      <c r="C25" s="3" t="s">
        <v>138</v>
      </c>
      <c r="D25" s="3" t="s">
        <v>139</v>
      </c>
      <c r="E25" s="3" t="s">
        <v>144</v>
      </c>
      <c r="F25" s="3" t="s">
        <v>144</v>
      </c>
      <c r="G25" s="3" t="s">
        <v>144</v>
      </c>
      <c r="H25" s="3" t="s">
        <v>141</v>
      </c>
      <c r="I25" s="3" t="s">
        <v>244</v>
      </c>
      <c r="J25" s="3" t="s">
        <v>243</v>
      </c>
      <c r="K25" s="4">
        <v>341</v>
      </c>
      <c r="L25" s="4">
        <f>=ROUNDDOWN(6.82,0)</f>
      </c>
      <c r="M25" s="4">
        <v>1508</v>
      </c>
      <c r="N25" s="5">
        <v>1</v>
      </c>
      <c r="O25" s="4"/>
      <c r="P25" s="4">
        <f>=ROUNDDOWN({0},0)</f>
      </c>
      <c r="Q25" s="4"/>
      <c r="R25" s="5"/>
      <c r="S25" s="4">
        <v>467</v>
      </c>
      <c r="T25" s="6">
        <v>22214.96</v>
      </c>
      <c r="U25" s="4">
        <v>457</v>
      </c>
      <c r="V25" s="6">
        <v>21552.88</v>
      </c>
      <c r="W25" s="5">
        <v>0.0219</v>
      </c>
      <c r="X25" s="5">
        <v>0.0307</v>
      </c>
      <c r="Y25" s="4">
        <v>57</v>
      </c>
      <c r="Z25" s="6">
        <v>2807.43</v>
      </c>
      <c r="AA25" s="4">
        <v>87</v>
      </c>
      <c r="AB25" s="6">
        <v>4325.53</v>
      </c>
      <c r="AC25" s="5">
        <v>-0.3448</v>
      </c>
      <c r="AD25" s="5">
        <v>-0.351</v>
      </c>
      <c r="AE25" s="4">
        <v>55</v>
      </c>
      <c r="AF25" s="6">
        <v>2633.96</v>
      </c>
      <c r="AG25" s="4">
        <v>10</v>
      </c>
      <c r="AH25" s="6">
        <v>485.91</v>
      </c>
      <c r="AI25" s="5">
        <v>4.5</v>
      </c>
      <c r="AJ25" s="5">
        <v>4.4207</v>
      </c>
      <c r="AK25" s="4"/>
      <c r="AL25" s="6"/>
      <c r="AM25" s="4"/>
      <c r="AN25" s="6"/>
      <c r="AO25" s="5"/>
      <c r="AP25" s="5"/>
      <c r="AQ25" s="4"/>
      <c r="AR25" s="6"/>
      <c r="AS25" s="4"/>
      <c r="AT25" s="6"/>
      <c r="AU25" s="5"/>
      <c r="AV25" s="5"/>
      <c r="AW25" s="4">
        <v>206</v>
      </c>
      <c r="AX25" s="6">
        <v>9965.72</v>
      </c>
      <c r="AY25" s="4">
        <v>127</v>
      </c>
      <c r="AZ25" s="6">
        <v>6111.24</v>
      </c>
      <c r="BA25" s="5">
        <v>0.622</v>
      </c>
      <c r="BB25" s="5">
        <v>0.6307</v>
      </c>
      <c r="BC25" s="4">
        <v>22</v>
      </c>
      <c r="BD25" s="6">
        <v>1083.1</v>
      </c>
      <c r="BE25" s="4">
        <v>46</v>
      </c>
      <c r="BF25" s="6">
        <v>2288.82</v>
      </c>
      <c r="BG25" s="5">
        <v>-0.5217</v>
      </c>
      <c r="BH25" s="5">
        <v>-0.5268</v>
      </c>
      <c r="BI25" s="4">
        <v>85</v>
      </c>
      <c r="BJ25" s="6">
        <v>3792.49</v>
      </c>
      <c r="BK25" s="4">
        <v>101</v>
      </c>
      <c r="BL25" s="6">
        <v>4470.3</v>
      </c>
      <c r="BM25" s="5">
        <v>-0.1584</v>
      </c>
      <c r="BN25" s="5">
        <v>-0.1516</v>
      </c>
      <c r="BO25" s="4">
        <v>10</v>
      </c>
      <c r="BP25" s="6">
        <v>405.91</v>
      </c>
      <c r="BQ25" s="4">
        <v>38</v>
      </c>
      <c r="BR25" s="6">
        <v>1626.44</v>
      </c>
      <c r="BS25" s="5">
        <v>-0.7368</v>
      </c>
      <c r="BT25" s="5">
        <v>-0.7504</v>
      </c>
      <c r="BU25" s="4">
        <v>8</v>
      </c>
      <c r="BV25" s="6">
        <v>385.99</v>
      </c>
      <c r="BW25" s="4">
        <v>8</v>
      </c>
      <c r="BX25" s="6">
        <v>374.45</v>
      </c>
      <c r="BY25" s="5"/>
      <c r="BZ25" s="5">
        <v>0.0308</v>
      </c>
      <c r="CA25" s="4">
        <v>2</v>
      </c>
      <c r="CB25" s="6">
        <v>100.21</v>
      </c>
      <c r="CC25" s="4">
        <v>17</v>
      </c>
      <c r="CD25" s="6">
        <v>798.51</v>
      </c>
      <c r="CE25" s="5">
        <v>-0.8824</v>
      </c>
      <c r="CF25" s="5">
        <v>-0.8745</v>
      </c>
      <c r="CG25" s="4"/>
      <c r="CH25" s="6"/>
      <c r="CI25" s="4"/>
      <c r="CJ25" s="6"/>
      <c r="CK25" s="5"/>
      <c r="CL25" s="5"/>
      <c r="CM25" s="4"/>
      <c r="CN25" s="6"/>
      <c r="CO25" s="4"/>
      <c r="CP25" s="6"/>
      <c r="CQ25" s="5"/>
      <c r="CR25" s="5"/>
      <c r="CS25" s="4">
        <v>2</v>
      </c>
      <c r="CT25" s="6">
        <v>91.77</v>
      </c>
      <c r="CU25" s="4"/>
      <c r="CV25" s="6"/>
      <c r="CW25" s="5"/>
      <c r="CX25" s="5"/>
      <c r="CY25" s="4"/>
      <c r="CZ25" s="6"/>
      <c r="DA25" s="4">
        <v>3</v>
      </c>
      <c r="DB25" s="6">
        <v>138.91</v>
      </c>
      <c r="DC25" s="5"/>
      <c r="DD25" s="5"/>
      <c r="DE25" s="4">
        <v>7</v>
      </c>
      <c r="DF25" s="6">
        <v>339.8</v>
      </c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/>
      <c r="DR25" s="6"/>
      <c r="DS25" s="4"/>
      <c r="DT25" s="6"/>
      <c r="DU25" s="5"/>
      <c r="DV25" s="5"/>
      <c r="DW25" s="4"/>
      <c r="DX25" s="6"/>
      <c r="DY25" s="4"/>
      <c r="DZ25" s="6"/>
      <c r="EA25" s="5"/>
      <c r="EB25" s="5"/>
      <c r="EC25" s="4">
        <v>13</v>
      </c>
      <c r="ED25" s="6">
        <v>608.58</v>
      </c>
      <c r="EE25" s="4">
        <v>8</v>
      </c>
      <c r="EF25" s="6">
        <v>376.74</v>
      </c>
      <c r="EG25" s="5">
        <v>0.625</v>
      </c>
      <c r="EH25" s="5">
        <v>0.6154</v>
      </c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>
        <v>11</v>
      </c>
      <c r="FV25" s="6">
        <v>512.56</v>
      </c>
      <c r="FW25" s="5"/>
      <c r="FX25" s="5"/>
      <c r="FY25" s="4"/>
      <c r="FZ25" s="6"/>
      <c r="GA25" s="4">
        <v>1</v>
      </c>
      <c r="GB25" s="6">
        <v>43.47</v>
      </c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6"/>
      <c r="IC25" s="4"/>
      <c r="ID25" s="6"/>
      <c r="IE25" s="5"/>
      <c r="IF25" s="5"/>
      <c r="IG25" s="4"/>
      <c r="IH25" s="6"/>
      <c r="II25" s="4"/>
      <c r="IJ25" s="6"/>
      <c r="IK25" s="5"/>
      <c r="IL25" s="5"/>
      <c r="IM25" s="4"/>
      <c r="IN25" s="6"/>
      <c r="IO25" s="4"/>
      <c r="IP25" s="6"/>
      <c r="IQ25" s="5"/>
      <c r="IR25" s="5"/>
      <c r="IS25" s="4"/>
      <c r="IT25" s="6"/>
      <c r="IU25" s="4"/>
      <c r="IV25" s="6"/>
      <c r="IW25" s="5"/>
      <c r="IX25" s="5"/>
      <c r="IY25" s="4"/>
      <c r="IZ25" s="6"/>
      <c r="JA25" s="4"/>
      <c r="JB25" s="6"/>
      <c r="JC25" s="5"/>
      <c r="JD25" s="5"/>
      <c r="JE25" s="4"/>
      <c r="JF25" s="6"/>
      <c r="JG25" s="4"/>
      <c r="JH25" s="6"/>
      <c r="JI25" s="5"/>
      <c r="JJ25" s="5"/>
      <c r="JK25" s="4">
        <v>341</v>
      </c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>
        <v>490</v>
      </c>
      <c r="KI25" s="4"/>
      <c r="KJ25" s="4"/>
      <c r="KK25" s="4"/>
      <c r="KL25" s="4"/>
      <c r="KM25" s="4"/>
      <c r="KN25" s="4"/>
      <c r="KO25" s="4"/>
      <c r="KP25" s="4"/>
      <c r="KQ25" s="4"/>
      <c r="KR25" s="4">
        <v>528</v>
      </c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>
        <v>180</v>
      </c>
      <c r="LH25" s="4"/>
      <c r="LI25" s="4"/>
      <c r="LJ25" s="4"/>
      <c r="LK25" s="4"/>
      <c r="LL25" s="4"/>
      <c r="LM25" s="4">
        <v>310</v>
      </c>
    </row>
    <row r="26">
      <c r="A26" s="3" t="s">
        <v>136</v>
      </c>
      <c r="B26" s="3" t="s">
        <v>137</v>
      </c>
      <c r="C26" s="3" t="s">
        <v>138</v>
      </c>
      <c r="D26" s="3" t="s">
        <v>139</v>
      </c>
      <c r="E26" s="3" t="s">
        <v>144</v>
      </c>
      <c r="F26" s="3" t="s">
        <v>144</v>
      </c>
      <c r="G26" s="3" t="s">
        <v>144</v>
      </c>
      <c r="H26" s="3" t="s">
        <v>141</v>
      </c>
      <c r="I26" s="3" t="s">
        <v>231</v>
      </c>
      <c r="J26" s="3" t="s">
        <v>243</v>
      </c>
      <c r="K26" s="4">
        <v>318</v>
      </c>
      <c r="L26" s="4">
        <f>=ROUNDDOWN(7.75609756097561,0)</f>
      </c>
      <c r="M26" s="4">
        <v>1123</v>
      </c>
      <c r="N26" s="5">
        <v>0.994</v>
      </c>
      <c r="O26" s="4"/>
      <c r="P26" s="4">
        <f>=ROUNDDOWN({0},0)</f>
      </c>
      <c r="Q26" s="4"/>
      <c r="R26" s="5"/>
      <c r="S26" s="4">
        <v>362</v>
      </c>
      <c r="T26" s="6">
        <v>17208.76</v>
      </c>
      <c r="U26" s="4">
        <v>333</v>
      </c>
      <c r="V26" s="6">
        <v>15929</v>
      </c>
      <c r="W26" s="5">
        <v>0.0871</v>
      </c>
      <c r="X26" s="5">
        <v>0.0803</v>
      </c>
      <c r="Y26" s="4">
        <v>38</v>
      </c>
      <c r="Z26" s="6">
        <v>1882.02</v>
      </c>
      <c r="AA26" s="4">
        <v>84</v>
      </c>
      <c r="AB26" s="6">
        <v>4153.96</v>
      </c>
      <c r="AC26" s="5">
        <v>-0.5476</v>
      </c>
      <c r="AD26" s="5">
        <v>-0.5469</v>
      </c>
      <c r="AE26" s="4">
        <v>104</v>
      </c>
      <c r="AF26" s="6">
        <v>4959.77</v>
      </c>
      <c r="AG26" s="4">
        <v>12</v>
      </c>
      <c r="AH26" s="6">
        <v>580.72</v>
      </c>
      <c r="AI26" s="5">
        <v>7.6667</v>
      </c>
      <c r="AJ26" s="5">
        <v>7.5407</v>
      </c>
      <c r="AK26" s="4"/>
      <c r="AL26" s="6"/>
      <c r="AM26" s="4"/>
      <c r="AN26" s="6"/>
      <c r="AO26" s="5"/>
      <c r="AP26" s="5"/>
      <c r="AQ26" s="4"/>
      <c r="AR26" s="6"/>
      <c r="AS26" s="4"/>
      <c r="AT26" s="6"/>
      <c r="AU26" s="5"/>
      <c r="AV26" s="5"/>
      <c r="AW26" s="4">
        <v>106</v>
      </c>
      <c r="AX26" s="6">
        <v>5122.32</v>
      </c>
      <c r="AY26" s="4">
        <v>90</v>
      </c>
      <c r="AZ26" s="6">
        <v>4305.72</v>
      </c>
      <c r="BA26" s="5">
        <v>0.1778</v>
      </c>
      <c r="BB26" s="5">
        <v>0.1897</v>
      </c>
      <c r="BC26" s="4">
        <v>23</v>
      </c>
      <c r="BD26" s="6">
        <v>1136.96</v>
      </c>
      <c r="BE26" s="4">
        <v>44</v>
      </c>
      <c r="BF26" s="6">
        <v>2170.28</v>
      </c>
      <c r="BG26" s="5">
        <v>-0.4773</v>
      </c>
      <c r="BH26" s="5">
        <v>-0.4761</v>
      </c>
      <c r="BI26" s="4">
        <v>53</v>
      </c>
      <c r="BJ26" s="6">
        <v>2368</v>
      </c>
      <c r="BK26" s="4">
        <v>42</v>
      </c>
      <c r="BL26" s="6">
        <v>1917.72</v>
      </c>
      <c r="BM26" s="5">
        <v>0.2619</v>
      </c>
      <c r="BN26" s="5">
        <v>0.2348</v>
      </c>
      <c r="BO26" s="4">
        <v>13</v>
      </c>
      <c r="BP26" s="6">
        <v>512.88</v>
      </c>
      <c r="BQ26" s="4">
        <v>34</v>
      </c>
      <c r="BR26" s="6">
        <v>1506.65</v>
      </c>
      <c r="BS26" s="5">
        <v>-0.6176</v>
      </c>
      <c r="BT26" s="5">
        <v>-0.6596</v>
      </c>
      <c r="BU26" s="4">
        <v>5</v>
      </c>
      <c r="BV26" s="6">
        <v>239.08</v>
      </c>
      <c r="BW26" s="4">
        <v>4</v>
      </c>
      <c r="BX26" s="6">
        <v>195.88</v>
      </c>
      <c r="BY26" s="5">
        <v>0.25</v>
      </c>
      <c r="BZ26" s="5">
        <v>0.2205</v>
      </c>
      <c r="CA26" s="4">
        <v>7</v>
      </c>
      <c r="CB26" s="6">
        <v>394.86</v>
      </c>
      <c r="CC26" s="4">
        <v>8</v>
      </c>
      <c r="CD26" s="6">
        <v>367</v>
      </c>
      <c r="CE26" s="5">
        <v>-0.125</v>
      </c>
      <c r="CF26" s="5">
        <v>0.0759</v>
      </c>
      <c r="CG26" s="4"/>
      <c r="CH26" s="6"/>
      <c r="CI26" s="4"/>
      <c r="CJ26" s="6"/>
      <c r="CK26" s="5"/>
      <c r="CL26" s="5"/>
      <c r="CM26" s="4"/>
      <c r="CN26" s="6"/>
      <c r="CO26" s="4"/>
      <c r="CP26" s="6"/>
      <c r="CQ26" s="5"/>
      <c r="CR26" s="5"/>
      <c r="CS26" s="4">
        <v>7</v>
      </c>
      <c r="CT26" s="6">
        <v>313.95</v>
      </c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>
        <v>6</v>
      </c>
      <c r="DF26" s="6">
        <v>278.92</v>
      </c>
      <c r="DG26" s="4"/>
      <c r="DH26" s="6"/>
      <c r="DI26" s="5"/>
      <c r="DJ26" s="5"/>
      <c r="DK26" s="4"/>
      <c r="DL26" s="6"/>
      <c r="DM26" s="4">
        <v>2</v>
      </c>
      <c r="DN26" s="6">
        <v>99.98</v>
      </c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/>
      <c r="EJ26" s="6"/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>
        <v>13</v>
      </c>
      <c r="FV26" s="6">
        <v>631.09</v>
      </c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/>
      <c r="IB26" s="6"/>
      <c r="IC26" s="4"/>
      <c r="ID26" s="6"/>
      <c r="IE26" s="5"/>
      <c r="IF26" s="5"/>
      <c r="IG26" s="4"/>
      <c r="IH26" s="6"/>
      <c r="II26" s="4"/>
      <c r="IJ26" s="6"/>
      <c r="IK26" s="5"/>
      <c r="IL26" s="5"/>
      <c r="IM26" s="4"/>
      <c r="IN26" s="6"/>
      <c r="IO26" s="4"/>
      <c r="IP26" s="6"/>
      <c r="IQ26" s="5"/>
      <c r="IR26" s="5"/>
      <c r="IS26" s="4"/>
      <c r="IT26" s="6"/>
      <c r="IU26" s="4"/>
      <c r="IV26" s="6"/>
      <c r="IW26" s="5"/>
      <c r="IX26" s="5"/>
      <c r="IY26" s="4"/>
      <c r="IZ26" s="6"/>
      <c r="JA26" s="4"/>
      <c r="JB26" s="6"/>
      <c r="JC26" s="5"/>
      <c r="JD26" s="5"/>
      <c r="JE26" s="4"/>
      <c r="JF26" s="6"/>
      <c r="JG26" s="4"/>
      <c r="JH26" s="6"/>
      <c r="JI26" s="5"/>
      <c r="JJ26" s="5"/>
      <c r="JK26" s="4">
        <v>318</v>
      </c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>
        <v>573</v>
      </c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>
        <v>370</v>
      </c>
      <c r="LH26" s="4"/>
      <c r="LI26" s="4"/>
      <c r="LJ26" s="4"/>
      <c r="LK26" s="4"/>
      <c r="LL26" s="4"/>
      <c r="LM26" s="4">
        <v>180</v>
      </c>
    </row>
    <row r="27">
      <c r="A27" s="3" t="s">
        <v>136</v>
      </c>
      <c r="B27" s="3" t="s">
        <v>137</v>
      </c>
      <c r="C27" s="3" t="s">
        <v>138</v>
      </c>
      <c r="D27" s="3" t="s">
        <v>139</v>
      </c>
      <c r="E27" s="3" t="s">
        <v>144</v>
      </c>
      <c r="F27" s="3" t="s">
        <v>144</v>
      </c>
      <c r="G27" s="3" t="s">
        <v>144</v>
      </c>
      <c r="H27" s="3" t="s">
        <v>141</v>
      </c>
      <c r="I27" s="3" t="s">
        <v>240</v>
      </c>
      <c r="J27" s="3" t="s">
        <v>243</v>
      </c>
      <c r="K27" s="4">
        <v>334</v>
      </c>
      <c r="L27" s="4">
        <f>=ROUNDDOWN(8.35,0)</f>
      </c>
      <c r="M27" s="4">
        <v>1387</v>
      </c>
      <c r="N27" s="5">
        <v>0.8012</v>
      </c>
      <c r="O27" s="4"/>
      <c r="P27" s="4">
        <f>=ROUNDDOWN({0},0)</f>
      </c>
      <c r="Q27" s="4"/>
      <c r="R27" s="5"/>
      <c r="S27" s="4">
        <v>317</v>
      </c>
      <c r="T27" s="6">
        <v>14861.59</v>
      </c>
      <c r="U27" s="4">
        <v>322</v>
      </c>
      <c r="V27" s="6">
        <v>15021.48</v>
      </c>
      <c r="W27" s="5">
        <v>-0.0155</v>
      </c>
      <c r="X27" s="5">
        <v>-0.0106</v>
      </c>
      <c r="Y27" s="4">
        <v>35</v>
      </c>
      <c r="Z27" s="6">
        <v>1746.85</v>
      </c>
      <c r="AA27" s="4">
        <v>57</v>
      </c>
      <c r="AB27" s="6">
        <v>2802.23</v>
      </c>
      <c r="AC27" s="5">
        <v>-0.386</v>
      </c>
      <c r="AD27" s="5">
        <v>-0.3766</v>
      </c>
      <c r="AE27" s="4">
        <v>65</v>
      </c>
      <c r="AF27" s="6">
        <v>3113.94</v>
      </c>
      <c r="AG27" s="4">
        <v>3</v>
      </c>
      <c r="AH27" s="6">
        <v>145.18</v>
      </c>
      <c r="AI27" s="5">
        <v>20.6667</v>
      </c>
      <c r="AJ27" s="5">
        <v>20.4488</v>
      </c>
      <c r="AK27" s="4"/>
      <c r="AL27" s="6"/>
      <c r="AM27" s="4"/>
      <c r="AN27" s="6"/>
      <c r="AO27" s="5"/>
      <c r="AP27" s="5"/>
      <c r="AQ27" s="4"/>
      <c r="AR27" s="6"/>
      <c r="AS27" s="4"/>
      <c r="AT27" s="6"/>
      <c r="AU27" s="5"/>
      <c r="AV27" s="5"/>
      <c r="AW27" s="4">
        <v>104</v>
      </c>
      <c r="AX27" s="6">
        <v>5020.88</v>
      </c>
      <c r="AY27" s="4">
        <v>74</v>
      </c>
      <c r="AZ27" s="6">
        <v>3539.92</v>
      </c>
      <c r="BA27" s="5">
        <v>0.4054</v>
      </c>
      <c r="BB27" s="5">
        <v>0.4184</v>
      </c>
      <c r="BC27" s="4">
        <v>15</v>
      </c>
      <c r="BD27" s="6">
        <v>716.3</v>
      </c>
      <c r="BE27" s="4">
        <v>25</v>
      </c>
      <c r="BF27" s="6">
        <v>1216.2</v>
      </c>
      <c r="BG27" s="5">
        <v>-0.4</v>
      </c>
      <c r="BH27" s="5">
        <v>-0.411</v>
      </c>
      <c r="BI27" s="4">
        <v>72</v>
      </c>
      <c r="BJ27" s="6">
        <v>3131.19</v>
      </c>
      <c r="BK27" s="4">
        <v>104</v>
      </c>
      <c r="BL27" s="6">
        <v>4635.18</v>
      </c>
      <c r="BM27" s="5">
        <v>-0.3077</v>
      </c>
      <c r="BN27" s="5">
        <v>-0.3245</v>
      </c>
      <c r="BO27" s="4">
        <v>16</v>
      </c>
      <c r="BP27" s="6">
        <v>643.23</v>
      </c>
      <c r="BQ27" s="4">
        <v>33</v>
      </c>
      <c r="BR27" s="6">
        <v>1442.58</v>
      </c>
      <c r="BS27" s="5">
        <v>-0.5152</v>
      </c>
      <c r="BT27" s="5">
        <v>-0.5541</v>
      </c>
      <c r="BU27" s="4">
        <v>6</v>
      </c>
      <c r="BV27" s="6">
        <v>293.82</v>
      </c>
      <c r="BW27" s="4">
        <v>8</v>
      </c>
      <c r="BX27" s="6">
        <v>385.99</v>
      </c>
      <c r="BY27" s="5">
        <v>-0.25</v>
      </c>
      <c r="BZ27" s="5">
        <v>-0.2388</v>
      </c>
      <c r="CA27" s="4"/>
      <c r="CB27" s="6"/>
      <c r="CC27" s="4">
        <v>4</v>
      </c>
      <c r="CD27" s="6">
        <v>178.67</v>
      </c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>
        <v>1</v>
      </c>
      <c r="CT27" s="6">
        <v>48.3</v>
      </c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>
        <v>3</v>
      </c>
      <c r="DF27" s="6">
        <v>147.08</v>
      </c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>
        <v>14</v>
      </c>
      <c r="FV27" s="6">
        <v>675.53</v>
      </c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/>
      <c r="IB27" s="6"/>
      <c r="IC27" s="4"/>
      <c r="ID27" s="6"/>
      <c r="IE27" s="5"/>
      <c r="IF27" s="5"/>
      <c r="IG27" s="4"/>
      <c r="IH27" s="6"/>
      <c r="II27" s="4"/>
      <c r="IJ27" s="6"/>
      <c r="IK27" s="5"/>
      <c r="IL27" s="5"/>
      <c r="IM27" s="4"/>
      <c r="IN27" s="6"/>
      <c r="IO27" s="4"/>
      <c r="IP27" s="6"/>
      <c r="IQ27" s="5"/>
      <c r="IR27" s="5"/>
      <c r="IS27" s="4"/>
      <c r="IT27" s="6"/>
      <c r="IU27" s="4"/>
      <c r="IV27" s="6"/>
      <c r="IW27" s="5"/>
      <c r="IX27" s="5"/>
      <c r="IY27" s="4"/>
      <c r="IZ27" s="6"/>
      <c r="JA27" s="4"/>
      <c r="JB27" s="6"/>
      <c r="JC27" s="5"/>
      <c r="JD27" s="5"/>
      <c r="JE27" s="4"/>
      <c r="JF27" s="6"/>
      <c r="JG27" s="4"/>
      <c r="JH27" s="6"/>
      <c r="JI27" s="5"/>
      <c r="JJ27" s="5"/>
      <c r="JK27" s="4">
        <v>334</v>
      </c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>
        <v>369</v>
      </c>
      <c r="KI27" s="4"/>
      <c r="KJ27" s="4"/>
      <c r="KK27" s="4"/>
      <c r="KL27" s="4"/>
      <c r="KM27" s="4"/>
      <c r="KN27" s="4"/>
      <c r="KO27" s="4"/>
      <c r="KP27" s="4"/>
      <c r="KQ27" s="4"/>
      <c r="KR27" s="4">
        <v>497</v>
      </c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>
        <v>281</v>
      </c>
      <c r="LH27" s="4"/>
      <c r="LI27" s="4"/>
      <c r="LJ27" s="4"/>
      <c r="LK27" s="4"/>
      <c r="LL27" s="4"/>
      <c r="LM27" s="4">
        <v>240</v>
      </c>
    </row>
    <row r="28">
      <c r="A28" s="3" t="s">
        <v>136</v>
      </c>
      <c r="B28" s="3" t="s">
        <v>137</v>
      </c>
      <c r="C28" s="3" t="s">
        <v>138</v>
      </c>
      <c r="D28" s="3" t="s">
        <v>139</v>
      </c>
      <c r="E28" s="3" t="s">
        <v>145</v>
      </c>
      <c r="F28" s="3" t="s">
        <v>145</v>
      </c>
      <c r="G28" s="3" t="s">
        <v>145</v>
      </c>
      <c r="H28" s="3" t="s">
        <v>146</v>
      </c>
      <c r="I28" s="3" t="s">
        <v>244</v>
      </c>
      <c r="J28" s="3" t="s">
        <v>228</v>
      </c>
      <c r="K28" s="4">
        <v>1326</v>
      </c>
      <c r="L28" s="4">
        <f>=ROUNDDOWN(17.4473684210526,0)</f>
      </c>
      <c r="M28" s="4">
        <v>1370</v>
      </c>
      <c r="N28" s="5">
        <v>1</v>
      </c>
      <c r="O28" s="4"/>
      <c r="P28" s="4">
        <f>=ROUNDDOWN({0},0)</f>
      </c>
      <c r="Q28" s="4"/>
      <c r="R28" s="5"/>
      <c r="S28" s="4">
        <v>955</v>
      </c>
      <c r="T28" s="6">
        <v>19361.46</v>
      </c>
      <c r="U28" s="4">
        <v>635</v>
      </c>
      <c r="V28" s="6">
        <v>12810.69</v>
      </c>
      <c r="W28" s="5">
        <v>0.5039</v>
      </c>
      <c r="X28" s="5">
        <v>0.5114</v>
      </c>
      <c r="Y28" s="4">
        <v>54</v>
      </c>
      <c r="Z28" s="6">
        <v>1032.32</v>
      </c>
      <c r="AA28" s="4">
        <v>34</v>
      </c>
      <c r="AB28" s="6">
        <v>648.57</v>
      </c>
      <c r="AC28" s="5">
        <v>0.5882</v>
      </c>
      <c r="AD28" s="5">
        <v>0.5917</v>
      </c>
      <c r="AE28" s="4">
        <v>4</v>
      </c>
      <c r="AF28" s="6">
        <v>83.8</v>
      </c>
      <c r="AG28" s="4">
        <v>2</v>
      </c>
      <c r="AH28" s="6">
        <v>46.56</v>
      </c>
      <c r="AI28" s="5">
        <v>1</v>
      </c>
      <c r="AJ28" s="5">
        <v>0.7998</v>
      </c>
      <c r="AK28" s="4"/>
      <c r="AL28" s="6"/>
      <c r="AM28" s="4"/>
      <c r="AN28" s="6"/>
      <c r="AO28" s="5"/>
      <c r="AP28" s="5"/>
      <c r="AQ28" s="4">
        <v>268</v>
      </c>
      <c r="AR28" s="6">
        <v>5592.6</v>
      </c>
      <c r="AS28" s="4">
        <v>240</v>
      </c>
      <c r="AT28" s="6">
        <v>5009.68</v>
      </c>
      <c r="AU28" s="5">
        <v>0.1167</v>
      </c>
      <c r="AV28" s="5">
        <v>0.1164</v>
      </c>
      <c r="AW28" s="4">
        <v>270</v>
      </c>
      <c r="AX28" s="6">
        <v>5632.93</v>
      </c>
      <c r="AY28" s="4">
        <v>121</v>
      </c>
      <c r="AZ28" s="6">
        <v>2270.56</v>
      </c>
      <c r="BA28" s="5">
        <v>1.2314</v>
      </c>
      <c r="BB28" s="5">
        <v>1.4809</v>
      </c>
      <c r="BC28" s="4"/>
      <c r="BD28" s="6"/>
      <c r="BE28" s="4"/>
      <c r="BF28" s="6"/>
      <c r="BG28" s="5"/>
      <c r="BH28" s="5"/>
      <c r="BI28" s="4">
        <v>242</v>
      </c>
      <c r="BJ28" s="6">
        <v>4572.17</v>
      </c>
      <c r="BK28" s="4">
        <v>125</v>
      </c>
      <c r="BL28" s="6">
        <v>2534.02</v>
      </c>
      <c r="BM28" s="5">
        <v>0.936</v>
      </c>
      <c r="BN28" s="5">
        <v>0.8043</v>
      </c>
      <c r="BO28" s="4">
        <v>5</v>
      </c>
      <c r="BP28" s="6">
        <v>86.13</v>
      </c>
      <c r="BQ28" s="4">
        <v>16</v>
      </c>
      <c r="BR28" s="6">
        <v>279.54</v>
      </c>
      <c r="BS28" s="5">
        <v>-0.6875</v>
      </c>
      <c r="BT28" s="5">
        <v>-0.6919</v>
      </c>
      <c r="BU28" s="4">
        <v>7</v>
      </c>
      <c r="BV28" s="6">
        <v>141.12</v>
      </c>
      <c r="BW28" s="4">
        <v>19</v>
      </c>
      <c r="BX28" s="6">
        <v>379.59</v>
      </c>
      <c r="BY28" s="5">
        <v>-0.6316</v>
      </c>
      <c r="BZ28" s="5">
        <v>-0.6282</v>
      </c>
      <c r="CA28" s="4">
        <v>1</v>
      </c>
      <c r="CB28" s="6">
        <v>14.81</v>
      </c>
      <c r="CC28" s="4">
        <v>8</v>
      </c>
      <c r="CD28" s="6">
        <v>149.03</v>
      </c>
      <c r="CE28" s="5">
        <v>-0.875</v>
      </c>
      <c r="CF28" s="5">
        <v>-0.9006</v>
      </c>
      <c r="CG28" s="4">
        <v>6</v>
      </c>
      <c r="CH28" s="6">
        <v>114.64</v>
      </c>
      <c r="CI28" s="4">
        <v>12</v>
      </c>
      <c r="CJ28" s="6">
        <v>251.04</v>
      </c>
      <c r="CK28" s="5">
        <v>-0.5</v>
      </c>
      <c r="CL28" s="5">
        <v>-0.5433</v>
      </c>
      <c r="CM28" s="4"/>
      <c r="CN28" s="6"/>
      <c r="CO28" s="4"/>
      <c r="CP28" s="6"/>
      <c r="CQ28" s="5"/>
      <c r="CR28" s="5"/>
      <c r="CS28" s="4"/>
      <c r="CT28" s="6"/>
      <c r="CU28" s="4">
        <v>1</v>
      </c>
      <c r="CV28" s="6">
        <v>22.14</v>
      </c>
      <c r="CW28" s="5"/>
      <c r="CX28" s="5"/>
      <c r="CY28" s="4">
        <v>6</v>
      </c>
      <c r="CZ28" s="6">
        <v>121.87</v>
      </c>
      <c r="DA28" s="4">
        <v>1</v>
      </c>
      <c r="DB28" s="6">
        <v>22.67</v>
      </c>
      <c r="DC28" s="5">
        <v>5</v>
      </c>
      <c r="DD28" s="5">
        <v>4.3758</v>
      </c>
      <c r="DE28" s="4">
        <v>14</v>
      </c>
      <c r="DF28" s="6">
        <v>253.6</v>
      </c>
      <c r="DG28" s="4">
        <v>4</v>
      </c>
      <c r="DH28" s="6">
        <v>85.1</v>
      </c>
      <c r="DI28" s="5">
        <v>2.5</v>
      </c>
      <c r="DJ28" s="5">
        <v>1.98</v>
      </c>
      <c r="DK28" s="4">
        <v>1</v>
      </c>
      <c r="DL28" s="6">
        <v>12.9</v>
      </c>
      <c r="DM28" s="4"/>
      <c r="DN28" s="6"/>
      <c r="DO28" s="5"/>
      <c r="DP28" s="5"/>
      <c r="DQ28" s="4">
        <v>53</v>
      </c>
      <c r="DR28" s="6">
        <v>1159.74</v>
      </c>
      <c r="DS28" s="4">
        <v>33</v>
      </c>
      <c r="DT28" s="6">
        <v>714.85</v>
      </c>
      <c r="DU28" s="5">
        <v>0.6061</v>
      </c>
      <c r="DV28" s="5">
        <v>0.6224</v>
      </c>
      <c r="DW28" s="4">
        <v>15</v>
      </c>
      <c r="DX28" s="6">
        <v>351.5</v>
      </c>
      <c r="DY28" s="4">
        <v>10</v>
      </c>
      <c r="DZ28" s="6">
        <v>223.92</v>
      </c>
      <c r="EA28" s="5">
        <v>0.5</v>
      </c>
      <c r="EB28" s="5">
        <v>0.5698</v>
      </c>
      <c r="EC28" s="4">
        <v>9</v>
      </c>
      <c r="ED28" s="6">
        <v>191.33</v>
      </c>
      <c r="EE28" s="4">
        <v>8</v>
      </c>
      <c r="EF28" s="6">
        <v>151.02</v>
      </c>
      <c r="EG28" s="5">
        <v>0.125</v>
      </c>
      <c r="EH28" s="5">
        <v>0.2669</v>
      </c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>
        <v>1</v>
      </c>
      <c r="FV28" s="6">
        <v>22.4</v>
      </c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/>
      <c r="IB28" s="6"/>
      <c r="IC28" s="4"/>
      <c r="ID28" s="6"/>
      <c r="IE28" s="5"/>
      <c r="IF28" s="5"/>
      <c r="IG28" s="4"/>
      <c r="IH28" s="6"/>
      <c r="II28" s="4"/>
      <c r="IJ28" s="6"/>
      <c r="IK28" s="5"/>
      <c r="IL28" s="5"/>
      <c r="IM28" s="4"/>
      <c r="IN28" s="6"/>
      <c r="IO28" s="4"/>
      <c r="IP28" s="6"/>
      <c r="IQ28" s="5"/>
      <c r="IR28" s="5"/>
      <c r="IS28" s="4"/>
      <c r="IT28" s="6"/>
      <c r="IU28" s="4"/>
      <c r="IV28" s="6"/>
      <c r="IW28" s="5"/>
      <c r="IX28" s="5"/>
      <c r="IY28" s="4"/>
      <c r="IZ28" s="6"/>
      <c r="JA28" s="4"/>
      <c r="JB28" s="6"/>
      <c r="JC28" s="5"/>
      <c r="JD28" s="5"/>
      <c r="JE28" s="4"/>
      <c r="JF28" s="6"/>
      <c r="JG28" s="4"/>
      <c r="JH28" s="6"/>
      <c r="JI28" s="5"/>
      <c r="JJ28" s="5"/>
      <c r="JK28" s="4">
        <v>1306</v>
      </c>
      <c r="JL28" s="4"/>
      <c r="JM28" s="4"/>
      <c r="JN28" s="4"/>
      <c r="JO28" s="4"/>
      <c r="JP28" s="4"/>
      <c r="JQ28" s="4"/>
      <c r="JR28" s="4">
        <v>20</v>
      </c>
      <c r="JS28" s="4"/>
      <c r="JT28" s="4"/>
      <c r="JU28" s="4"/>
      <c r="JV28" s="4"/>
      <c r="JW28" s="4"/>
      <c r="JX28" s="4"/>
      <c r="JY28" s="4"/>
      <c r="JZ28" s="4"/>
      <c r="KA28" s="4">
        <v>70</v>
      </c>
      <c r="KB28" s="4"/>
      <c r="KC28" s="4"/>
      <c r="KD28" s="4"/>
      <c r="KE28" s="4"/>
      <c r="KF28" s="4"/>
      <c r="KG28" s="4"/>
      <c r="KH28" s="4"/>
      <c r="KI28" s="4"/>
      <c r="KJ28" s="4">
        <v>410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>
        <v>370</v>
      </c>
      <c r="KV28" s="4"/>
      <c r="KW28" s="4"/>
      <c r="KX28" s="4"/>
      <c r="KY28" s="4"/>
      <c r="KZ28" s="4"/>
      <c r="LA28" s="4"/>
      <c r="LB28" s="4"/>
      <c r="LC28" s="4"/>
      <c r="LD28" s="4">
        <v>120</v>
      </c>
      <c r="LE28" s="4"/>
      <c r="LF28" s="4"/>
      <c r="LG28" s="4"/>
      <c r="LH28" s="4">
        <v>400</v>
      </c>
      <c r="LI28" s="4"/>
      <c r="LJ28" s="4"/>
      <c r="LK28" s="4"/>
      <c r="LL28" s="4"/>
      <c r="LM28" s="4"/>
    </row>
    <row r="29">
      <c r="A29" s="3" t="s">
        <v>136</v>
      </c>
      <c r="B29" s="3" t="s">
        <v>137</v>
      </c>
      <c r="C29" s="3" t="s">
        <v>138</v>
      </c>
      <c r="D29" s="3" t="s">
        <v>139</v>
      </c>
      <c r="E29" s="3" t="s">
        <v>145</v>
      </c>
      <c r="F29" s="3" t="s">
        <v>145</v>
      </c>
      <c r="G29" s="3" t="s">
        <v>145</v>
      </c>
      <c r="H29" s="3" t="s">
        <v>146</v>
      </c>
      <c r="I29" s="3" t="s">
        <v>245</v>
      </c>
      <c r="J29" s="3" t="s">
        <v>228</v>
      </c>
      <c r="K29" s="4">
        <v>1153</v>
      </c>
      <c r="L29" s="4">
        <f>=ROUNDDOWN(17.2089552238806,0)</f>
      </c>
      <c r="M29" s="4">
        <v>1440</v>
      </c>
      <c r="N29" s="5">
        <v>1</v>
      </c>
      <c r="O29" s="4"/>
      <c r="P29" s="4">
        <f>=ROUNDDOWN({0},0)</f>
      </c>
      <c r="Q29" s="4"/>
      <c r="R29" s="5"/>
      <c r="S29" s="4">
        <v>812</v>
      </c>
      <c r="T29" s="6">
        <v>16394.92</v>
      </c>
      <c r="U29" s="4">
        <v>873</v>
      </c>
      <c r="V29" s="6">
        <v>17372.88</v>
      </c>
      <c r="W29" s="5">
        <v>-0.0699</v>
      </c>
      <c r="X29" s="5">
        <v>-0.0563</v>
      </c>
      <c r="Y29" s="4">
        <v>55</v>
      </c>
      <c r="Z29" s="6">
        <v>1011.67</v>
      </c>
      <c r="AA29" s="4">
        <v>49</v>
      </c>
      <c r="AB29" s="6">
        <v>919.53</v>
      </c>
      <c r="AC29" s="5">
        <v>0.1224</v>
      </c>
      <c r="AD29" s="5">
        <v>0.1002</v>
      </c>
      <c r="AE29" s="4">
        <v>26</v>
      </c>
      <c r="AF29" s="6">
        <v>574.18</v>
      </c>
      <c r="AG29" s="4">
        <v>3</v>
      </c>
      <c r="AH29" s="6">
        <v>65.17</v>
      </c>
      <c r="AI29" s="5">
        <v>7.6667</v>
      </c>
      <c r="AJ29" s="5">
        <v>7.8105</v>
      </c>
      <c r="AK29" s="4"/>
      <c r="AL29" s="6"/>
      <c r="AM29" s="4"/>
      <c r="AN29" s="6"/>
      <c r="AO29" s="5"/>
      <c r="AP29" s="5"/>
      <c r="AQ29" s="4">
        <v>263</v>
      </c>
      <c r="AR29" s="6">
        <v>5582.9</v>
      </c>
      <c r="AS29" s="4">
        <v>315</v>
      </c>
      <c r="AT29" s="6">
        <v>6628.06</v>
      </c>
      <c r="AU29" s="5">
        <v>-0.1651</v>
      </c>
      <c r="AV29" s="5">
        <v>-0.1577</v>
      </c>
      <c r="AW29" s="4">
        <v>176</v>
      </c>
      <c r="AX29" s="6">
        <v>3668.88</v>
      </c>
      <c r="AY29" s="4">
        <v>72</v>
      </c>
      <c r="AZ29" s="6">
        <v>1403.81</v>
      </c>
      <c r="BA29" s="5">
        <v>1.4444</v>
      </c>
      <c r="BB29" s="5">
        <v>1.6135</v>
      </c>
      <c r="BC29" s="4"/>
      <c r="BD29" s="6"/>
      <c r="BE29" s="4"/>
      <c r="BF29" s="6"/>
      <c r="BG29" s="5"/>
      <c r="BH29" s="5"/>
      <c r="BI29" s="4">
        <v>150</v>
      </c>
      <c r="BJ29" s="6">
        <v>2820.42</v>
      </c>
      <c r="BK29" s="4">
        <v>211</v>
      </c>
      <c r="BL29" s="6">
        <v>4041.03</v>
      </c>
      <c r="BM29" s="5">
        <v>-0.2891</v>
      </c>
      <c r="BN29" s="5">
        <v>-0.3021</v>
      </c>
      <c r="BO29" s="4">
        <v>16</v>
      </c>
      <c r="BP29" s="6">
        <v>268.95</v>
      </c>
      <c r="BQ29" s="4">
        <v>17</v>
      </c>
      <c r="BR29" s="6">
        <v>322.07</v>
      </c>
      <c r="BS29" s="5">
        <v>-0.0588</v>
      </c>
      <c r="BT29" s="5">
        <v>-0.1649</v>
      </c>
      <c r="BU29" s="4">
        <v>4</v>
      </c>
      <c r="BV29" s="6">
        <v>69.69</v>
      </c>
      <c r="BW29" s="4">
        <v>25</v>
      </c>
      <c r="BX29" s="6">
        <v>502.85</v>
      </c>
      <c r="BY29" s="5">
        <v>-0.84</v>
      </c>
      <c r="BZ29" s="5">
        <v>-0.8614</v>
      </c>
      <c r="CA29" s="4">
        <v>22</v>
      </c>
      <c r="CB29" s="6">
        <v>428.01</v>
      </c>
      <c r="CC29" s="4">
        <v>33</v>
      </c>
      <c r="CD29" s="6">
        <v>616.91</v>
      </c>
      <c r="CE29" s="5">
        <v>-0.3333</v>
      </c>
      <c r="CF29" s="5">
        <v>-0.3062</v>
      </c>
      <c r="CG29" s="4">
        <v>14</v>
      </c>
      <c r="CH29" s="6">
        <v>223.2</v>
      </c>
      <c r="CI29" s="4">
        <v>31</v>
      </c>
      <c r="CJ29" s="6">
        <v>571.98</v>
      </c>
      <c r="CK29" s="5">
        <v>-0.5484</v>
      </c>
      <c r="CL29" s="5">
        <v>-0.6098</v>
      </c>
      <c r="CM29" s="4"/>
      <c r="CN29" s="6"/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>
        <v>18</v>
      </c>
      <c r="CZ29" s="6">
        <v>342.37</v>
      </c>
      <c r="DA29" s="4">
        <v>69</v>
      </c>
      <c r="DB29" s="6">
        <v>1272.61</v>
      </c>
      <c r="DC29" s="5">
        <v>-0.7391</v>
      </c>
      <c r="DD29" s="5">
        <v>-0.731</v>
      </c>
      <c r="DE29" s="4">
        <v>12</v>
      </c>
      <c r="DF29" s="6">
        <v>207.91</v>
      </c>
      <c r="DG29" s="4">
        <v>2</v>
      </c>
      <c r="DH29" s="6">
        <v>44.02</v>
      </c>
      <c r="DI29" s="5">
        <v>5</v>
      </c>
      <c r="DJ29" s="5">
        <v>3.7231</v>
      </c>
      <c r="DK29" s="4"/>
      <c r="DL29" s="6"/>
      <c r="DM29" s="4"/>
      <c r="DN29" s="6"/>
      <c r="DO29" s="5"/>
      <c r="DP29" s="5"/>
      <c r="DQ29" s="4">
        <v>36</v>
      </c>
      <c r="DR29" s="6">
        <v>749.15</v>
      </c>
      <c r="DS29" s="4">
        <v>16</v>
      </c>
      <c r="DT29" s="6">
        <v>334.04</v>
      </c>
      <c r="DU29" s="5">
        <v>1.25</v>
      </c>
      <c r="DV29" s="5">
        <v>1.2427</v>
      </c>
      <c r="DW29" s="4">
        <v>17</v>
      </c>
      <c r="DX29" s="6">
        <v>391.74</v>
      </c>
      <c r="DY29" s="4">
        <v>14</v>
      </c>
      <c r="DZ29" s="6">
        <v>318.6</v>
      </c>
      <c r="EA29" s="5">
        <v>0.2143</v>
      </c>
      <c r="EB29" s="5">
        <v>0.2296</v>
      </c>
      <c r="EC29" s="4">
        <v>3</v>
      </c>
      <c r="ED29" s="6">
        <v>55.85</v>
      </c>
      <c r="EE29" s="4">
        <v>1</v>
      </c>
      <c r="EF29" s="6">
        <v>17.33</v>
      </c>
      <c r="EG29" s="5">
        <v>2</v>
      </c>
      <c r="EH29" s="5">
        <v>2.2227</v>
      </c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>
        <v>2</v>
      </c>
      <c r="FV29" s="6">
        <v>47.6</v>
      </c>
      <c r="FW29" s="5"/>
      <c r="FX29" s="5"/>
      <c r="FY29" s="4"/>
      <c r="FZ29" s="6"/>
      <c r="GA29" s="4">
        <v>13</v>
      </c>
      <c r="GB29" s="6">
        <v>267.27</v>
      </c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6"/>
      <c r="IC29" s="4"/>
      <c r="ID29" s="6"/>
      <c r="IE29" s="5"/>
      <c r="IF29" s="5"/>
      <c r="IG29" s="4"/>
      <c r="IH29" s="6"/>
      <c r="II29" s="4"/>
      <c r="IJ29" s="6"/>
      <c r="IK29" s="5"/>
      <c r="IL29" s="5"/>
      <c r="IM29" s="4"/>
      <c r="IN29" s="6"/>
      <c r="IO29" s="4"/>
      <c r="IP29" s="6"/>
      <c r="IQ29" s="5"/>
      <c r="IR29" s="5"/>
      <c r="IS29" s="4"/>
      <c r="IT29" s="6"/>
      <c r="IU29" s="4"/>
      <c r="IV29" s="6"/>
      <c r="IW29" s="5"/>
      <c r="IX29" s="5"/>
      <c r="IY29" s="4"/>
      <c r="IZ29" s="6"/>
      <c r="JA29" s="4"/>
      <c r="JB29" s="6"/>
      <c r="JC29" s="5"/>
      <c r="JD29" s="5"/>
      <c r="JE29" s="4"/>
      <c r="JF29" s="6"/>
      <c r="JG29" s="4"/>
      <c r="JH29" s="6"/>
      <c r="JI29" s="5"/>
      <c r="JJ29" s="5"/>
      <c r="JK29" s="4">
        <v>1153</v>
      </c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>
        <v>520</v>
      </c>
      <c r="KB29" s="4"/>
      <c r="KC29" s="4"/>
      <c r="KD29" s="4"/>
      <c r="KE29" s="4"/>
      <c r="KF29" s="4"/>
      <c r="KG29" s="4"/>
      <c r="KH29" s="4"/>
      <c r="KI29" s="4"/>
      <c r="KJ29" s="4">
        <v>140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>
        <v>400</v>
      </c>
      <c r="KV29" s="4"/>
      <c r="KW29" s="4"/>
      <c r="KX29" s="4"/>
      <c r="KY29" s="4"/>
      <c r="KZ29" s="4"/>
      <c r="LA29" s="4"/>
      <c r="LB29" s="4"/>
      <c r="LC29" s="4"/>
      <c r="LD29" s="4">
        <v>280</v>
      </c>
      <c r="LE29" s="4"/>
      <c r="LF29" s="4"/>
      <c r="LG29" s="4"/>
      <c r="LH29" s="4">
        <v>100</v>
      </c>
      <c r="LI29" s="4"/>
      <c r="LJ29" s="4"/>
      <c r="LK29" s="4"/>
      <c r="LL29" s="4"/>
      <c r="LM29" s="4"/>
    </row>
    <row r="30">
      <c r="A30" s="3" t="s">
        <v>136</v>
      </c>
      <c r="B30" s="3" t="s">
        <v>137</v>
      </c>
      <c r="C30" s="3" t="s">
        <v>138</v>
      </c>
      <c r="D30" s="3" t="s">
        <v>139</v>
      </c>
      <c r="E30" s="3" t="s">
        <v>145</v>
      </c>
      <c r="F30" s="3" t="s">
        <v>145</v>
      </c>
      <c r="G30" s="3" t="s">
        <v>145</v>
      </c>
      <c r="H30" s="3" t="s">
        <v>146</v>
      </c>
      <c r="I30" s="3" t="s">
        <v>230</v>
      </c>
      <c r="J30" s="3" t="s">
        <v>228</v>
      </c>
      <c r="K30" s="4">
        <v>667</v>
      </c>
      <c r="L30" s="4">
        <f>=ROUNDDOWN(11.0797342192691,0)</f>
      </c>
      <c r="M30" s="4">
        <v>1540</v>
      </c>
      <c r="N30" s="5">
        <v>1</v>
      </c>
      <c r="O30" s="4"/>
      <c r="P30" s="4">
        <f>=ROUNDDOWN({0},0)</f>
      </c>
      <c r="Q30" s="4"/>
      <c r="R30" s="5"/>
      <c r="S30" s="4">
        <v>671</v>
      </c>
      <c r="T30" s="6">
        <v>13462.48</v>
      </c>
      <c r="U30" s="4">
        <v>615</v>
      </c>
      <c r="V30" s="6">
        <v>12464.73</v>
      </c>
      <c r="W30" s="5">
        <v>0.0911</v>
      </c>
      <c r="X30" s="5">
        <v>0.08</v>
      </c>
      <c r="Y30" s="4">
        <v>65</v>
      </c>
      <c r="Z30" s="6">
        <v>1221.05</v>
      </c>
      <c r="AA30" s="4">
        <v>79</v>
      </c>
      <c r="AB30" s="6">
        <v>1481</v>
      </c>
      <c r="AC30" s="5">
        <v>-0.1772</v>
      </c>
      <c r="AD30" s="5">
        <v>-0.1755</v>
      </c>
      <c r="AE30" s="4">
        <v>9</v>
      </c>
      <c r="AF30" s="6">
        <v>193.05</v>
      </c>
      <c r="AG30" s="4">
        <v>2</v>
      </c>
      <c r="AH30" s="6">
        <v>42.21</v>
      </c>
      <c r="AI30" s="5">
        <v>3.5</v>
      </c>
      <c r="AJ30" s="5">
        <v>3.5736</v>
      </c>
      <c r="AK30" s="4"/>
      <c r="AL30" s="6"/>
      <c r="AM30" s="4"/>
      <c r="AN30" s="6"/>
      <c r="AO30" s="5"/>
      <c r="AP30" s="5"/>
      <c r="AQ30" s="4">
        <v>7</v>
      </c>
      <c r="AR30" s="6">
        <v>168.98</v>
      </c>
      <c r="AS30" s="4">
        <v>14</v>
      </c>
      <c r="AT30" s="6">
        <v>337.96</v>
      </c>
      <c r="AU30" s="5">
        <v>-0.5</v>
      </c>
      <c r="AV30" s="5">
        <v>-0.5</v>
      </c>
      <c r="AW30" s="4">
        <v>223</v>
      </c>
      <c r="AX30" s="6">
        <v>4795.41</v>
      </c>
      <c r="AY30" s="4">
        <v>79</v>
      </c>
      <c r="AZ30" s="6">
        <v>1563.21</v>
      </c>
      <c r="BA30" s="5">
        <v>1.8228</v>
      </c>
      <c r="BB30" s="5">
        <v>2.0677</v>
      </c>
      <c r="BC30" s="4"/>
      <c r="BD30" s="6"/>
      <c r="BE30" s="4"/>
      <c r="BF30" s="6"/>
      <c r="BG30" s="5"/>
      <c r="BH30" s="5"/>
      <c r="BI30" s="4">
        <v>253</v>
      </c>
      <c r="BJ30" s="6">
        <v>4675.62</v>
      </c>
      <c r="BK30" s="4">
        <v>199</v>
      </c>
      <c r="BL30" s="6">
        <v>3990.13</v>
      </c>
      <c r="BM30" s="5">
        <v>0.2714</v>
      </c>
      <c r="BN30" s="5">
        <v>0.1718</v>
      </c>
      <c r="BO30" s="4">
        <v>9</v>
      </c>
      <c r="BP30" s="6">
        <v>163.78</v>
      </c>
      <c r="BQ30" s="4">
        <v>37</v>
      </c>
      <c r="BR30" s="6">
        <v>685.31</v>
      </c>
      <c r="BS30" s="5">
        <v>-0.7568</v>
      </c>
      <c r="BT30" s="5">
        <v>-0.761</v>
      </c>
      <c r="BU30" s="4">
        <v>12</v>
      </c>
      <c r="BV30" s="6">
        <v>264.96</v>
      </c>
      <c r="BW30" s="4">
        <v>24</v>
      </c>
      <c r="BX30" s="6">
        <v>483.82</v>
      </c>
      <c r="BY30" s="5">
        <v>-0.5</v>
      </c>
      <c r="BZ30" s="5">
        <v>-0.4524</v>
      </c>
      <c r="CA30" s="4">
        <v>30</v>
      </c>
      <c r="CB30" s="6">
        <v>595.87</v>
      </c>
      <c r="CC30" s="4">
        <v>49</v>
      </c>
      <c r="CD30" s="6">
        <v>1059.67</v>
      </c>
      <c r="CE30" s="5">
        <v>-0.3878</v>
      </c>
      <c r="CF30" s="5">
        <v>-0.4377</v>
      </c>
      <c r="CG30" s="4"/>
      <c r="CH30" s="6"/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/>
      <c r="CT30" s="6"/>
      <c r="CU30" s="4">
        <v>1</v>
      </c>
      <c r="CV30" s="6">
        <v>13.84</v>
      </c>
      <c r="CW30" s="5"/>
      <c r="CX30" s="5"/>
      <c r="CY30" s="4">
        <v>3</v>
      </c>
      <c r="CZ30" s="6">
        <v>45.93</v>
      </c>
      <c r="DA30" s="4">
        <v>7</v>
      </c>
      <c r="DB30" s="6">
        <v>104.85</v>
      </c>
      <c r="DC30" s="5">
        <v>-0.5714</v>
      </c>
      <c r="DD30" s="5">
        <v>-0.5619</v>
      </c>
      <c r="DE30" s="4">
        <v>8</v>
      </c>
      <c r="DF30" s="6">
        <v>167.3</v>
      </c>
      <c r="DG30" s="4">
        <v>11</v>
      </c>
      <c r="DH30" s="6">
        <v>204.87</v>
      </c>
      <c r="DI30" s="5">
        <v>-0.2727</v>
      </c>
      <c r="DJ30" s="5">
        <v>-0.1834</v>
      </c>
      <c r="DK30" s="4">
        <v>1</v>
      </c>
      <c r="DL30" s="6">
        <v>16.49</v>
      </c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>
        <v>44</v>
      </c>
      <c r="DX30" s="6">
        <v>993.22</v>
      </c>
      <c r="DY30" s="4">
        <v>63</v>
      </c>
      <c r="DZ30" s="6">
        <v>1430.9</v>
      </c>
      <c r="EA30" s="5">
        <v>-0.3016</v>
      </c>
      <c r="EB30" s="5">
        <v>-0.3059</v>
      </c>
      <c r="EC30" s="4">
        <v>1</v>
      </c>
      <c r="ED30" s="6">
        <v>22.58</v>
      </c>
      <c r="EE30" s="4">
        <v>2</v>
      </c>
      <c r="EF30" s="6">
        <v>45.16</v>
      </c>
      <c r="EG30" s="5">
        <v>-0.5</v>
      </c>
      <c r="EH30" s="5">
        <v>-0.5</v>
      </c>
      <c r="EI30" s="4">
        <v>6</v>
      </c>
      <c r="EJ30" s="6">
        <v>138.24</v>
      </c>
      <c r="EK30" s="4">
        <v>16</v>
      </c>
      <c r="EL30" s="6">
        <v>368.64</v>
      </c>
      <c r="EM30" s="5">
        <v>-0.625</v>
      </c>
      <c r="EN30" s="5">
        <v>-0.625</v>
      </c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>
        <v>16</v>
      </c>
      <c r="FV30" s="6">
        <v>328.3</v>
      </c>
      <c r="FW30" s="5"/>
      <c r="FX30" s="5"/>
      <c r="FY30" s="4"/>
      <c r="FZ30" s="6"/>
      <c r="GA30" s="4">
        <v>6</v>
      </c>
      <c r="GB30" s="6">
        <v>106.6</v>
      </c>
      <c r="GC30" s="5"/>
      <c r="GD30" s="5"/>
      <c r="GE30" s="4"/>
      <c r="GF30" s="6"/>
      <c r="GG30" s="4">
        <v>10</v>
      </c>
      <c r="GH30" s="6">
        <v>218.26</v>
      </c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/>
      <c r="IB30" s="6"/>
      <c r="IC30" s="4"/>
      <c r="ID30" s="6"/>
      <c r="IE30" s="5"/>
      <c r="IF30" s="5"/>
      <c r="IG30" s="4"/>
      <c r="IH30" s="6"/>
      <c r="II30" s="4"/>
      <c r="IJ30" s="6"/>
      <c r="IK30" s="5"/>
      <c r="IL30" s="5"/>
      <c r="IM30" s="4"/>
      <c r="IN30" s="6"/>
      <c r="IO30" s="4"/>
      <c r="IP30" s="6"/>
      <c r="IQ30" s="5"/>
      <c r="IR30" s="5"/>
      <c r="IS30" s="4"/>
      <c r="IT30" s="6"/>
      <c r="IU30" s="4"/>
      <c r="IV30" s="6"/>
      <c r="IW30" s="5"/>
      <c r="IX30" s="5"/>
      <c r="IY30" s="4"/>
      <c r="IZ30" s="6"/>
      <c r="JA30" s="4"/>
      <c r="JB30" s="6"/>
      <c r="JC30" s="5"/>
      <c r="JD30" s="5"/>
      <c r="JE30" s="4"/>
      <c r="JF30" s="6"/>
      <c r="JG30" s="4"/>
      <c r="JH30" s="6"/>
      <c r="JI30" s="5"/>
      <c r="JJ30" s="5"/>
      <c r="JK30" s="4">
        <v>667</v>
      </c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>
        <v>300</v>
      </c>
      <c r="KB30" s="4"/>
      <c r="KC30" s="4"/>
      <c r="KD30" s="4"/>
      <c r="KE30" s="4"/>
      <c r="KF30" s="4"/>
      <c r="KG30" s="4"/>
      <c r="KH30" s="4"/>
      <c r="KI30" s="4"/>
      <c r="KJ30" s="4">
        <v>430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>
        <v>400</v>
      </c>
      <c r="KV30" s="4"/>
      <c r="KW30" s="4"/>
      <c r="KX30" s="4"/>
      <c r="KY30" s="4"/>
      <c r="KZ30" s="4"/>
      <c r="LA30" s="4"/>
      <c r="LB30" s="4"/>
      <c r="LC30" s="4"/>
      <c r="LD30" s="4">
        <v>130</v>
      </c>
      <c r="LE30" s="4"/>
      <c r="LF30" s="4"/>
      <c r="LG30" s="4"/>
      <c r="LH30" s="4">
        <v>280</v>
      </c>
      <c r="LI30" s="4"/>
      <c r="LJ30" s="4"/>
      <c r="LK30" s="4"/>
      <c r="LL30" s="4"/>
      <c r="LM30" s="4"/>
    </row>
    <row r="31">
      <c r="A31" s="3" t="s">
        <v>136</v>
      </c>
      <c r="B31" s="3" t="s">
        <v>137</v>
      </c>
      <c r="C31" s="3" t="s">
        <v>138</v>
      </c>
      <c r="D31" s="3" t="s">
        <v>139</v>
      </c>
      <c r="E31" s="3" t="s">
        <v>145</v>
      </c>
      <c r="F31" s="3" t="s">
        <v>145</v>
      </c>
      <c r="G31" s="3" t="s">
        <v>145</v>
      </c>
      <c r="H31" s="3" t="s">
        <v>146</v>
      </c>
      <c r="I31" s="3" t="s">
        <v>227</v>
      </c>
      <c r="J31" s="3" t="s">
        <v>228</v>
      </c>
      <c r="K31" s="4">
        <v>703</v>
      </c>
      <c r="L31" s="4">
        <f>=ROUNDDOWN(14.9574468085106,0)</f>
      </c>
      <c r="M31" s="4">
        <v>1180</v>
      </c>
      <c r="N31" s="5">
        <v>1</v>
      </c>
      <c r="O31" s="4"/>
      <c r="P31" s="4">
        <f>=ROUNDDOWN({0},0)</f>
      </c>
      <c r="Q31" s="4"/>
      <c r="R31" s="5"/>
      <c r="S31" s="4">
        <v>618</v>
      </c>
      <c r="T31" s="6">
        <v>11925.56</v>
      </c>
      <c r="U31" s="4">
        <v>450</v>
      </c>
      <c r="V31" s="6">
        <v>8499.08</v>
      </c>
      <c r="W31" s="5">
        <v>0.3733</v>
      </c>
      <c r="X31" s="5">
        <v>0.4032</v>
      </c>
      <c r="Y31" s="4">
        <v>93</v>
      </c>
      <c r="Z31" s="6">
        <v>1710.9</v>
      </c>
      <c r="AA31" s="4">
        <v>70</v>
      </c>
      <c r="AB31" s="6">
        <v>1368.23</v>
      </c>
      <c r="AC31" s="5">
        <v>0.3286</v>
      </c>
      <c r="AD31" s="5">
        <v>0.2504</v>
      </c>
      <c r="AE31" s="4">
        <v>7</v>
      </c>
      <c r="AF31" s="6">
        <v>146.49</v>
      </c>
      <c r="AG31" s="4">
        <v>2</v>
      </c>
      <c r="AH31" s="6">
        <v>39.5</v>
      </c>
      <c r="AI31" s="5">
        <v>2.5</v>
      </c>
      <c r="AJ31" s="5">
        <v>2.7086</v>
      </c>
      <c r="AK31" s="4"/>
      <c r="AL31" s="6"/>
      <c r="AM31" s="4"/>
      <c r="AN31" s="6"/>
      <c r="AO31" s="5"/>
      <c r="AP31" s="5"/>
      <c r="AQ31" s="4"/>
      <c r="AR31" s="6"/>
      <c r="AS31" s="4"/>
      <c r="AT31" s="6"/>
      <c r="AU31" s="5"/>
      <c r="AV31" s="5"/>
      <c r="AW31" s="4">
        <v>186</v>
      </c>
      <c r="AX31" s="6">
        <v>3698.57</v>
      </c>
      <c r="AY31" s="4">
        <v>69</v>
      </c>
      <c r="AZ31" s="6">
        <v>1293.55</v>
      </c>
      <c r="BA31" s="5">
        <v>1.6957</v>
      </c>
      <c r="BB31" s="5">
        <v>1.8592</v>
      </c>
      <c r="BC31" s="4">
        <v>16</v>
      </c>
      <c r="BD31" s="6">
        <v>329.28</v>
      </c>
      <c r="BE31" s="4">
        <v>39</v>
      </c>
      <c r="BF31" s="6">
        <v>779.15</v>
      </c>
      <c r="BG31" s="5">
        <v>-0.5897</v>
      </c>
      <c r="BH31" s="5">
        <v>-0.5774</v>
      </c>
      <c r="BI31" s="4">
        <v>149</v>
      </c>
      <c r="BJ31" s="6">
        <v>2531.44</v>
      </c>
      <c r="BK31" s="4">
        <v>88</v>
      </c>
      <c r="BL31" s="6">
        <v>1587.31</v>
      </c>
      <c r="BM31" s="5">
        <v>0.6932</v>
      </c>
      <c r="BN31" s="5">
        <v>0.5948</v>
      </c>
      <c r="BO31" s="4">
        <v>1</v>
      </c>
      <c r="BP31" s="6">
        <v>14.86</v>
      </c>
      <c r="BQ31" s="4">
        <v>17</v>
      </c>
      <c r="BR31" s="6">
        <v>306.08</v>
      </c>
      <c r="BS31" s="5">
        <v>-0.9412</v>
      </c>
      <c r="BT31" s="5">
        <v>-0.9515</v>
      </c>
      <c r="BU31" s="4">
        <v>10</v>
      </c>
      <c r="BV31" s="6">
        <v>216</v>
      </c>
      <c r="BW31" s="4">
        <v>20</v>
      </c>
      <c r="BX31" s="6">
        <v>392.26</v>
      </c>
      <c r="BY31" s="5">
        <v>-0.5</v>
      </c>
      <c r="BZ31" s="5">
        <v>-0.4493</v>
      </c>
      <c r="CA31" s="4">
        <v>130</v>
      </c>
      <c r="CB31" s="6">
        <v>2743.79</v>
      </c>
      <c r="CC31" s="4">
        <v>126</v>
      </c>
      <c r="CD31" s="6">
        <v>2322.38</v>
      </c>
      <c r="CE31" s="5">
        <v>0.0317</v>
      </c>
      <c r="CF31" s="5">
        <v>0.1815</v>
      </c>
      <c r="CG31" s="4"/>
      <c r="CH31" s="6"/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>
        <v>4</v>
      </c>
      <c r="CZ31" s="6">
        <v>82.18</v>
      </c>
      <c r="DA31" s="4"/>
      <c r="DB31" s="6"/>
      <c r="DC31" s="5"/>
      <c r="DD31" s="5"/>
      <c r="DE31" s="4">
        <v>9</v>
      </c>
      <c r="DF31" s="6">
        <v>170.38</v>
      </c>
      <c r="DG31" s="4">
        <v>3</v>
      </c>
      <c r="DH31" s="6">
        <v>61.64</v>
      </c>
      <c r="DI31" s="5">
        <v>2</v>
      </c>
      <c r="DJ31" s="5">
        <v>1.7641</v>
      </c>
      <c r="DK31" s="4"/>
      <c r="DL31" s="6"/>
      <c r="DM31" s="4"/>
      <c r="DN31" s="6"/>
      <c r="DO31" s="5"/>
      <c r="DP31" s="5"/>
      <c r="DQ31" s="4">
        <v>9</v>
      </c>
      <c r="DR31" s="6">
        <v>203.24</v>
      </c>
      <c r="DS31" s="4">
        <v>4</v>
      </c>
      <c r="DT31" s="6">
        <v>90.65</v>
      </c>
      <c r="DU31" s="5">
        <v>1.25</v>
      </c>
      <c r="DV31" s="5">
        <v>1.242</v>
      </c>
      <c r="DW31" s="4"/>
      <c r="DX31" s="6"/>
      <c r="DY31" s="4"/>
      <c r="DZ31" s="6"/>
      <c r="EA31" s="5"/>
      <c r="EB31" s="5"/>
      <c r="EC31" s="4">
        <v>4</v>
      </c>
      <c r="ED31" s="6">
        <v>78.43</v>
      </c>
      <c r="EE31" s="4">
        <v>3</v>
      </c>
      <c r="EF31" s="6">
        <v>53.23</v>
      </c>
      <c r="EG31" s="5">
        <v>0.3333</v>
      </c>
      <c r="EH31" s="5">
        <v>0.4734</v>
      </c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>
        <v>7</v>
      </c>
      <c r="FV31" s="6">
        <v>165.2</v>
      </c>
      <c r="FW31" s="5"/>
      <c r="FX31" s="5"/>
      <c r="FY31" s="4"/>
      <c r="FZ31" s="6"/>
      <c r="GA31" s="4">
        <v>2</v>
      </c>
      <c r="GB31" s="6">
        <v>39.9</v>
      </c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/>
      <c r="IB31" s="6"/>
      <c r="IC31" s="4"/>
      <c r="ID31" s="6"/>
      <c r="IE31" s="5"/>
      <c r="IF31" s="5"/>
      <c r="IG31" s="4"/>
      <c r="IH31" s="6"/>
      <c r="II31" s="4"/>
      <c r="IJ31" s="6"/>
      <c r="IK31" s="5"/>
      <c r="IL31" s="5"/>
      <c r="IM31" s="4"/>
      <c r="IN31" s="6"/>
      <c r="IO31" s="4"/>
      <c r="IP31" s="6"/>
      <c r="IQ31" s="5"/>
      <c r="IR31" s="5"/>
      <c r="IS31" s="4"/>
      <c r="IT31" s="6"/>
      <c r="IU31" s="4"/>
      <c r="IV31" s="6"/>
      <c r="IW31" s="5"/>
      <c r="IX31" s="5"/>
      <c r="IY31" s="4"/>
      <c r="IZ31" s="6"/>
      <c r="JA31" s="4"/>
      <c r="JB31" s="6"/>
      <c r="JC31" s="5"/>
      <c r="JD31" s="5"/>
      <c r="JE31" s="4"/>
      <c r="JF31" s="6"/>
      <c r="JG31" s="4"/>
      <c r="JH31" s="6"/>
      <c r="JI31" s="5"/>
      <c r="JJ31" s="5"/>
      <c r="JK31" s="4">
        <v>672</v>
      </c>
      <c r="JL31" s="4">
        <v>1</v>
      </c>
      <c r="JM31" s="4"/>
      <c r="JN31" s="4"/>
      <c r="JO31" s="4"/>
      <c r="JP31" s="4"/>
      <c r="JQ31" s="4"/>
      <c r="JR31" s="4">
        <v>30</v>
      </c>
      <c r="JS31" s="4"/>
      <c r="JT31" s="4"/>
      <c r="JU31" s="4"/>
      <c r="JV31" s="4"/>
      <c r="JW31" s="4"/>
      <c r="JX31" s="4"/>
      <c r="JY31" s="4"/>
      <c r="JZ31" s="4"/>
      <c r="KA31" s="4">
        <v>200</v>
      </c>
      <c r="KB31" s="4"/>
      <c r="KC31" s="4"/>
      <c r="KD31" s="4"/>
      <c r="KE31" s="4"/>
      <c r="KF31" s="4"/>
      <c r="KG31" s="4"/>
      <c r="KH31" s="4"/>
      <c r="KI31" s="4"/>
      <c r="KJ31" s="4">
        <v>200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>
        <v>470</v>
      </c>
      <c r="KV31" s="4"/>
      <c r="KW31" s="4"/>
      <c r="KX31" s="4"/>
      <c r="KY31" s="4"/>
      <c r="KZ31" s="4"/>
      <c r="LA31" s="4"/>
      <c r="LB31" s="4"/>
      <c r="LC31" s="4"/>
      <c r="LD31" s="4">
        <v>200</v>
      </c>
      <c r="LE31" s="4"/>
      <c r="LF31" s="4"/>
      <c r="LG31" s="4"/>
      <c r="LH31" s="4">
        <v>110</v>
      </c>
      <c r="LI31" s="4"/>
      <c r="LJ31" s="4"/>
      <c r="LK31" s="4"/>
      <c r="LL31" s="4"/>
      <c r="LM31" s="4"/>
    </row>
    <row r="32">
      <c r="A32" s="3" t="s">
        <v>136</v>
      </c>
      <c r="B32" s="3" t="s">
        <v>137</v>
      </c>
      <c r="C32" s="3" t="s">
        <v>138</v>
      </c>
      <c r="D32" s="3" t="s">
        <v>139</v>
      </c>
      <c r="E32" s="3" t="s">
        <v>145</v>
      </c>
      <c r="F32" s="3" t="s">
        <v>145</v>
      </c>
      <c r="G32" s="3" t="s">
        <v>145</v>
      </c>
      <c r="H32" s="3" t="s">
        <v>146</v>
      </c>
      <c r="I32" s="3" t="s">
        <v>240</v>
      </c>
      <c r="J32" s="3" t="s">
        <v>228</v>
      </c>
      <c r="K32" s="4">
        <v>1077</v>
      </c>
      <c r="L32" s="4">
        <f>=ROUNDDOWN(20.359168241966,0)</f>
      </c>
      <c r="M32" s="4">
        <v>1122</v>
      </c>
      <c r="N32" s="5">
        <v>0.9972</v>
      </c>
      <c r="O32" s="4"/>
      <c r="P32" s="4">
        <f>=ROUNDDOWN({0},0)</f>
      </c>
      <c r="Q32" s="4"/>
      <c r="R32" s="5"/>
      <c r="S32" s="4">
        <v>582</v>
      </c>
      <c r="T32" s="6">
        <v>11439.8</v>
      </c>
      <c r="U32" s="4">
        <v>464</v>
      </c>
      <c r="V32" s="6">
        <v>9003.08</v>
      </c>
      <c r="W32" s="5">
        <v>0.2543</v>
      </c>
      <c r="X32" s="5">
        <v>0.2707</v>
      </c>
      <c r="Y32" s="4">
        <v>68</v>
      </c>
      <c r="Z32" s="6">
        <v>1238.43</v>
      </c>
      <c r="AA32" s="4">
        <v>82</v>
      </c>
      <c r="AB32" s="6">
        <v>1519.54</v>
      </c>
      <c r="AC32" s="5">
        <v>-0.1707</v>
      </c>
      <c r="AD32" s="5">
        <v>-0.185</v>
      </c>
      <c r="AE32" s="4">
        <v>9</v>
      </c>
      <c r="AF32" s="6">
        <v>204.87</v>
      </c>
      <c r="AG32" s="4">
        <v>2</v>
      </c>
      <c r="AH32" s="6">
        <v>42.32</v>
      </c>
      <c r="AI32" s="5">
        <v>3.5</v>
      </c>
      <c r="AJ32" s="5">
        <v>3.841</v>
      </c>
      <c r="AK32" s="4"/>
      <c r="AL32" s="6"/>
      <c r="AM32" s="4"/>
      <c r="AN32" s="6"/>
      <c r="AO32" s="5"/>
      <c r="AP32" s="5"/>
      <c r="AQ32" s="4"/>
      <c r="AR32" s="6"/>
      <c r="AS32" s="4"/>
      <c r="AT32" s="6"/>
      <c r="AU32" s="5"/>
      <c r="AV32" s="5"/>
      <c r="AW32" s="4">
        <v>203</v>
      </c>
      <c r="AX32" s="6">
        <v>4276.62</v>
      </c>
      <c r="AY32" s="4">
        <v>81</v>
      </c>
      <c r="AZ32" s="6">
        <v>1536.69</v>
      </c>
      <c r="BA32" s="5">
        <v>1.5062</v>
      </c>
      <c r="BB32" s="5">
        <v>1.783</v>
      </c>
      <c r="BC32" s="4">
        <v>15</v>
      </c>
      <c r="BD32" s="6">
        <v>311.64</v>
      </c>
      <c r="BE32" s="4">
        <v>32</v>
      </c>
      <c r="BF32" s="6">
        <v>646.9</v>
      </c>
      <c r="BG32" s="5">
        <v>-0.5312</v>
      </c>
      <c r="BH32" s="5">
        <v>-0.5183</v>
      </c>
      <c r="BI32" s="4">
        <v>165</v>
      </c>
      <c r="BJ32" s="6">
        <v>2862.59</v>
      </c>
      <c r="BK32" s="4">
        <v>115</v>
      </c>
      <c r="BL32" s="6">
        <v>2159.83</v>
      </c>
      <c r="BM32" s="5">
        <v>0.4348</v>
      </c>
      <c r="BN32" s="5">
        <v>0.3254</v>
      </c>
      <c r="BO32" s="4">
        <v>10</v>
      </c>
      <c r="BP32" s="6">
        <v>154.77</v>
      </c>
      <c r="BQ32" s="4">
        <v>12</v>
      </c>
      <c r="BR32" s="6">
        <v>221.47</v>
      </c>
      <c r="BS32" s="5">
        <v>-0.1667</v>
      </c>
      <c r="BT32" s="5">
        <v>-0.3012</v>
      </c>
      <c r="BU32" s="4">
        <v>12</v>
      </c>
      <c r="BV32" s="6">
        <v>241.91</v>
      </c>
      <c r="BW32" s="4">
        <v>19</v>
      </c>
      <c r="BX32" s="6">
        <v>377.28</v>
      </c>
      <c r="BY32" s="5">
        <v>-0.3684</v>
      </c>
      <c r="BZ32" s="5">
        <v>-0.3588</v>
      </c>
      <c r="CA32" s="4">
        <v>27</v>
      </c>
      <c r="CB32" s="6">
        <v>551.2</v>
      </c>
      <c r="CC32" s="4">
        <v>28</v>
      </c>
      <c r="CD32" s="6">
        <v>536.55</v>
      </c>
      <c r="CE32" s="5">
        <v>-0.0357</v>
      </c>
      <c r="CF32" s="5">
        <v>0.0273</v>
      </c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>
        <v>4</v>
      </c>
      <c r="CZ32" s="6">
        <v>76.52</v>
      </c>
      <c r="DA32" s="4">
        <v>7</v>
      </c>
      <c r="DB32" s="6">
        <v>130.36</v>
      </c>
      <c r="DC32" s="5">
        <v>-0.4286</v>
      </c>
      <c r="DD32" s="5">
        <v>-0.413</v>
      </c>
      <c r="DE32" s="4">
        <v>7</v>
      </c>
      <c r="DF32" s="6">
        <v>152.6</v>
      </c>
      <c r="DG32" s="4">
        <v>3</v>
      </c>
      <c r="DH32" s="6">
        <v>55.78</v>
      </c>
      <c r="DI32" s="5">
        <v>1.3333</v>
      </c>
      <c r="DJ32" s="5">
        <v>1.7357</v>
      </c>
      <c r="DK32" s="4"/>
      <c r="DL32" s="6"/>
      <c r="DM32" s="4"/>
      <c r="DN32" s="6"/>
      <c r="DO32" s="5"/>
      <c r="DP32" s="5"/>
      <c r="DQ32" s="4">
        <v>23</v>
      </c>
      <c r="DR32" s="6">
        <v>472.34</v>
      </c>
      <c r="DS32" s="4">
        <v>18</v>
      </c>
      <c r="DT32" s="6">
        <v>364.37</v>
      </c>
      <c r="DU32" s="5">
        <v>0.2778</v>
      </c>
      <c r="DV32" s="5">
        <v>0.2963</v>
      </c>
      <c r="DW32" s="4">
        <v>37</v>
      </c>
      <c r="DX32" s="6">
        <v>853.78</v>
      </c>
      <c r="DY32" s="4">
        <v>39</v>
      </c>
      <c r="DZ32" s="6">
        <v>894.02</v>
      </c>
      <c r="EA32" s="5">
        <v>-0.0513</v>
      </c>
      <c r="EB32" s="5">
        <v>-0.045</v>
      </c>
      <c r="EC32" s="4">
        <v>2</v>
      </c>
      <c r="ED32" s="6">
        <v>42.53</v>
      </c>
      <c r="EE32" s="4">
        <v>10</v>
      </c>
      <c r="EF32" s="6">
        <v>197.56</v>
      </c>
      <c r="EG32" s="5">
        <v>-0.8</v>
      </c>
      <c r="EH32" s="5">
        <v>-0.7847</v>
      </c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>
        <v>11</v>
      </c>
      <c r="FV32" s="6">
        <v>239.4</v>
      </c>
      <c r="FW32" s="5"/>
      <c r="FX32" s="5"/>
      <c r="FY32" s="4"/>
      <c r="FZ32" s="6"/>
      <c r="GA32" s="4">
        <v>5</v>
      </c>
      <c r="GB32" s="6">
        <v>81.01</v>
      </c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/>
      <c r="IB32" s="6"/>
      <c r="IC32" s="4"/>
      <c r="ID32" s="6"/>
      <c r="IE32" s="5"/>
      <c r="IF32" s="5"/>
      <c r="IG32" s="4"/>
      <c r="IH32" s="6"/>
      <c r="II32" s="4"/>
      <c r="IJ32" s="6"/>
      <c r="IK32" s="5"/>
      <c r="IL32" s="5"/>
      <c r="IM32" s="4"/>
      <c r="IN32" s="6"/>
      <c r="IO32" s="4"/>
      <c r="IP32" s="6"/>
      <c r="IQ32" s="5"/>
      <c r="IR32" s="5"/>
      <c r="IS32" s="4"/>
      <c r="IT32" s="6"/>
      <c r="IU32" s="4"/>
      <c r="IV32" s="6"/>
      <c r="IW32" s="5"/>
      <c r="IX32" s="5"/>
      <c r="IY32" s="4"/>
      <c r="IZ32" s="6"/>
      <c r="JA32" s="4"/>
      <c r="JB32" s="6"/>
      <c r="JC32" s="5"/>
      <c r="JD32" s="5"/>
      <c r="JE32" s="4"/>
      <c r="JF32" s="6"/>
      <c r="JG32" s="4"/>
      <c r="JH32" s="6"/>
      <c r="JI32" s="5"/>
      <c r="JJ32" s="5"/>
      <c r="JK32" s="4">
        <v>1047</v>
      </c>
      <c r="JL32" s="4"/>
      <c r="JM32" s="4"/>
      <c r="JN32" s="4"/>
      <c r="JO32" s="4"/>
      <c r="JP32" s="4"/>
      <c r="JQ32" s="4"/>
      <c r="JR32" s="4">
        <v>30</v>
      </c>
      <c r="JS32" s="4"/>
      <c r="JT32" s="4"/>
      <c r="JU32" s="4"/>
      <c r="JV32" s="4"/>
      <c r="JW32" s="4"/>
      <c r="JX32" s="4"/>
      <c r="JY32" s="4"/>
      <c r="JZ32" s="4"/>
      <c r="KA32" s="4">
        <v>300</v>
      </c>
      <c r="KB32" s="4"/>
      <c r="KC32" s="4"/>
      <c r="KD32" s="4"/>
      <c r="KE32" s="4"/>
      <c r="KF32" s="4"/>
      <c r="KG32" s="4"/>
      <c r="KH32" s="4"/>
      <c r="KI32" s="4"/>
      <c r="KJ32" s="4">
        <v>200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>
        <v>270</v>
      </c>
      <c r="KV32" s="4"/>
      <c r="KW32" s="4"/>
      <c r="KX32" s="4"/>
      <c r="KY32" s="4"/>
      <c r="KZ32" s="4"/>
      <c r="LA32" s="4"/>
      <c r="LB32" s="4"/>
      <c r="LC32" s="4"/>
      <c r="LD32" s="4">
        <v>242</v>
      </c>
      <c r="LE32" s="4"/>
      <c r="LF32" s="4"/>
      <c r="LG32" s="4"/>
      <c r="LH32" s="4">
        <v>110</v>
      </c>
      <c r="LI32" s="4"/>
      <c r="LJ32" s="4"/>
      <c r="LK32" s="4"/>
      <c r="LL32" s="4"/>
      <c r="LM32" s="4"/>
    </row>
    <row r="33">
      <c r="A33" s="3" t="s">
        <v>136</v>
      </c>
      <c r="B33" s="3" t="s">
        <v>137</v>
      </c>
      <c r="C33" s="3" t="s">
        <v>138</v>
      </c>
      <c r="D33" s="3" t="s">
        <v>139</v>
      </c>
      <c r="E33" s="3" t="s">
        <v>145</v>
      </c>
      <c r="F33" s="3" t="s">
        <v>145</v>
      </c>
      <c r="G33" s="3" t="s">
        <v>145</v>
      </c>
      <c r="H33" s="3" t="s">
        <v>146</v>
      </c>
      <c r="I33" s="3" t="s">
        <v>229</v>
      </c>
      <c r="J33" s="3" t="s">
        <v>228</v>
      </c>
      <c r="K33" s="4">
        <v>1290</v>
      </c>
      <c r="L33" s="4">
        <f>=ROUNDDOWN(24.8076923076923,0)</f>
      </c>
      <c r="M33" s="4">
        <v>635</v>
      </c>
      <c r="N33" s="5">
        <v>0.994</v>
      </c>
      <c r="O33" s="4"/>
      <c r="P33" s="4">
        <f>=ROUNDDOWN({0},0)</f>
      </c>
      <c r="Q33" s="4"/>
      <c r="R33" s="5"/>
      <c r="S33" s="4">
        <v>553</v>
      </c>
      <c r="T33" s="6">
        <v>10935.3</v>
      </c>
      <c r="U33" s="4">
        <v>425</v>
      </c>
      <c r="V33" s="6">
        <v>8248.31</v>
      </c>
      <c r="W33" s="5">
        <v>0.3012</v>
      </c>
      <c r="X33" s="5">
        <v>0.3258</v>
      </c>
      <c r="Y33" s="4">
        <v>68</v>
      </c>
      <c r="Z33" s="6">
        <v>1274.04</v>
      </c>
      <c r="AA33" s="4">
        <v>76</v>
      </c>
      <c r="AB33" s="6">
        <v>1482.18</v>
      </c>
      <c r="AC33" s="5">
        <v>-0.1053</v>
      </c>
      <c r="AD33" s="5">
        <v>-0.1404</v>
      </c>
      <c r="AE33" s="4">
        <v>7</v>
      </c>
      <c r="AF33" s="6">
        <v>139.61</v>
      </c>
      <c r="AG33" s="4">
        <v>4</v>
      </c>
      <c r="AH33" s="6">
        <v>84.64</v>
      </c>
      <c r="AI33" s="5">
        <v>0.75</v>
      </c>
      <c r="AJ33" s="5">
        <v>0.6495</v>
      </c>
      <c r="AK33" s="4"/>
      <c r="AL33" s="6"/>
      <c r="AM33" s="4"/>
      <c r="AN33" s="6"/>
      <c r="AO33" s="5"/>
      <c r="AP33" s="5"/>
      <c r="AQ33" s="4"/>
      <c r="AR33" s="6"/>
      <c r="AS33" s="4"/>
      <c r="AT33" s="6"/>
      <c r="AU33" s="5"/>
      <c r="AV33" s="5"/>
      <c r="AW33" s="4">
        <v>182</v>
      </c>
      <c r="AX33" s="6">
        <v>3831.04</v>
      </c>
      <c r="AY33" s="4">
        <v>71</v>
      </c>
      <c r="AZ33" s="6">
        <v>1409.89</v>
      </c>
      <c r="BA33" s="5">
        <v>1.5634</v>
      </c>
      <c r="BB33" s="5">
        <v>1.7173</v>
      </c>
      <c r="BC33" s="4">
        <v>47</v>
      </c>
      <c r="BD33" s="6">
        <v>1008.57</v>
      </c>
      <c r="BE33" s="4">
        <v>26</v>
      </c>
      <c r="BF33" s="6">
        <v>544.05</v>
      </c>
      <c r="BG33" s="5">
        <v>0.8077</v>
      </c>
      <c r="BH33" s="5">
        <v>0.8538</v>
      </c>
      <c r="BI33" s="4">
        <v>164</v>
      </c>
      <c r="BJ33" s="6">
        <v>2896.9</v>
      </c>
      <c r="BK33" s="4">
        <v>89</v>
      </c>
      <c r="BL33" s="6">
        <v>1697.46</v>
      </c>
      <c r="BM33" s="5">
        <v>0.8427</v>
      </c>
      <c r="BN33" s="5">
        <v>0.7066</v>
      </c>
      <c r="BO33" s="4">
        <v>6</v>
      </c>
      <c r="BP33" s="6">
        <v>98.46</v>
      </c>
      <c r="BQ33" s="4">
        <v>14</v>
      </c>
      <c r="BR33" s="6">
        <v>254.99</v>
      </c>
      <c r="BS33" s="5">
        <v>-0.5714</v>
      </c>
      <c r="BT33" s="5">
        <v>-0.6139</v>
      </c>
      <c r="BU33" s="4">
        <v>21</v>
      </c>
      <c r="BV33" s="6">
        <v>431.43</v>
      </c>
      <c r="BW33" s="4">
        <v>21</v>
      </c>
      <c r="BX33" s="6">
        <v>436.61</v>
      </c>
      <c r="BY33" s="5"/>
      <c r="BZ33" s="5">
        <v>-0.0119</v>
      </c>
      <c r="CA33" s="4">
        <v>20</v>
      </c>
      <c r="CB33" s="6">
        <v>430.19</v>
      </c>
      <c r="CC33" s="4">
        <v>86</v>
      </c>
      <c r="CD33" s="6">
        <v>1511.95</v>
      </c>
      <c r="CE33" s="5">
        <v>-0.7674</v>
      </c>
      <c r="CF33" s="5">
        <v>-0.7155</v>
      </c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>
        <v>15</v>
      </c>
      <c r="CZ33" s="6">
        <v>337.22</v>
      </c>
      <c r="DA33" s="4">
        <v>4</v>
      </c>
      <c r="DB33" s="6">
        <v>82.19</v>
      </c>
      <c r="DC33" s="5">
        <v>2.75</v>
      </c>
      <c r="DD33" s="5">
        <v>3.1029</v>
      </c>
      <c r="DE33" s="4">
        <v>7</v>
      </c>
      <c r="DF33" s="6">
        <v>138.92</v>
      </c>
      <c r="DG33" s="4">
        <v>8</v>
      </c>
      <c r="DH33" s="6">
        <v>167.32</v>
      </c>
      <c r="DI33" s="5">
        <v>-0.125</v>
      </c>
      <c r="DJ33" s="5">
        <v>-0.1697</v>
      </c>
      <c r="DK33" s="4">
        <v>2</v>
      </c>
      <c r="DL33" s="6">
        <v>58.54</v>
      </c>
      <c r="DM33" s="4">
        <v>1</v>
      </c>
      <c r="DN33" s="6">
        <v>37.99</v>
      </c>
      <c r="DO33" s="5">
        <v>1</v>
      </c>
      <c r="DP33" s="5">
        <v>0.5409</v>
      </c>
      <c r="DQ33" s="4">
        <v>11</v>
      </c>
      <c r="DR33" s="6">
        <v>225.27</v>
      </c>
      <c r="DS33" s="4">
        <v>18</v>
      </c>
      <c r="DT33" s="6">
        <v>388.88</v>
      </c>
      <c r="DU33" s="5">
        <v>-0.3889</v>
      </c>
      <c r="DV33" s="5">
        <v>-0.4207</v>
      </c>
      <c r="DW33" s="4"/>
      <c r="DX33" s="6"/>
      <c r="DY33" s="4"/>
      <c r="DZ33" s="6"/>
      <c r="EA33" s="5"/>
      <c r="EB33" s="5"/>
      <c r="EC33" s="4">
        <v>3</v>
      </c>
      <c r="ED33" s="6">
        <v>65.11</v>
      </c>
      <c r="EE33" s="4">
        <v>3</v>
      </c>
      <c r="EF33" s="6">
        <v>65.11</v>
      </c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>
        <v>4</v>
      </c>
      <c r="FV33" s="6">
        <v>85.05</v>
      </c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/>
      <c r="IB33" s="6"/>
      <c r="IC33" s="4"/>
      <c r="ID33" s="6"/>
      <c r="IE33" s="5"/>
      <c r="IF33" s="5"/>
      <c r="IG33" s="4"/>
      <c r="IH33" s="6"/>
      <c r="II33" s="4"/>
      <c r="IJ33" s="6"/>
      <c r="IK33" s="5"/>
      <c r="IL33" s="5"/>
      <c r="IM33" s="4"/>
      <c r="IN33" s="6"/>
      <c r="IO33" s="4"/>
      <c r="IP33" s="6"/>
      <c r="IQ33" s="5"/>
      <c r="IR33" s="5"/>
      <c r="IS33" s="4"/>
      <c r="IT33" s="6"/>
      <c r="IU33" s="4"/>
      <c r="IV33" s="6"/>
      <c r="IW33" s="5"/>
      <c r="IX33" s="5"/>
      <c r="IY33" s="4"/>
      <c r="IZ33" s="6"/>
      <c r="JA33" s="4"/>
      <c r="JB33" s="6"/>
      <c r="JC33" s="5"/>
      <c r="JD33" s="5"/>
      <c r="JE33" s="4"/>
      <c r="JF33" s="6"/>
      <c r="JG33" s="4"/>
      <c r="JH33" s="6"/>
      <c r="JI33" s="5"/>
      <c r="JJ33" s="5"/>
      <c r="JK33" s="4">
        <v>1290</v>
      </c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>
        <v>170</v>
      </c>
      <c r="KV33" s="4"/>
      <c r="KW33" s="4"/>
      <c r="KX33" s="4"/>
      <c r="KY33" s="4"/>
      <c r="KZ33" s="4"/>
      <c r="LA33" s="4"/>
      <c r="LB33" s="4"/>
      <c r="LC33" s="4"/>
      <c r="LD33" s="4">
        <v>335</v>
      </c>
      <c r="LE33" s="4"/>
      <c r="LF33" s="4"/>
      <c r="LG33" s="4"/>
      <c r="LH33" s="4">
        <v>130</v>
      </c>
      <c r="LI33" s="4"/>
      <c r="LJ33" s="4"/>
      <c r="LK33" s="4"/>
      <c r="LL33" s="4"/>
      <c r="LM33" s="4"/>
    </row>
    <row r="34">
      <c r="A34" s="3" t="s">
        <v>136</v>
      </c>
      <c r="B34" s="3" t="s">
        <v>137</v>
      </c>
      <c r="C34" s="3" t="s">
        <v>138</v>
      </c>
      <c r="D34" s="3" t="s">
        <v>139</v>
      </c>
      <c r="E34" s="3" t="s">
        <v>145</v>
      </c>
      <c r="F34" s="3" t="s">
        <v>145</v>
      </c>
      <c r="G34" s="3" t="s">
        <v>145</v>
      </c>
      <c r="H34" s="3" t="s">
        <v>146</v>
      </c>
      <c r="I34" s="3" t="s">
        <v>225</v>
      </c>
      <c r="J34" s="3" t="s">
        <v>228</v>
      </c>
      <c r="K34" s="4">
        <v>635</v>
      </c>
      <c r="L34" s="4">
        <f>=ROUNDDOWN(16.2820512820513,0)</f>
      </c>
      <c r="M34" s="4">
        <v>605</v>
      </c>
      <c r="N34" s="5">
        <v>1</v>
      </c>
      <c r="O34" s="4"/>
      <c r="P34" s="4">
        <f>=ROUNDDOWN({0},0)</f>
      </c>
      <c r="Q34" s="4"/>
      <c r="R34" s="5"/>
      <c r="S34" s="4">
        <v>409</v>
      </c>
      <c r="T34" s="6">
        <v>8224.37</v>
      </c>
      <c r="U34" s="4">
        <v>334</v>
      </c>
      <c r="V34" s="6">
        <v>6608.28</v>
      </c>
      <c r="W34" s="5">
        <v>0.2246</v>
      </c>
      <c r="X34" s="5">
        <v>0.2446</v>
      </c>
      <c r="Y34" s="4">
        <v>52</v>
      </c>
      <c r="Z34" s="6">
        <v>1024.87</v>
      </c>
      <c r="AA34" s="4">
        <v>48</v>
      </c>
      <c r="AB34" s="6">
        <v>953.12</v>
      </c>
      <c r="AC34" s="5">
        <v>0.0833</v>
      </c>
      <c r="AD34" s="5">
        <v>0.0753</v>
      </c>
      <c r="AE34" s="4">
        <v>13</v>
      </c>
      <c r="AF34" s="6">
        <v>285.51</v>
      </c>
      <c r="AG34" s="4">
        <v>3</v>
      </c>
      <c r="AH34" s="6">
        <v>59.25</v>
      </c>
      <c r="AI34" s="5">
        <v>3.3333</v>
      </c>
      <c r="AJ34" s="5">
        <v>3.8187</v>
      </c>
      <c r="AK34" s="4"/>
      <c r="AL34" s="6"/>
      <c r="AM34" s="4"/>
      <c r="AN34" s="6"/>
      <c r="AO34" s="5"/>
      <c r="AP34" s="5"/>
      <c r="AQ34" s="4"/>
      <c r="AR34" s="6"/>
      <c r="AS34" s="4"/>
      <c r="AT34" s="6"/>
      <c r="AU34" s="5"/>
      <c r="AV34" s="5"/>
      <c r="AW34" s="4">
        <v>159</v>
      </c>
      <c r="AX34" s="6">
        <v>3385.96</v>
      </c>
      <c r="AY34" s="4">
        <v>53</v>
      </c>
      <c r="AZ34" s="6">
        <v>1106.55</v>
      </c>
      <c r="BA34" s="5">
        <v>2</v>
      </c>
      <c r="BB34" s="5">
        <v>2.0599</v>
      </c>
      <c r="BC34" s="4">
        <v>9</v>
      </c>
      <c r="BD34" s="6">
        <v>179.37</v>
      </c>
      <c r="BE34" s="4">
        <v>25</v>
      </c>
      <c r="BF34" s="6">
        <v>499.84</v>
      </c>
      <c r="BG34" s="5">
        <v>-0.64</v>
      </c>
      <c r="BH34" s="5">
        <v>-0.6411</v>
      </c>
      <c r="BI34" s="4">
        <v>129</v>
      </c>
      <c r="BJ34" s="6">
        <v>2352.51</v>
      </c>
      <c r="BK34" s="4">
        <v>111</v>
      </c>
      <c r="BL34" s="6">
        <v>2066.3</v>
      </c>
      <c r="BM34" s="5">
        <v>0.1622</v>
      </c>
      <c r="BN34" s="5">
        <v>0.1385</v>
      </c>
      <c r="BO34" s="4">
        <v>4</v>
      </c>
      <c r="BP34" s="6">
        <v>86.05</v>
      </c>
      <c r="BQ34" s="4">
        <v>7</v>
      </c>
      <c r="BR34" s="6">
        <v>139.27</v>
      </c>
      <c r="BS34" s="5">
        <v>-0.4286</v>
      </c>
      <c r="BT34" s="5">
        <v>-0.3821</v>
      </c>
      <c r="BU34" s="4">
        <v>15</v>
      </c>
      <c r="BV34" s="6">
        <v>296.62</v>
      </c>
      <c r="BW34" s="4">
        <v>24</v>
      </c>
      <c r="BX34" s="6">
        <v>524.16</v>
      </c>
      <c r="BY34" s="5">
        <v>-0.375</v>
      </c>
      <c r="BZ34" s="5">
        <v>-0.4341</v>
      </c>
      <c r="CA34" s="4">
        <v>2</v>
      </c>
      <c r="CB34" s="6">
        <v>45.14</v>
      </c>
      <c r="CC34" s="4">
        <v>32</v>
      </c>
      <c r="CD34" s="6">
        <v>621.31</v>
      </c>
      <c r="CE34" s="5">
        <v>-0.9375</v>
      </c>
      <c r="CF34" s="5">
        <v>-0.9273</v>
      </c>
      <c r="CG34" s="4"/>
      <c r="CH34" s="6"/>
      <c r="CI34" s="4"/>
      <c r="CJ34" s="6"/>
      <c r="CK34" s="5"/>
      <c r="CL34" s="5"/>
      <c r="CM34" s="4"/>
      <c r="CN34" s="6"/>
      <c r="CO34" s="4"/>
      <c r="CP34" s="6"/>
      <c r="CQ34" s="5"/>
      <c r="CR34" s="5"/>
      <c r="CS34" s="4"/>
      <c r="CT34" s="6"/>
      <c r="CU34" s="4">
        <v>3</v>
      </c>
      <c r="CV34" s="6">
        <v>72.22</v>
      </c>
      <c r="CW34" s="5"/>
      <c r="CX34" s="5"/>
      <c r="CY34" s="4">
        <v>2</v>
      </c>
      <c r="CZ34" s="6">
        <v>39.67</v>
      </c>
      <c r="DA34" s="4">
        <v>7</v>
      </c>
      <c r="DB34" s="6">
        <v>130.37</v>
      </c>
      <c r="DC34" s="5">
        <v>-0.7143</v>
      </c>
      <c r="DD34" s="5">
        <v>-0.6957</v>
      </c>
      <c r="DE34" s="4">
        <v>10</v>
      </c>
      <c r="DF34" s="6">
        <v>203.47</v>
      </c>
      <c r="DG34" s="4">
        <v>4</v>
      </c>
      <c r="DH34" s="6">
        <v>85.1</v>
      </c>
      <c r="DI34" s="5">
        <v>1.5</v>
      </c>
      <c r="DJ34" s="5">
        <v>1.391</v>
      </c>
      <c r="DK34" s="4">
        <v>1</v>
      </c>
      <c r="DL34" s="6">
        <v>37.99</v>
      </c>
      <c r="DM34" s="4"/>
      <c r="DN34" s="6"/>
      <c r="DO34" s="5"/>
      <c r="DP34" s="5"/>
      <c r="DQ34" s="4">
        <v>7</v>
      </c>
      <c r="DR34" s="6">
        <v>162.25</v>
      </c>
      <c r="DS34" s="4">
        <v>10</v>
      </c>
      <c r="DT34" s="6">
        <v>215.88</v>
      </c>
      <c r="DU34" s="5">
        <v>-0.3</v>
      </c>
      <c r="DV34" s="5">
        <v>-0.2484</v>
      </c>
      <c r="DW34" s="4"/>
      <c r="DX34" s="6"/>
      <c r="DY34" s="4"/>
      <c r="DZ34" s="6"/>
      <c r="EA34" s="5"/>
      <c r="EB34" s="5"/>
      <c r="EC34" s="4">
        <v>6</v>
      </c>
      <c r="ED34" s="6">
        <v>124.96</v>
      </c>
      <c r="EE34" s="4">
        <v>4</v>
      </c>
      <c r="EF34" s="6">
        <v>64.91</v>
      </c>
      <c r="EG34" s="5">
        <v>0.5</v>
      </c>
      <c r="EH34" s="5">
        <v>0.9251</v>
      </c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>
        <v>3</v>
      </c>
      <c r="FV34" s="6">
        <v>70</v>
      </c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/>
      <c r="IB34" s="6"/>
      <c r="IC34" s="4"/>
      <c r="ID34" s="6"/>
      <c r="IE34" s="5"/>
      <c r="IF34" s="5"/>
      <c r="IG34" s="4"/>
      <c r="IH34" s="6"/>
      <c r="II34" s="4"/>
      <c r="IJ34" s="6"/>
      <c r="IK34" s="5"/>
      <c r="IL34" s="5"/>
      <c r="IM34" s="4"/>
      <c r="IN34" s="6"/>
      <c r="IO34" s="4"/>
      <c r="IP34" s="6"/>
      <c r="IQ34" s="5"/>
      <c r="IR34" s="5"/>
      <c r="IS34" s="4"/>
      <c r="IT34" s="6"/>
      <c r="IU34" s="4"/>
      <c r="IV34" s="6"/>
      <c r="IW34" s="5"/>
      <c r="IX34" s="5"/>
      <c r="IY34" s="4"/>
      <c r="IZ34" s="6"/>
      <c r="JA34" s="4"/>
      <c r="JB34" s="6"/>
      <c r="JC34" s="5"/>
      <c r="JD34" s="5"/>
      <c r="JE34" s="4"/>
      <c r="JF34" s="6"/>
      <c r="JG34" s="4"/>
      <c r="JH34" s="6"/>
      <c r="JI34" s="5"/>
      <c r="JJ34" s="5"/>
      <c r="JK34" s="4">
        <v>635</v>
      </c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>
        <v>300</v>
      </c>
      <c r="KV34" s="4"/>
      <c r="KW34" s="4"/>
      <c r="KX34" s="4"/>
      <c r="KY34" s="4"/>
      <c r="KZ34" s="4"/>
      <c r="LA34" s="4"/>
      <c r="LB34" s="4"/>
      <c r="LC34" s="4"/>
      <c r="LD34" s="4">
        <v>195</v>
      </c>
      <c r="LE34" s="4"/>
      <c r="LF34" s="4"/>
      <c r="LG34" s="4"/>
      <c r="LH34" s="4">
        <v>110</v>
      </c>
      <c r="LI34" s="4"/>
      <c r="LJ34" s="4"/>
      <c r="LK34" s="4"/>
      <c r="LL34" s="4"/>
      <c r="LM34" s="4"/>
    </row>
    <row r="35">
      <c r="A35" s="3" t="s">
        <v>136</v>
      </c>
      <c r="B35" s="3" t="s">
        <v>137</v>
      </c>
      <c r="C35" s="3" t="s">
        <v>138</v>
      </c>
      <c r="D35" s="3" t="s">
        <v>139</v>
      </c>
      <c r="E35" s="3" t="s">
        <v>145</v>
      </c>
      <c r="F35" s="3" t="s">
        <v>145</v>
      </c>
      <c r="G35" s="3" t="s">
        <v>145</v>
      </c>
      <c r="H35" s="3" t="s">
        <v>146</v>
      </c>
      <c r="I35" s="3" t="s">
        <v>233</v>
      </c>
      <c r="J35" s="3" t="s">
        <v>241</v>
      </c>
      <c r="K35" s="4">
        <v>272</v>
      </c>
      <c r="L35" s="4">
        <f>=ROUNDDOWN(73.5135135135135,0)</f>
      </c>
      <c r="M35" s="4"/>
      <c r="N35" s="5"/>
      <c r="O35" s="4"/>
      <c r="P35" s="4">
        <f>=ROUNDDOWN({0},0)</f>
      </c>
      <c r="Q35" s="4"/>
      <c r="R35" s="5"/>
      <c r="S35" s="4">
        <v>59</v>
      </c>
      <c r="T35" s="6">
        <v>1010.17</v>
      </c>
      <c r="U35" s="4">
        <v>234</v>
      </c>
      <c r="V35" s="6">
        <v>4601.46</v>
      </c>
      <c r="W35" s="5">
        <v>-0.7479</v>
      </c>
      <c r="X35" s="5">
        <v>-0.7805</v>
      </c>
      <c r="Y35" s="4">
        <v>8</v>
      </c>
      <c r="Z35" s="6">
        <v>135.65</v>
      </c>
      <c r="AA35" s="4">
        <v>37</v>
      </c>
      <c r="AB35" s="6">
        <v>730.97</v>
      </c>
      <c r="AC35" s="5">
        <v>-0.7838</v>
      </c>
      <c r="AD35" s="5">
        <v>-0.8144</v>
      </c>
      <c r="AE35" s="4">
        <v>4</v>
      </c>
      <c r="AF35" s="6">
        <v>75.1</v>
      </c>
      <c r="AG35" s="4">
        <v>1</v>
      </c>
      <c r="AH35" s="6">
        <v>24.83</v>
      </c>
      <c r="AI35" s="5">
        <v>3</v>
      </c>
      <c r="AJ35" s="5">
        <v>2.0246</v>
      </c>
      <c r="AK35" s="4"/>
      <c r="AL35" s="6"/>
      <c r="AM35" s="4"/>
      <c r="AN35" s="6"/>
      <c r="AO35" s="5"/>
      <c r="AP35" s="5"/>
      <c r="AQ35" s="4"/>
      <c r="AR35" s="6"/>
      <c r="AS35" s="4"/>
      <c r="AT35" s="6"/>
      <c r="AU35" s="5"/>
      <c r="AV35" s="5"/>
      <c r="AW35" s="4">
        <v>3</v>
      </c>
      <c r="AX35" s="6">
        <v>54.57</v>
      </c>
      <c r="AY35" s="4">
        <v>31</v>
      </c>
      <c r="AZ35" s="6">
        <v>519.25</v>
      </c>
      <c r="BA35" s="5">
        <v>-0.9032</v>
      </c>
      <c r="BB35" s="5">
        <v>-0.8949</v>
      </c>
      <c r="BC35" s="4"/>
      <c r="BD35" s="6"/>
      <c r="BE35" s="4"/>
      <c r="BF35" s="6"/>
      <c r="BG35" s="5"/>
      <c r="BH35" s="5"/>
      <c r="BI35" s="4">
        <v>30</v>
      </c>
      <c r="BJ35" s="6">
        <v>503.84</v>
      </c>
      <c r="BK35" s="4">
        <v>120</v>
      </c>
      <c r="BL35" s="6">
        <v>2409.14</v>
      </c>
      <c r="BM35" s="5">
        <v>-0.75</v>
      </c>
      <c r="BN35" s="5">
        <v>-0.7909</v>
      </c>
      <c r="BO35" s="4">
        <v>2</v>
      </c>
      <c r="BP35" s="6">
        <v>32.53</v>
      </c>
      <c r="BQ35" s="4">
        <v>8</v>
      </c>
      <c r="BR35" s="6">
        <v>148.14</v>
      </c>
      <c r="BS35" s="5">
        <v>-0.75</v>
      </c>
      <c r="BT35" s="5">
        <v>-0.7804</v>
      </c>
      <c r="BU35" s="4">
        <v>3</v>
      </c>
      <c r="BV35" s="6">
        <v>62.21</v>
      </c>
      <c r="BW35" s="4">
        <v>11</v>
      </c>
      <c r="BX35" s="6">
        <v>239.04</v>
      </c>
      <c r="BY35" s="5">
        <v>-0.7273</v>
      </c>
      <c r="BZ35" s="5">
        <v>-0.7398</v>
      </c>
      <c r="CA35" s="4"/>
      <c r="CB35" s="6"/>
      <c r="CC35" s="4">
        <v>10</v>
      </c>
      <c r="CD35" s="6">
        <v>204.91</v>
      </c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>
        <v>1</v>
      </c>
      <c r="CZ35" s="6">
        <v>17</v>
      </c>
      <c r="DA35" s="4">
        <v>1</v>
      </c>
      <c r="DB35" s="6">
        <v>19.84</v>
      </c>
      <c r="DC35" s="5"/>
      <c r="DD35" s="5">
        <v>-0.1431</v>
      </c>
      <c r="DE35" s="4">
        <v>8</v>
      </c>
      <c r="DF35" s="6">
        <v>129.27</v>
      </c>
      <c r="DG35" s="4">
        <v>11</v>
      </c>
      <c r="DH35" s="6">
        <v>220.11</v>
      </c>
      <c r="DI35" s="5">
        <v>-0.2727</v>
      </c>
      <c r="DJ35" s="5">
        <v>-0.4127</v>
      </c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>
        <v>3</v>
      </c>
      <c r="FV35" s="6">
        <v>62.65</v>
      </c>
      <c r="FW35" s="5"/>
      <c r="FX35" s="5"/>
      <c r="FY35" s="4"/>
      <c r="FZ35" s="6"/>
      <c r="GA35" s="4">
        <v>1</v>
      </c>
      <c r="GB35" s="6">
        <v>22.58</v>
      </c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6"/>
      <c r="IC35" s="4"/>
      <c r="ID35" s="6"/>
      <c r="IE35" s="5"/>
      <c r="IF35" s="5"/>
      <c r="IG35" s="4"/>
      <c r="IH35" s="6"/>
      <c r="II35" s="4"/>
      <c r="IJ35" s="6"/>
      <c r="IK35" s="5"/>
      <c r="IL35" s="5"/>
      <c r="IM35" s="4"/>
      <c r="IN35" s="6"/>
      <c r="IO35" s="4"/>
      <c r="IP35" s="6"/>
      <c r="IQ35" s="5"/>
      <c r="IR35" s="5"/>
      <c r="IS35" s="4"/>
      <c r="IT35" s="6"/>
      <c r="IU35" s="4"/>
      <c r="IV35" s="6"/>
      <c r="IW35" s="5"/>
      <c r="IX35" s="5"/>
      <c r="IY35" s="4"/>
      <c r="IZ35" s="6"/>
      <c r="JA35" s="4"/>
      <c r="JB35" s="6"/>
      <c r="JC35" s="5"/>
      <c r="JD35" s="5"/>
      <c r="JE35" s="4"/>
      <c r="JF35" s="6"/>
      <c r="JG35" s="4"/>
      <c r="JH35" s="6"/>
      <c r="JI35" s="5"/>
      <c r="JJ35" s="5"/>
      <c r="JK35" s="4">
        <v>272</v>
      </c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</row>
    <row r="36">
      <c r="A36" s="3" t="s">
        <v>136</v>
      </c>
      <c r="B36" s="3" t="s">
        <v>137</v>
      </c>
      <c r="C36" s="3" t="s">
        <v>138</v>
      </c>
      <c r="D36" s="3" t="s">
        <v>139</v>
      </c>
      <c r="E36" s="3" t="s">
        <v>145</v>
      </c>
      <c r="F36" s="3" t="s">
        <v>145</v>
      </c>
      <c r="G36" s="3" t="s">
        <v>145</v>
      </c>
      <c r="H36" s="3" t="s">
        <v>146</v>
      </c>
      <c r="I36" s="3" t="s">
        <v>232</v>
      </c>
      <c r="J36" s="3" t="s">
        <v>241</v>
      </c>
      <c r="K36" s="4">
        <v>328</v>
      </c>
      <c r="L36" s="4">
        <f>=ROUNDDOWN(61.8867924528302,0)</f>
      </c>
      <c r="M36" s="4"/>
      <c r="N36" s="5"/>
      <c r="O36" s="4"/>
      <c r="P36" s="4">
        <f>=ROUNDDOWN({0},0)</f>
      </c>
      <c r="Q36" s="4"/>
      <c r="R36" s="5"/>
      <c r="S36" s="4">
        <v>52</v>
      </c>
      <c r="T36" s="6">
        <v>885.02</v>
      </c>
      <c r="U36" s="4">
        <v>267</v>
      </c>
      <c r="V36" s="6">
        <v>5274.78</v>
      </c>
      <c r="W36" s="5">
        <v>-0.8052</v>
      </c>
      <c r="X36" s="5">
        <v>-0.8322</v>
      </c>
      <c r="Y36" s="4">
        <v>7</v>
      </c>
      <c r="Z36" s="6">
        <v>108.01</v>
      </c>
      <c r="AA36" s="4">
        <v>38</v>
      </c>
      <c r="AB36" s="6">
        <v>727.31</v>
      </c>
      <c r="AC36" s="5">
        <v>-0.8158</v>
      </c>
      <c r="AD36" s="5">
        <v>-0.8515</v>
      </c>
      <c r="AE36" s="4">
        <v>1</v>
      </c>
      <c r="AF36" s="6">
        <v>15.51</v>
      </c>
      <c r="AG36" s="4">
        <v>4</v>
      </c>
      <c r="AH36" s="6">
        <v>82.55</v>
      </c>
      <c r="AI36" s="5">
        <v>-0.75</v>
      </c>
      <c r="AJ36" s="5">
        <v>-0.8121</v>
      </c>
      <c r="AK36" s="4"/>
      <c r="AL36" s="6"/>
      <c r="AM36" s="4"/>
      <c r="AN36" s="6"/>
      <c r="AO36" s="5"/>
      <c r="AP36" s="5"/>
      <c r="AQ36" s="4"/>
      <c r="AR36" s="6"/>
      <c r="AS36" s="4"/>
      <c r="AT36" s="6"/>
      <c r="AU36" s="5"/>
      <c r="AV36" s="5"/>
      <c r="AW36" s="4"/>
      <c r="AX36" s="6"/>
      <c r="AY36" s="4">
        <v>19</v>
      </c>
      <c r="AZ36" s="6">
        <v>318.25</v>
      </c>
      <c r="BA36" s="5"/>
      <c r="BB36" s="5"/>
      <c r="BC36" s="4"/>
      <c r="BD36" s="6"/>
      <c r="BE36" s="4"/>
      <c r="BF36" s="6"/>
      <c r="BG36" s="5"/>
      <c r="BH36" s="5"/>
      <c r="BI36" s="4">
        <v>39</v>
      </c>
      <c r="BJ36" s="6">
        <v>672.36</v>
      </c>
      <c r="BK36" s="4">
        <v>157</v>
      </c>
      <c r="BL36" s="6">
        <v>3141.96</v>
      </c>
      <c r="BM36" s="5">
        <v>-0.7516</v>
      </c>
      <c r="BN36" s="5">
        <v>-0.786</v>
      </c>
      <c r="BO36" s="4">
        <v>1</v>
      </c>
      <c r="BP36" s="6">
        <v>13.97</v>
      </c>
      <c r="BQ36" s="4">
        <v>11</v>
      </c>
      <c r="BR36" s="6">
        <v>181.25</v>
      </c>
      <c r="BS36" s="5">
        <v>-0.9091</v>
      </c>
      <c r="BT36" s="5">
        <v>-0.9229</v>
      </c>
      <c r="BU36" s="4"/>
      <c r="BV36" s="6"/>
      <c r="BW36" s="4">
        <v>16</v>
      </c>
      <c r="BX36" s="6">
        <v>334.08</v>
      </c>
      <c r="BY36" s="5"/>
      <c r="BZ36" s="5"/>
      <c r="CA36" s="4">
        <v>1</v>
      </c>
      <c r="CB36" s="6">
        <v>18.81</v>
      </c>
      <c r="CC36" s="4">
        <v>6</v>
      </c>
      <c r="CD36" s="6">
        <v>123.75</v>
      </c>
      <c r="CE36" s="5">
        <v>-0.8333</v>
      </c>
      <c r="CF36" s="5">
        <v>-0.848</v>
      </c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>
        <v>8</v>
      </c>
      <c r="DB36" s="6">
        <v>181.36</v>
      </c>
      <c r="DC36" s="5"/>
      <c r="DD36" s="5"/>
      <c r="DE36" s="4">
        <v>3</v>
      </c>
      <c r="DF36" s="6">
        <v>56.36</v>
      </c>
      <c r="DG36" s="4">
        <v>2</v>
      </c>
      <c r="DH36" s="6">
        <v>41.1</v>
      </c>
      <c r="DI36" s="5">
        <v>0.5</v>
      </c>
      <c r="DJ36" s="5">
        <v>0.3713</v>
      </c>
      <c r="DK36" s="4"/>
      <c r="DL36" s="6"/>
      <c r="DM36" s="4">
        <v>1</v>
      </c>
      <c r="DN36" s="6">
        <v>37.99</v>
      </c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>
        <v>4</v>
      </c>
      <c r="FV36" s="6">
        <v>87.85</v>
      </c>
      <c r="FW36" s="5"/>
      <c r="FX36" s="5"/>
      <c r="FY36" s="4"/>
      <c r="FZ36" s="6"/>
      <c r="GA36" s="4">
        <v>1</v>
      </c>
      <c r="GB36" s="6">
        <v>17.33</v>
      </c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6"/>
      <c r="IC36" s="4"/>
      <c r="ID36" s="6"/>
      <c r="IE36" s="5"/>
      <c r="IF36" s="5"/>
      <c r="IG36" s="4"/>
      <c r="IH36" s="6"/>
      <c r="II36" s="4"/>
      <c r="IJ36" s="6"/>
      <c r="IK36" s="5"/>
      <c r="IL36" s="5"/>
      <c r="IM36" s="4"/>
      <c r="IN36" s="6"/>
      <c r="IO36" s="4"/>
      <c r="IP36" s="6"/>
      <c r="IQ36" s="5"/>
      <c r="IR36" s="5"/>
      <c r="IS36" s="4"/>
      <c r="IT36" s="6"/>
      <c r="IU36" s="4"/>
      <c r="IV36" s="6"/>
      <c r="IW36" s="5"/>
      <c r="IX36" s="5"/>
      <c r="IY36" s="4"/>
      <c r="IZ36" s="6"/>
      <c r="JA36" s="4"/>
      <c r="JB36" s="6"/>
      <c r="JC36" s="5"/>
      <c r="JD36" s="5"/>
      <c r="JE36" s="4"/>
      <c r="JF36" s="6"/>
      <c r="JG36" s="4"/>
      <c r="JH36" s="6"/>
      <c r="JI36" s="5"/>
      <c r="JJ36" s="5"/>
      <c r="JK36" s="4">
        <v>328</v>
      </c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</row>
    <row r="37">
      <c r="A37" s="3" t="s">
        <v>136</v>
      </c>
      <c r="B37" s="3" t="s">
        <v>137</v>
      </c>
      <c r="C37" s="3" t="s">
        <v>138</v>
      </c>
      <c r="D37" s="3" t="s">
        <v>139</v>
      </c>
      <c r="E37" s="3" t="s">
        <v>145</v>
      </c>
      <c r="F37" s="3" t="s">
        <v>145</v>
      </c>
      <c r="G37" s="3" t="s">
        <v>145</v>
      </c>
      <c r="H37" s="3" t="s">
        <v>146</v>
      </c>
      <c r="I37" s="3" t="s">
        <v>246</v>
      </c>
      <c r="J37" s="3" t="s">
        <v>241</v>
      </c>
      <c r="K37" s="4"/>
      <c r="L37" s="4">
        <f>=ROUNDDOWN({0},0)</f>
      </c>
      <c r="M37" s="4"/>
      <c r="N37" s="5"/>
      <c r="O37" s="4"/>
      <c r="P37" s="4">
        <f>=ROUNDDOWN({0},0)</f>
      </c>
      <c r="Q37" s="4"/>
      <c r="R37" s="5"/>
      <c r="S37" s="4"/>
      <c r="T37" s="6"/>
      <c r="U37" s="4">
        <v>123</v>
      </c>
      <c r="V37" s="6">
        <v>2166.7</v>
      </c>
      <c r="W37" s="5"/>
      <c r="X37" s="5"/>
      <c r="Y37" s="4"/>
      <c r="Z37" s="6"/>
      <c r="AA37" s="4">
        <v>32</v>
      </c>
      <c r="AB37" s="6">
        <v>451.68</v>
      </c>
      <c r="AC37" s="5"/>
      <c r="AD37" s="5"/>
      <c r="AE37" s="4"/>
      <c r="AF37" s="6"/>
      <c r="AG37" s="4"/>
      <c r="AH37" s="6"/>
      <c r="AI37" s="5"/>
      <c r="AJ37" s="5"/>
      <c r="AK37" s="4"/>
      <c r="AL37" s="6"/>
      <c r="AM37" s="4"/>
      <c r="AN37" s="6"/>
      <c r="AO37" s="5"/>
      <c r="AP37" s="5"/>
      <c r="AQ37" s="4"/>
      <c r="AR37" s="6"/>
      <c r="AS37" s="4"/>
      <c r="AT37" s="6"/>
      <c r="AU37" s="5"/>
      <c r="AV37" s="5"/>
      <c r="AW37" s="4"/>
      <c r="AX37" s="6"/>
      <c r="AY37" s="4">
        <v>14</v>
      </c>
      <c r="AZ37" s="6">
        <v>301.53</v>
      </c>
      <c r="BA37" s="5"/>
      <c r="BB37" s="5"/>
      <c r="BC37" s="4"/>
      <c r="BD37" s="6"/>
      <c r="BE37" s="4">
        <v>10</v>
      </c>
      <c r="BF37" s="6">
        <v>211.74</v>
      </c>
      <c r="BG37" s="5"/>
      <c r="BH37" s="5"/>
      <c r="BI37" s="4"/>
      <c r="BJ37" s="6"/>
      <c r="BK37" s="4">
        <v>38</v>
      </c>
      <c r="BL37" s="6">
        <v>611.34</v>
      </c>
      <c r="BM37" s="5"/>
      <c r="BN37" s="5"/>
      <c r="BO37" s="4"/>
      <c r="BP37" s="6"/>
      <c r="BQ37" s="4">
        <v>8</v>
      </c>
      <c r="BR37" s="6">
        <v>161.2</v>
      </c>
      <c r="BS37" s="5"/>
      <c r="BT37" s="5"/>
      <c r="BU37" s="4"/>
      <c r="BV37" s="6"/>
      <c r="BW37" s="4">
        <v>5</v>
      </c>
      <c r="BX37" s="6">
        <v>97.92</v>
      </c>
      <c r="BY37" s="5"/>
      <c r="BZ37" s="5"/>
      <c r="CA37" s="4"/>
      <c r="CB37" s="6"/>
      <c r="CC37" s="4">
        <v>2</v>
      </c>
      <c r="CD37" s="6">
        <v>39.89</v>
      </c>
      <c r="CE37" s="5"/>
      <c r="CF37" s="5"/>
      <c r="CG37" s="4"/>
      <c r="CH37" s="6"/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/>
      <c r="CT37" s="6"/>
      <c r="CU37" s="4">
        <v>1</v>
      </c>
      <c r="CV37" s="6">
        <v>22.14</v>
      </c>
      <c r="CW37" s="5"/>
      <c r="CX37" s="5"/>
      <c r="CY37" s="4"/>
      <c r="CZ37" s="6"/>
      <c r="DA37" s="4">
        <v>3</v>
      </c>
      <c r="DB37" s="6">
        <v>62.35</v>
      </c>
      <c r="DC37" s="5"/>
      <c r="DD37" s="5"/>
      <c r="DE37" s="4"/>
      <c r="DF37" s="6"/>
      <c r="DG37" s="4">
        <v>3</v>
      </c>
      <c r="DH37" s="6">
        <v>52.86</v>
      </c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>
        <v>2</v>
      </c>
      <c r="DT37" s="6">
        <v>46.77</v>
      </c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>
        <v>2</v>
      </c>
      <c r="EF37" s="6">
        <v>37.28</v>
      </c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>
        <v>3</v>
      </c>
      <c r="FV37" s="6">
        <v>70</v>
      </c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/>
      <c r="IB37" s="6"/>
      <c r="IC37" s="4"/>
      <c r="ID37" s="6"/>
      <c r="IE37" s="5"/>
      <c r="IF37" s="5"/>
      <c r="IG37" s="4"/>
      <c r="IH37" s="6"/>
      <c r="II37" s="4"/>
      <c r="IJ37" s="6"/>
      <c r="IK37" s="5"/>
      <c r="IL37" s="5"/>
      <c r="IM37" s="4"/>
      <c r="IN37" s="6"/>
      <c r="IO37" s="4"/>
      <c r="IP37" s="6"/>
      <c r="IQ37" s="5"/>
      <c r="IR37" s="5"/>
      <c r="IS37" s="4"/>
      <c r="IT37" s="6"/>
      <c r="IU37" s="4"/>
      <c r="IV37" s="6"/>
      <c r="IW37" s="5"/>
      <c r="IX37" s="5"/>
      <c r="IY37" s="4"/>
      <c r="IZ37" s="6"/>
      <c r="JA37" s="4"/>
      <c r="JB37" s="6"/>
      <c r="JC37" s="5"/>
      <c r="JD37" s="5"/>
      <c r="JE37" s="4"/>
      <c r="JF37" s="6"/>
      <c r="JG37" s="4"/>
      <c r="JH37" s="6"/>
      <c r="JI37" s="5"/>
      <c r="JJ37" s="5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</row>
    <row r="38">
      <c r="A38" s="3" t="s">
        <v>136</v>
      </c>
      <c r="B38" s="3" t="s">
        <v>137</v>
      </c>
      <c r="C38" s="3" t="s">
        <v>138</v>
      </c>
      <c r="D38" s="3" t="s">
        <v>139</v>
      </c>
      <c r="E38" s="3" t="s">
        <v>147</v>
      </c>
      <c r="F38" s="3" t="s">
        <v>147</v>
      </c>
      <c r="G38" s="3" t="s">
        <v>147</v>
      </c>
      <c r="H38" s="3" t="s">
        <v>143</v>
      </c>
      <c r="I38" s="3" t="s">
        <v>227</v>
      </c>
      <c r="J38" s="3" t="s">
        <v>228</v>
      </c>
      <c r="K38" s="4">
        <v>1106</v>
      </c>
      <c r="L38" s="4">
        <f>=ROUNDDOWN(23.0416666666667,0)</f>
      </c>
      <c r="M38" s="4">
        <v>600</v>
      </c>
      <c r="N38" s="5">
        <v>1</v>
      </c>
      <c r="O38" s="4"/>
      <c r="P38" s="4">
        <f>=ROUNDDOWN({0},0)</f>
      </c>
      <c r="Q38" s="4"/>
      <c r="R38" s="5"/>
      <c r="S38" s="4">
        <v>536</v>
      </c>
      <c r="T38" s="6">
        <v>17553.86</v>
      </c>
      <c r="U38" s="4">
        <v>750</v>
      </c>
      <c r="V38" s="6">
        <v>22993.81</v>
      </c>
      <c r="W38" s="5">
        <v>-0.2853</v>
      </c>
      <c r="X38" s="5">
        <v>-0.2366</v>
      </c>
      <c r="Y38" s="4">
        <v>183</v>
      </c>
      <c r="Z38" s="6">
        <v>6334.93</v>
      </c>
      <c r="AA38" s="4">
        <v>175</v>
      </c>
      <c r="AB38" s="6">
        <v>5808.77</v>
      </c>
      <c r="AC38" s="5">
        <v>0.0457</v>
      </c>
      <c r="AD38" s="5">
        <v>0.0906</v>
      </c>
      <c r="AE38" s="4">
        <v>81</v>
      </c>
      <c r="AF38" s="6">
        <v>2527.32</v>
      </c>
      <c r="AG38" s="4">
        <v>12</v>
      </c>
      <c r="AH38" s="6">
        <v>397.05</v>
      </c>
      <c r="AI38" s="5">
        <v>5.75</v>
      </c>
      <c r="AJ38" s="5">
        <v>5.3652</v>
      </c>
      <c r="AK38" s="4"/>
      <c r="AL38" s="6"/>
      <c r="AM38" s="4"/>
      <c r="AN38" s="6"/>
      <c r="AO38" s="5"/>
      <c r="AP38" s="5"/>
      <c r="AQ38" s="4"/>
      <c r="AR38" s="6"/>
      <c r="AS38" s="4"/>
      <c r="AT38" s="6"/>
      <c r="AU38" s="5"/>
      <c r="AV38" s="5"/>
      <c r="AW38" s="4">
        <v>51</v>
      </c>
      <c r="AX38" s="6">
        <v>1636.33</v>
      </c>
      <c r="AY38" s="4">
        <v>23</v>
      </c>
      <c r="AZ38" s="6">
        <v>693.74</v>
      </c>
      <c r="BA38" s="5">
        <v>1.2174</v>
      </c>
      <c r="BB38" s="5">
        <v>1.3587</v>
      </c>
      <c r="BC38" s="4">
        <v>23</v>
      </c>
      <c r="BD38" s="6">
        <v>774.16</v>
      </c>
      <c r="BE38" s="4">
        <v>47</v>
      </c>
      <c r="BF38" s="6">
        <v>1573.37</v>
      </c>
      <c r="BG38" s="5">
        <v>-0.5106</v>
      </c>
      <c r="BH38" s="5">
        <v>-0.508</v>
      </c>
      <c r="BI38" s="4">
        <v>25</v>
      </c>
      <c r="BJ38" s="6">
        <v>729.8</v>
      </c>
      <c r="BK38" s="4">
        <v>13</v>
      </c>
      <c r="BL38" s="6">
        <v>424.99</v>
      </c>
      <c r="BM38" s="5">
        <v>0.9231</v>
      </c>
      <c r="BN38" s="5">
        <v>0.7172</v>
      </c>
      <c r="BO38" s="4">
        <v>16</v>
      </c>
      <c r="BP38" s="6">
        <v>445.69</v>
      </c>
      <c r="BQ38" s="4">
        <v>12</v>
      </c>
      <c r="BR38" s="6">
        <v>369.35</v>
      </c>
      <c r="BS38" s="5">
        <v>0.3333</v>
      </c>
      <c r="BT38" s="5">
        <v>0.2067</v>
      </c>
      <c r="BU38" s="4">
        <v>22</v>
      </c>
      <c r="BV38" s="6">
        <v>679.74</v>
      </c>
      <c r="BW38" s="4">
        <v>73</v>
      </c>
      <c r="BX38" s="6">
        <v>2289.85</v>
      </c>
      <c r="BY38" s="5">
        <v>-0.6986</v>
      </c>
      <c r="BZ38" s="5">
        <v>-0.7032</v>
      </c>
      <c r="CA38" s="4">
        <v>117</v>
      </c>
      <c r="CB38" s="6">
        <v>3863.61</v>
      </c>
      <c r="CC38" s="4">
        <v>294</v>
      </c>
      <c r="CD38" s="6">
        <v>8386.1</v>
      </c>
      <c r="CE38" s="5">
        <v>-0.602</v>
      </c>
      <c r="CF38" s="5">
        <v>-0.5393</v>
      </c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>
        <v>3</v>
      </c>
      <c r="CT38" s="6">
        <v>99.02</v>
      </c>
      <c r="CU38" s="4"/>
      <c r="CV38" s="6"/>
      <c r="CW38" s="5"/>
      <c r="CX38" s="5"/>
      <c r="CY38" s="4">
        <v>5</v>
      </c>
      <c r="CZ38" s="6">
        <v>158.77</v>
      </c>
      <c r="DA38" s="4">
        <v>40</v>
      </c>
      <c r="DB38" s="6">
        <v>1219.08</v>
      </c>
      <c r="DC38" s="5">
        <v>-0.875</v>
      </c>
      <c r="DD38" s="5">
        <v>-0.8698</v>
      </c>
      <c r="DE38" s="4">
        <v>6</v>
      </c>
      <c r="DF38" s="6">
        <v>182.24</v>
      </c>
      <c r="DG38" s="4">
        <v>13</v>
      </c>
      <c r="DH38" s="6">
        <v>405.09</v>
      </c>
      <c r="DI38" s="5">
        <v>-0.5385</v>
      </c>
      <c r="DJ38" s="5">
        <v>-0.5501</v>
      </c>
      <c r="DK38" s="4">
        <v>1</v>
      </c>
      <c r="DL38" s="6">
        <v>29.99</v>
      </c>
      <c r="DM38" s="4">
        <v>2</v>
      </c>
      <c r="DN38" s="6">
        <v>64.98</v>
      </c>
      <c r="DO38" s="5">
        <v>-0.5</v>
      </c>
      <c r="DP38" s="5">
        <v>-0.5385</v>
      </c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>
        <v>2</v>
      </c>
      <c r="ED38" s="6">
        <v>56.7</v>
      </c>
      <c r="EE38" s="4">
        <v>2</v>
      </c>
      <c r="EF38" s="6">
        <v>59.75</v>
      </c>
      <c r="EG38" s="5"/>
      <c r="EH38" s="5">
        <v>-0.051</v>
      </c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>
        <v>1</v>
      </c>
      <c r="EV38" s="6">
        <v>35.56</v>
      </c>
      <c r="EW38" s="4">
        <v>1</v>
      </c>
      <c r="EX38" s="6">
        <v>23.7</v>
      </c>
      <c r="EY38" s="5"/>
      <c r="EZ38" s="5">
        <v>0.5004</v>
      </c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>
        <v>10</v>
      </c>
      <c r="FV38" s="6">
        <v>333.68</v>
      </c>
      <c r="FW38" s="5"/>
      <c r="FX38" s="5"/>
      <c r="FY38" s="4"/>
      <c r="FZ38" s="6"/>
      <c r="GA38" s="4">
        <v>27</v>
      </c>
      <c r="GB38" s="6">
        <v>787.96</v>
      </c>
      <c r="GC38" s="5"/>
      <c r="GD38" s="5"/>
      <c r="GE38" s="4"/>
      <c r="GF38" s="6"/>
      <c r="GG38" s="4">
        <v>6</v>
      </c>
      <c r="GH38" s="6">
        <v>156.35</v>
      </c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/>
      <c r="IB38" s="6"/>
      <c r="IC38" s="4"/>
      <c r="ID38" s="6"/>
      <c r="IE38" s="5"/>
      <c r="IF38" s="5"/>
      <c r="IG38" s="4"/>
      <c r="IH38" s="6"/>
      <c r="II38" s="4"/>
      <c r="IJ38" s="6"/>
      <c r="IK38" s="5"/>
      <c r="IL38" s="5"/>
      <c r="IM38" s="4"/>
      <c r="IN38" s="6"/>
      <c r="IO38" s="4"/>
      <c r="IP38" s="6"/>
      <c r="IQ38" s="5"/>
      <c r="IR38" s="5"/>
      <c r="IS38" s="4"/>
      <c r="IT38" s="6"/>
      <c r="IU38" s="4"/>
      <c r="IV38" s="6"/>
      <c r="IW38" s="5"/>
      <c r="IX38" s="5"/>
      <c r="IY38" s="4"/>
      <c r="IZ38" s="6"/>
      <c r="JA38" s="4"/>
      <c r="JB38" s="6"/>
      <c r="JC38" s="5"/>
      <c r="JD38" s="5"/>
      <c r="JE38" s="4"/>
      <c r="JF38" s="6"/>
      <c r="JG38" s="4"/>
      <c r="JH38" s="6"/>
      <c r="JI38" s="5"/>
      <c r="JJ38" s="5"/>
      <c r="JK38" s="4">
        <v>1106</v>
      </c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>
        <v>300</v>
      </c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>
        <v>300</v>
      </c>
      <c r="LF38" s="4"/>
      <c r="LG38" s="4"/>
      <c r="LH38" s="4"/>
      <c r="LI38" s="4"/>
      <c r="LJ38" s="4"/>
      <c r="LK38" s="4"/>
      <c r="LL38" s="4"/>
      <c r="LM38" s="4"/>
    </row>
    <row r="39">
      <c r="A39" s="3" t="s">
        <v>136</v>
      </c>
      <c r="B39" s="3" t="s">
        <v>137</v>
      </c>
      <c r="C39" s="3" t="s">
        <v>138</v>
      </c>
      <c r="D39" s="3" t="s">
        <v>139</v>
      </c>
      <c r="E39" s="3" t="s">
        <v>147</v>
      </c>
      <c r="F39" s="3" t="s">
        <v>147</v>
      </c>
      <c r="G39" s="3" t="s">
        <v>147</v>
      </c>
      <c r="H39" s="3" t="s">
        <v>143</v>
      </c>
      <c r="I39" s="3" t="s">
        <v>232</v>
      </c>
      <c r="J39" s="3" t="s">
        <v>228</v>
      </c>
      <c r="K39" s="4">
        <v>677</v>
      </c>
      <c r="L39" s="4">
        <f>=ROUNDDOWN(20.9597523219814,0)</f>
      </c>
      <c r="M39" s="4">
        <v>264</v>
      </c>
      <c r="N39" s="5">
        <v>1</v>
      </c>
      <c r="O39" s="4"/>
      <c r="P39" s="4">
        <f>=ROUNDDOWN({0},0)</f>
      </c>
      <c r="Q39" s="4"/>
      <c r="R39" s="5"/>
      <c r="S39" s="4">
        <v>293</v>
      </c>
      <c r="T39" s="6">
        <v>9059.97</v>
      </c>
      <c r="U39" s="4">
        <v>337</v>
      </c>
      <c r="V39" s="6">
        <v>10450.41</v>
      </c>
      <c r="W39" s="5">
        <v>-0.1306</v>
      </c>
      <c r="X39" s="5">
        <v>-0.1331</v>
      </c>
      <c r="Y39" s="4">
        <v>100</v>
      </c>
      <c r="Z39" s="6">
        <v>3368.12</v>
      </c>
      <c r="AA39" s="4">
        <v>97</v>
      </c>
      <c r="AB39" s="6">
        <v>3177.47</v>
      </c>
      <c r="AC39" s="5">
        <v>0.0309</v>
      </c>
      <c r="AD39" s="5">
        <v>0.06</v>
      </c>
      <c r="AE39" s="4">
        <v>44</v>
      </c>
      <c r="AF39" s="6">
        <v>1300.67</v>
      </c>
      <c r="AG39" s="4">
        <v>4</v>
      </c>
      <c r="AH39" s="6">
        <v>115.55</v>
      </c>
      <c r="AI39" s="5">
        <v>10</v>
      </c>
      <c r="AJ39" s="5">
        <v>10.2563</v>
      </c>
      <c r="AK39" s="4"/>
      <c r="AL39" s="6"/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>
        <v>36</v>
      </c>
      <c r="AX39" s="6">
        <v>1180.9</v>
      </c>
      <c r="AY39" s="4">
        <v>33</v>
      </c>
      <c r="AZ39" s="6">
        <v>1072.87</v>
      </c>
      <c r="BA39" s="5">
        <v>0.0909</v>
      </c>
      <c r="BB39" s="5">
        <v>0.1007</v>
      </c>
      <c r="BC39" s="4">
        <v>52</v>
      </c>
      <c r="BD39" s="6">
        <v>1511.69</v>
      </c>
      <c r="BE39" s="4">
        <v>86</v>
      </c>
      <c r="BF39" s="6">
        <v>2514.41</v>
      </c>
      <c r="BG39" s="5">
        <v>-0.3953</v>
      </c>
      <c r="BH39" s="5">
        <v>-0.3988</v>
      </c>
      <c r="BI39" s="4">
        <v>13</v>
      </c>
      <c r="BJ39" s="6">
        <v>385.87</v>
      </c>
      <c r="BK39" s="4">
        <v>23</v>
      </c>
      <c r="BL39" s="6">
        <v>710.21</v>
      </c>
      <c r="BM39" s="5">
        <v>-0.4348</v>
      </c>
      <c r="BN39" s="5">
        <v>-0.4567</v>
      </c>
      <c r="BO39" s="4">
        <v>3</v>
      </c>
      <c r="BP39" s="6">
        <v>89.38</v>
      </c>
      <c r="BQ39" s="4">
        <v>8</v>
      </c>
      <c r="BR39" s="6">
        <v>211.54</v>
      </c>
      <c r="BS39" s="5">
        <v>-0.625</v>
      </c>
      <c r="BT39" s="5">
        <v>-0.5775</v>
      </c>
      <c r="BU39" s="4">
        <v>9</v>
      </c>
      <c r="BV39" s="6">
        <v>282.27</v>
      </c>
      <c r="BW39" s="4">
        <v>33</v>
      </c>
      <c r="BX39" s="6">
        <v>1039.76</v>
      </c>
      <c r="BY39" s="5">
        <v>-0.7273</v>
      </c>
      <c r="BZ39" s="5">
        <v>-0.7285</v>
      </c>
      <c r="CA39" s="4">
        <v>13</v>
      </c>
      <c r="CB39" s="6">
        <v>385.45</v>
      </c>
      <c r="CC39" s="4">
        <v>10</v>
      </c>
      <c r="CD39" s="6">
        <v>317.23</v>
      </c>
      <c r="CE39" s="5">
        <v>0.3</v>
      </c>
      <c r="CF39" s="5">
        <v>0.215</v>
      </c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>
        <v>2</v>
      </c>
      <c r="CT39" s="6">
        <v>65.21</v>
      </c>
      <c r="CU39" s="4"/>
      <c r="CV39" s="6"/>
      <c r="CW39" s="5"/>
      <c r="CX39" s="5"/>
      <c r="CY39" s="4">
        <v>8</v>
      </c>
      <c r="CZ39" s="6">
        <v>206.96</v>
      </c>
      <c r="DA39" s="4">
        <v>29</v>
      </c>
      <c r="DB39" s="6">
        <v>850.52</v>
      </c>
      <c r="DC39" s="5">
        <v>-0.7241</v>
      </c>
      <c r="DD39" s="5">
        <v>-0.7567</v>
      </c>
      <c r="DE39" s="4">
        <v>13</v>
      </c>
      <c r="DF39" s="6">
        <v>283.45</v>
      </c>
      <c r="DG39" s="4">
        <v>6</v>
      </c>
      <c r="DH39" s="6">
        <v>179.05</v>
      </c>
      <c r="DI39" s="5">
        <v>1.1667</v>
      </c>
      <c r="DJ39" s="5">
        <v>0.5831</v>
      </c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>
        <v>1</v>
      </c>
      <c r="EF39" s="6">
        <v>33.81</v>
      </c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>
        <v>4</v>
      </c>
      <c r="FV39" s="6">
        <v>140.1</v>
      </c>
      <c r="FW39" s="5"/>
      <c r="FX39" s="5"/>
      <c r="FY39" s="4"/>
      <c r="FZ39" s="6"/>
      <c r="GA39" s="4">
        <v>3</v>
      </c>
      <c r="GB39" s="6">
        <v>87.89</v>
      </c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6"/>
      <c r="IC39" s="4"/>
      <c r="ID39" s="6"/>
      <c r="IE39" s="5"/>
      <c r="IF39" s="5"/>
      <c r="IG39" s="4"/>
      <c r="IH39" s="6"/>
      <c r="II39" s="4"/>
      <c r="IJ39" s="6"/>
      <c r="IK39" s="5"/>
      <c r="IL39" s="5"/>
      <c r="IM39" s="4"/>
      <c r="IN39" s="6"/>
      <c r="IO39" s="4"/>
      <c r="IP39" s="6"/>
      <c r="IQ39" s="5"/>
      <c r="IR39" s="5"/>
      <c r="IS39" s="4"/>
      <c r="IT39" s="6"/>
      <c r="IU39" s="4"/>
      <c r="IV39" s="6"/>
      <c r="IW39" s="5"/>
      <c r="IX39" s="5"/>
      <c r="IY39" s="4"/>
      <c r="IZ39" s="6"/>
      <c r="JA39" s="4"/>
      <c r="JB39" s="6"/>
      <c r="JC39" s="5"/>
      <c r="JD39" s="5"/>
      <c r="JE39" s="4"/>
      <c r="JF39" s="6"/>
      <c r="JG39" s="4"/>
      <c r="JH39" s="6"/>
      <c r="JI39" s="5"/>
      <c r="JJ39" s="5"/>
      <c r="JK39" s="4">
        <v>677</v>
      </c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>
        <v>264</v>
      </c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</row>
    <row r="40">
      <c r="A40" s="3" t="s">
        <v>136</v>
      </c>
      <c r="B40" s="3" t="s">
        <v>137</v>
      </c>
      <c r="C40" s="3" t="s">
        <v>138</v>
      </c>
      <c r="D40" s="3" t="s">
        <v>139</v>
      </c>
      <c r="E40" s="3" t="s">
        <v>147</v>
      </c>
      <c r="F40" s="3" t="s">
        <v>147</v>
      </c>
      <c r="G40" s="3" t="s">
        <v>147</v>
      </c>
      <c r="H40" s="3" t="s">
        <v>143</v>
      </c>
      <c r="I40" s="3" t="s">
        <v>229</v>
      </c>
      <c r="J40" s="3" t="s">
        <v>228</v>
      </c>
      <c r="K40" s="4">
        <v>719</v>
      </c>
      <c r="L40" s="4">
        <f>=ROUNDDOWN(27.5478927203065,0)</f>
      </c>
      <c r="M40" s="4">
        <v>260</v>
      </c>
      <c r="N40" s="5">
        <v>0.9572</v>
      </c>
      <c r="O40" s="4"/>
      <c r="P40" s="4">
        <f>=ROUNDDOWN({0},0)</f>
      </c>
      <c r="Q40" s="4"/>
      <c r="R40" s="5"/>
      <c r="S40" s="4">
        <v>259</v>
      </c>
      <c r="T40" s="6">
        <v>8244.87</v>
      </c>
      <c r="U40" s="4">
        <v>396</v>
      </c>
      <c r="V40" s="6">
        <v>13081.07</v>
      </c>
      <c r="W40" s="5">
        <v>-0.346</v>
      </c>
      <c r="X40" s="5">
        <v>-0.3697</v>
      </c>
      <c r="Y40" s="4">
        <v>103</v>
      </c>
      <c r="Z40" s="6">
        <v>3546.13</v>
      </c>
      <c r="AA40" s="4">
        <v>189</v>
      </c>
      <c r="AB40" s="6">
        <v>6413.11</v>
      </c>
      <c r="AC40" s="5">
        <v>-0.455</v>
      </c>
      <c r="AD40" s="5">
        <v>-0.447</v>
      </c>
      <c r="AE40" s="4">
        <v>27</v>
      </c>
      <c r="AF40" s="6">
        <v>805.91</v>
      </c>
      <c r="AG40" s="4">
        <v>11</v>
      </c>
      <c r="AH40" s="6">
        <v>361.48</v>
      </c>
      <c r="AI40" s="5">
        <v>1.4545</v>
      </c>
      <c r="AJ40" s="5">
        <v>1.2295</v>
      </c>
      <c r="AK40" s="4"/>
      <c r="AL40" s="6"/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>
        <v>34</v>
      </c>
      <c r="AX40" s="6">
        <v>1104.95</v>
      </c>
      <c r="AY40" s="4">
        <v>26</v>
      </c>
      <c r="AZ40" s="6">
        <v>831.11</v>
      </c>
      <c r="BA40" s="5">
        <v>0.3077</v>
      </c>
      <c r="BB40" s="5">
        <v>0.3295</v>
      </c>
      <c r="BC40" s="4">
        <v>31</v>
      </c>
      <c r="BD40" s="6">
        <v>966.72</v>
      </c>
      <c r="BE40" s="4">
        <v>23</v>
      </c>
      <c r="BF40" s="6">
        <v>759.17</v>
      </c>
      <c r="BG40" s="5">
        <v>0.3478</v>
      </c>
      <c r="BH40" s="5">
        <v>0.2734</v>
      </c>
      <c r="BI40" s="4">
        <v>16</v>
      </c>
      <c r="BJ40" s="6">
        <v>517.27</v>
      </c>
      <c r="BK40" s="4">
        <v>14</v>
      </c>
      <c r="BL40" s="6">
        <v>441.79</v>
      </c>
      <c r="BM40" s="5">
        <v>0.1429</v>
      </c>
      <c r="BN40" s="5">
        <v>0.1709</v>
      </c>
      <c r="BO40" s="4">
        <v>10</v>
      </c>
      <c r="BP40" s="6">
        <v>265.14</v>
      </c>
      <c r="BQ40" s="4">
        <v>8</v>
      </c>
      <c r="BR40" s="6">
        <v>244</v>
      </c>
      <c r="BS40" s="5">
        <v>0.25</v>
      </c>
      <c r="BT40" s="5">
        <v>0.0866</v>
      </c>
      <c r="BU40" s="4">
        <v>7</v>
      </c>
      <c r="BV40" s="6">
        <v>224.68</v>
      </c>
      <c r="BW40" s="4">
        <v>54</v>
      </c>
      <c r="BX40" s="6">
        <v>1705.15</v>
      </c>
      <c r="BY40" s="5">
        <v>-0.8704</v>
      </c>
      <c r="BZ40" s="5">
        <v>-0.8682</v>
      </c>
      <c r="CA40" s="4">
        <v>17</v>
      </c>
      <c r="CB40" s="6">
        <v>501.17</v>
      </c>
      <c r="CC40" s="4">
        <v>24</v>
      </c>
      <c r="CD40" s="6">
        <v>786.75</v>
      </c>
      <c r="CE40" s="5">
        <v>-0.2917</v>
      </c>
      <c r="CF40" s="5">
        <v>-0.363</v>
      </c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>
        <v>3</v>
      </c>
      <c r="CZ40" s="6">
        <v>76.55</v>
      </c>
      <c r="DA40" s="4">
        <v>6</v>
      </c>
      <c r="DB40" s="6">
        <v>181.46</v>
      </c>
      <c r="DC40" s="5">
        <v>-0.5</v>
      </c>
      <c r="DD40" s="5">
        <v>-0.5781</v>
      </c>
      <c r="DE40" s="4">
        <v>11</v>
      </c>
      <c r="DF40" s="6">
        <v>236.35</v>
      </c>
      <c r="DG40" s="4">
        <v>16</v>
      </c>
      <c r="DH40" s="6">
        <v>528.4</v>
      </c>
      <c r="DI40" s="5">
        <v>-0.3125</v>
      </c>
      <c r="DJ40" s="5">
        <v>-0.5527</v>
      </c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>
        <v>3</v>
      </c>
      <c r="EF40" s="6">
        <v>96.61</v>
      </c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>
        <v>17</v>
      </c>
      <c r="FV40" s="6">
        <v>578.73</v>
      </c>
      <c r="FW40" s="5"/>
      <c r="FX40" s="5"/>
      <c r="FY40" s="4"/>
      <c r="FZ40" s="6"/>
      <c r="GA40" s="4">
        <v>5</v>
      </c>
      <c r="GB40" s="6">
        <v>153.31</v>
      </c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6"/>
      <c r="IC40" s="4"/>
      <c r="ID40" s="6"/>
      <c r="IE40" s="5"/>
      <c r="IF40" s="5"/>
      <c r="IG40" s="4"/>
      <c r="IH40" s="6"/>
      <c r="II40" s="4"/>
      <c r="IJ40" s="6"/>
      <c r="IK40" s="5"/>
      <c r="IL40" s="5"/>
      <c r="IM40" s="4"/>
      <c r="IN40" s="6"/>
      <c r="IO40" s="4"/>
      <c r="IP40" s="6"/>
      <c r="IQ40" s="5"/>
      <c r="IR40" s="5"/>
      <c r="IS40" s="4"/>
      <c r="IT40" s="6"/>
      <c r="IU40" s="4"/>
      <c r="IV40" s="6"/>
      <c r="IW40" s="5"/>
      <c r="IX40" s="5"/>
      <c r="IY40" s="4"/>
      <c r="IZ40" s="6"/>
      <c r="JA40" s="4"/>
      <c r="JB40" s="6"/>
      <c r="JC40" s="5"/>
      <c r="JD40" s="5"/>
      <c r="JE40" s="4"/>
      <c r="JF40" s="6"/>
      <c r="JG40" s="4"/>
      <c r="JH40" s="6"/>
      <c r="JI40" s="5"/>
      <c r="JJ40" s="5"/>
      <c r="JK40" s="4">
        <v>719</v>
      </c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>
        <v>260</v>
      </c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</row>
    <row r="41">
      <c r="A41" s="3" t="s">
        <v>136</v>
      </c>
      <c r="B41" s="3" t="s">
        <v>137</v>
      </c>
      <c r="C41" s="3" t="s">
        <v>138</v>
      </c>
      <c r="D41" s="3" t="s">
        <v>139</v>
      </c>
      <c r="E41" s="3" t="s">
        <v>147</v>
      </c>
      <c r="F41" s="3" t="s">
        <v>147</v>
      </c>
      <c r="G41" s="3" t="s">
        <v>147</v>
      </c>
      <c r="H41" s="3" t="s">
        <v>143</v>
      </c>
      <c r="I41" s="3" t="s">
        <v>230</v>
      </c>
      <c r="J41" s="3" t="s">
        <v>228</v>
      </c>
      <c r="K41" s="4">
        <v>683</v>
      </c>
      <c r="L41" s="4">
        <f>=ROUNDDOWN(26.5758754863813,0)</f>
      </c>
      <c r="M41" s="4">
        <v>270</v>
      </c>
      <c r="N41" s="5">
        <v>1</v>
      </c>
      <c r="O41" s="4"/>
      <c r="P41" s="4">
        <f>=ROUNDDOWN({0},0)</f>
      </c>
      <c r="Q41" s="4"/>
      <c r="R41" s="5"/>
      <c r="S41" s="4">
        <v>223</v>
      </c>
      <c r="T41" s="6">
        <v>7134.52</v>
      </c>
      <c r="U41" s="4">
        <v>279</v>
      </c>
      <c r="V41" s="6">
        <v>9143.4</v>
      </c>
      <c r="W41" s="5">
        <v>-0.2007</v>
      </c>
      <c r="X41" s="5">
        <v>-0.2197</v>
      </c>
      <c r="Y41" s="4">
        <v>72</v>
      </c>
      <c r="Z41" s="6">
        <v>2535.44</v>
      </c>
      <c r="AA41" s="4">
        <v>99</v>
      </c>
      <c r="AB41" s="6">
        <v>3395.21</v>
      </c>
      <c r="AC41" s="5">
        <v>-0.2727</v>
      </c>
      <c r="AD41" s="5">
        <v>-0.2532</v>
      </c>
      <c r="AE41" s="4">
        <v>41</v>
      </c>
      <c r="AF41" s="6">
        <v>1265.13</v>
      </c>
      <c r="AG41" s="4">
        <v>10</v>
      </c>
      <c r="AH41" s="6">
        <v>334.82</v>
      </c>
      <c r="AI41" s="5">
        <v>3.1</v>
      </c>
      <c r="AJ41" s="5">
        <v>2.7785</v>
      </c>
      <c r="AK41" s="4"/>
      <c r="AL41" s="6"/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>
        <v>19</v>
      </c>
      <c r="AX41" s="6">
        <v>619.34</v>
      </c>
      <c r="AY41" s="4">
        <v>25</v>
      </c>
      <c r="AZ41" s="6">
        <v>796.03</v>
      </c>
      <c r="BA41" s="5">
        <v>-0.24</v>
      </c>
      <c r="BB41" s="5">
        <v>-0.222</v>
      </c>
      <c r="BC41" s="4">
        <v>13</v>
      </c>
      <c r="BD41" s="6">
        <v>429.76</v>
      </c>
      <c r="BE41" s="4">
        <v>34</v>
      </c>
      <c r="BF41" s="6">
        <v>1124.63</v>
      </c>
      <c r="BG41" s="5">
        <v>-0.6176</v>
      </c>
      <c r="BH41" s="5">
        <v>-0.6179</v>
      </c>
      <c r="BI41" s="4">
        <v>16</v>
      </c>
      <c r="BJ41" s="6">
        <v>480.93</v>
      </c>
      <c r="BK41" s="4">
        <v>28</v>
      </c>
      <c r="BL41" s="6">
        <v>844.42</v>
      </c>
      <c r="BM41" s="5">
        <v>-0.4286</v>
      </c>
      <c r="BN41" s="5">
        <v>-0.4305</v>
      </c>
      <c r="BO41" s="4">
        <v>4</v>
      </c>
      <c r="BP41" s="6">
        <v>114.27</v>
      </c>
      <c r="BQ41" s="4">
        <v>6</v>
      </c>
      <c r="BR41" s="6">
        <v>190.83</v>
      </c>
      <c r="BS41" s="5">
        <v>-0.3333</v>
      </c>
      <c r="BT41" s="5">
        <v>-0.4012</v>
      </c>
      <c r="BU41" s="4">
        <v>12</v>
      </c>
      <c r="BV41" s="6">
        <v>360.02</v>
      </c>
      <c r="BW41" s="4">
        <v>32</v>
      </c>
      <c r="BX41" s="6">
        <v>1048.47</v>
      </c>
      <c r="BY41" s="5">
        <v>-0.625</v>
      </c>
      <c r="BZ41" s="5">
        <v>-0.6566</v>
      </c>
      <c r="CA41" s="4">
        <v>15</v>
      </c>
      <c r="CB41" s="6">
        <v>461.71</v>
      </c>
      <c r="CC41" s="4">
        <v>12</v>
      </c>
      <c r="CD41" s="6">
        <v>376.11</v>
      </c>
      <c r="CE41" s="5">
        <v>0.25</v>
      </c>
      <c r="CF41" s="5">
        <v>0.2276</v>
      </c>
      <c r="CG41" s="4"/>
      <c r="CH41" s="6"/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>
        <v>5</v>
      </c>
      <c r="CT41" s="6">
        <v>155.72</v>
      </c>
      <c r="CU41" s="4"/>
      <c r="CV41" s="6"/>
      <c r="CW41" s="5"/>
      <c r="CX41" s="5"/>
      <c r="CY41" s="4">
        <v>13</v>
      </c>
      <c r="CZ41" s="6">
        <v>357.21</v>
      </c>
      <c r="DA41" s="4">
        <v>30</v>
      </c>
      <c r="DB41" s="6">
        <v>935.55</v>
      </c>
      <c r="DC41" s="5">
        <v>-0.5667</v>
      </c>
      <c r="DD41" s="5">
        <v>-0.6182</v>
      </c>
      <c r="DE41" s="4">
        <v>11</v>
      </c>
      <c r="DF41" s="6">
        <v>289.78</v>
      </c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>
        <v>2</v>
      </c>
      <c r="ED41" s="6">
        <v>65.21</v>
      </c>
      <c r="EE41" s="4">
        <v>2</v>
      </c>
      <c r="EF41" s="6">
        <v>62.8</v>
      </c>
      <c r="EG41" s="5"/>
      <c r="EH41" s="5">
        <v>0.0384</v>
      </c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>
        <v>1</v>
      </c>
      <c r="FV41" s="6">
        <v>34.53</v>
      </c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/>
      <c r="IB41" s="6"/>
      <c r="IC41" s="4"/>
      <c r="ID41" s="6"/>
      <c r="IE41" s="5"/>
      <c r="IF41" s="5"/>
      <c r="IG41" s="4"/>
      <c r="IH41" s="6"/>
      <c r="II41" s="4"/>
      <c r="IJ41" s="6"/>
      <c r="IK41" s="5"/>
      <c r="IL41" s="5"/>
      <c r="IM41" s="4"/>
      <c r="IN41" s="6"/>
      <c r="IO41" s="4"/>
      <c r="IP41" s="6"/>
      <c r="IQ41" s="5"/>
      <c r="IR41" s="5"/>
      <c r="IS41" s="4"/>
      <c r="IT41" s="6"/>
      <c r="IU41" s="4"/>
      <c r="IV41" s="6"/>
      <c r="IW41" s="5"/>
      <c r="IX41" s="5"/>
      <c r="IY41" s="4"/>
      <c r="IZ41" s="6"/>
      <c r="JA41" s="4"/>
      <c r="JB41" s="6"/>
      <c r="JC41" s="5"/>
      <c r="JD41" s="5"/>
      <c r="JE41" s="4"/>
      <c r="JF41" s="6"/>
      <c r="JG41" s="4"/>
      <c r="JH41" s="6"/>
      <c r="JI41" s="5"/>
      <c r="JJ41" s="5"/>
      <c r="JK41" s="4">
        <v>683</v>
      </c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>
        <v>270</v>
      </c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</row>
    <row r="42">
      <c r="A42" s="3" t="s">
        <v>136</v>
      </c>
      <c r="B42" s="3" t="s">
        <v>137</v>
      </c>
      <c r="C42" s="3" t="s">
        <v>138</v>
      </c>
      <c r="D42" s="3" t="s">
        <v>139</v>
      </c>
      <c r="E42" s="3" t="s">
        <v>147</v>
      </c>
      <c r="F42" s="3" t="s">
        <v>147</v>
      </c>
      <c r="G42" s="3" t="s">
        <v>147</v>
      </c>
      <c r="H42" s="3" t="s">
        <v>143</v>
      </c>
      <c r="I42" s="3" t="s">
        <v>233</v>
      </c>
      <c r="J42" s="3" t="s">
        <v>228</v>
      </c>
      <c r="K42" s="4">
        <v>626</v>
      </c>
      <c r="L42" s="4">
        <f>=ROUNDDOWN(26.0833333333333,0)</f>
      </c>
      <c r="M42" s="4">
        <v>330</v>
      </c>
      <c r="N42" s="5">
        <v>1</v>
      </c>
      <c r="O42" s="4"/>
      <c r="P42" s="4">
        <f>=ROUNDDOWN({0},0)</f>
      </c>
      <c r="Q42" s="4"/>
      <c r="R42" s="5"/>
      <c r="S42" s="4">
        <v>215</v>
      </c>
      <c r="T42" s="6">
        <v>6678.25</v>
      </c>
      <c r="U42" s="4">
        <v>272</v>
      </c>
      <c r="V42" s="6">
        <v>8732.44</v>
      </c>
      <c r="W42" s="5">
        <v>-0.2096</v>
      </c>
      <c r="X42" s="5">
        <v>-0.2352</v>
      </c>
      <c r="Y42" s="4">
        <v>83</v>
      </c>
      <c r="Z42" s="6">
        <v>2840.97</v>
      </c>
      <c r="AA42" s="4">
        <v>59</v>
      </c>
      <c r="AB42" s="6">
        <v>1940.21</v>
      </c>
      <c r="AC42" s="5">
        <v>0.4068</v>
      </c>
      <c r="AD42" s="5">
        <v>0.4643</v>
      </c>
      <c r="AE42" s="4">
        <v>21</v>
      </c>
      <c r="AF42" s="6">
        <v>616.25</v>
      </c>
      <c r="AG42" s="4">
        <v>3</v>
      </c>
      <c r="AH42" s="6">
        <v>103.71</v>
      </c>
      <c r="AI42" s="5">
        <v>6</v>
      </c>
      <c r="AJ42" s="5">
        <v>4.942</v>
      </c>
      <c r="AK42" s="4"/>
      <c r="AL42" s="6"/>
      <c r="AM42" s="4"/>
      <c r="AN42" s="6"/>
      <c r="AO42" s="5"/>
      <c r="AP42" s="5"/>
      <c r="AQ42" s="4"/>
      <c r="AR42" s="6"/>
      <c r="AS42" s="4"/>
      <c r="AT42" s="6"/>
      <c r="AU42" s="5"/>
      <c r="AV42" s="5"/>
      <c r="AW42" s="4">
        <v>23</v>
      </c>
      <c r="AX42" s="6">
        <v>702.66</v>
      </c>
      <c r="AY42" s="4">
        <v>22</v>
      </c>
      <c r="AZ42" s="6">
        <v>707.77</v>
      </c>
      <c r="BA42" s="5">
        <v>0.0455</v>
      </c>
      <c r="BB42" s="5">
        <v>-0.0072</v>
      </c>
      <c r="BC42" s="4">
        <v>18</v>
      </c>
      <c r="BD42" s="6">
        <v>508.64</v>
      </c>
      <c r="BE42" s="4">
        <v>32</v>
      </c>
      <c r="BF42" s="6">
        <v>1008.82</v>
      </c>
      <c r="BG42" s="5">
        <v>-0.4375</v>
      </c>
      <c r="BH42" s="5">
        <v>-0.4958</v>
      </c>
      <c r="BI42" s="4">
        <v>14</v>
      </c>
      <c r="BJ42" s="6">
        <v>436.19</v>
      </c>
      <c r="BK42" s="4">
        <v>22</v>
      </c>
      <c r="BL42" s="6">
        <v>671.05</v>
      </c>
      <c r="BM42" s="5">
        <v>-0.3636</v>
      </c>
      <c r="BN42" s="5">
        <v>-0.35</v>
      </c>
      <c r="BO42" s="4">
        <v>2</v>
      </c>
      <c r="BP42" s="6">
        <v>55.21</v>
      </c>
      <c r="BQ42" s="4">
        <v>4</v>
      </c>
      <c r="BR42" s="6">
        <v>112.9</v>
      </c>
      <c r="BS42" s="5">
        <v>-0.5</v>
      </c>
      <c r="BT42" s="5">
        <v>-0.511</v>
      </c>
      <c r="BU42" s="4">
        <v>16</v>
      </c>
      <c r="BV42" s="6">
        <v>504.08</v>
      </c>
      <c r="BW42" s="4">
        <v>71</v>
      </c>
      <c r="BX42" s="6">
        <v>2249.51</v>
      </c>
      <c r="BY42" s="5">
        <v>-0.7746</v>
      </c>
      <c r="BZ42" s="5">
        <v>-0.7759</v>
      </c>
      <c r="CA42" s="4">
        <v>8</v>
      </c>
      <c r="CB42" s="6">
        <v>257.23</v>
      </c>
      <c r="CC42" s="4">
        <v>17</v>
      </c>
      <c r="CD42" s="6">
        <v>572.48</v>
      </c>
      <c r="CE42" s="5">
        <v>-0.5294</v>
      </c>
      <c r="CF42" s="5">
        <v>-0.5507</v>
      </c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>
        <v>2</v>
      </c>
      <c r="CT42" s="6">
        <v>59.75</v>
      </c>
      <c r="CU42" s="4"/>
      <c r="CV42" s="6"/>
      <c r="CW42" s="5"/>
      <c r="CX42" s="5"/>
      <c r="CY42" s="4">
        <v>7</v>
      </c>
      <c r="CZ42" s="6">
        <v>232.47</v>
      </c>
      <c r="DA42" s="4">
        <v>36</v>
      </c>
      <c r="DB42" s="6">
        <v>1176.58</v>
      </c>
      <c r="DC42" s="5">
        <v>-0.8056</v>
      </c>
      <c r="DD42" s="5">
        <v>-0.8024</v>
      </c>
      <c r="DE42" s="4">
        <v>19</v>
      </c>
      <c r="DF42" s="6">
        <v>402.64</v>
      </c>
      <c r="DG42" s="4">
        <v>2</v>
      </c>
      <c r="DH42" s="6">
        <v>67.52</v>
      </c>
      <c r="DI42" s="5">
        <v>8.5</v>
      </c>
      <c r="DJ42" s="5">
        <v>4.9633</v>
      </c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>
        <v>2</v>
      </c>
      <c r="ED42" s="6">
        <v>62.16</v>
      </c>
      <c r="EE42" s="4">
        <v>2</v>
      </c>
      <c r="EF42" s="6">
        <v>59.75</v>
      </c>
      <c r="EG42" s="5"/>
      <c r="EH42" s="5">
        <v>0.0403</v>
      </c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>
        <v>2</v>
      </c>
      <c r="FV42" s="6">
        <v>62.14</v>
      </c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/>
      <c r="IB42" s="6"/>
      <c r="IC42" s="4"/>
      <c r="ID42" s="6"/>
      <c r="IE42" s="5"/>
      <c r="IF42" s="5"/>
      <c r="IG42" s="4"/>
      <c r="IH42" s="6"/>
      <c r="II42" s="4"/>
      <c r="IJ42" s="6"/>
      <c r="IK42" s="5"/>
      <c r="IL42" s="5"/>
      <c r="IM42" s="4"/>
      <c r="IN42" s="6"/>
      <c r="IO42" s="4"/>
      <c r="IP42" s="6"/>
      <c r="IQ42" s="5"/>
      <c r="IR42" s="5"/>
      <c r="IS42" s="4"/>
      <c r="IT42" s="6"/>
      <c r="IU42" s="4"/>
      <c r="IV42" s="6"/>
      <c r="IW42" s="5"/>
      <c r="IX42" s="5"/>
      <c r="IY42" s="4"/>
      <c r="IZ42" s="6"/>
      <c r="JA42" s="4"/>
      <c r="JB42" s="6"/>
      <c r="JC42" s="5"/>
      <c r="JD42" s="5"/>
      <c r="JE42" s="4"/>
      <c r="JF42" s="6"/>
      <c r="JG42" s="4"/>
      <c r="JH42" s="6"/>
      <c r="JI42" s="5"/>
      <c r="JJ42" s="5"/>
      <c r="JK42" s="4">
        <v>626</v>
      </c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>
        <v>330</v>
      </c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</row>
    <row r="43">
      <c r="A43" s="3" t="s">
        <v>136</v>
      </c>
      <c r="B43" s="3" t="s">
        <v>137</v>
      </c>
      <c r="C43" s="3" t="s">
        <v>138</v>
      </c>
      <c r="D43" s="3" t="s">
        <v>139</v>
      </c>
      <c r="E43" s="3" t="s">
        <v>147</v>
      </c>
      <c r="F43" s="3" t="s">
        <v>147</v>
      </c>
      <c r="G43" s="3" t="s">
        <v>147</v>
      </c>
      <c r="H43" s="3" t="s">
        <v>143</v>
      </c>
      <c r="I43" s="3" t="s">
        <v>234</v>
      </c>
      <c r="J43" s="3" t="s">
        <v>228</v>
      </c>
      <c r="K43" s="4">
        <v>459</v>
      </c>
      <c r="L43" s="4">
        <f>=ROUNDDOWN(19.9565217391304,0)</f>
      </c>
      <c r="M43" s="4">
        <v>510</v>
      </c>
      <c r="N43" s="5">
        <v>1</v>
      </c>
      <c r="O43" s="4"/>
      <c r="P43" s="4">
        <f>=ROUNDDOWN({0},0)</f>
      </c>
      <c r="Q43" s="4"/>
      <c r="R43" s="5"/>
      <c r="S43" s="4">
        <v>208</v>
      </c>
      <c r="T43" s="6">
        <v>6518.25</v>
      </c>
      <c r="U43" s="4">
        <v>278</v>
      </c>
      <c r="V43" s="6">
        <v>8884.04</v>
      </c>
      <c r="W43" s="5">
        <v>-0.2518</v>
      </c>
      <c r="X43" s="5">
        <v>-0.2663</v>
      </c>
      <c r="Y43" s="4">
        <v>85</v>
      </c>
      <c r="Z43" s="6">
        <v>2971.79</v>
      </c>
      <c r="AA43" s="4">
        <v>71</v>
      </c>
      <c r="AB43" s="6">
        <v>2395.09</v>
      </c>
      <c r="AC43" s="5">
        <v>0.1972</v>
      </c>
      <c r="AD43" s="5">
        <v>0.2408</v>
      </c>
      <c r="AE43" s="4">
        <v>17</v>
      </c>
      <c r="AF43" s="6">
        <v>503.68</v>
      </c>
      <c r="AG43" s="4">
        <v>6</v>
      </c>
      <c r="AH43" s="6">
        <v>210.39</v>
      </c>
      <c r="AI43" s="5">
        <v>1.8333</v>
      </c>
      <c r="AJ43" s="5">
        <v>1.394</v>
      </c>
      <c r="AK43" s="4"/>
      <c r="AL43" s="6"/>
      <c r="AM43" s="4"/>
      <c r="AN43" s="6"/>
      <c r="AO43" s="5"/>
      <c r="AP43" s="5"/>
      <c r="AQ43" s="4"/>
      <c r="AR43" s="6"/>
      <c r="AS43" s="4"/>
      <c r="AT43" s="6"/>
      <c r="AU43" s="5"/>
      <c r="AV43" s="5"/>
      <c r="AW43" s="4">
        <v>18</v>
      </c>
      <c r="AX43" s="6">
        <v>563.65</v>
      </c>
      <c r="AY43" s="4">
        <v>18</v>
      </c>
      <c r="AZ43" s="6">
        <v>574.04</v>
      </c>
      <c r="BA43" s="5"/>
      <c r="BB43" s="5">
        <v>-0.0181</v>
      </c>
      <c r="BC43" s="4">
        <v>15</v>
      </c>
      <c r="BD43" s="6">
        <v>490.68</v>
      </c>
      <c r="BE43" s="4">
        <v>39</v>
      </c>
      <c r="BF43" s="6">
        <v>1249.62</v>
      </c>
      <c r="BG43" s="5">
        <v>-0.6154</v>
      </c>
      <c r="BH43" s="5">
        <v>-0.6073</v>
      </c>
      <c r="BI43" s="4">
        <v>16</v>
      </c>
      <c r="BJ43" s="6">
        <v>475.33</v>
      </c>
      <c r="BK43" s="4">
        <v>24</v>
      </c>
      <c r="BL43" s="6">
        <v>707.44</v>
      </c>
      <c r="BM43" s="5">
        <v>-0.3333</v>
      </c>
      <c r="BN43" s="5">
        <v>-0.3281</v>
      </c>
      <c r="BO43" s="4">
        <v>7</v>
      </c>
      <c r="BP43" s="6">
        <v>184.05</v>
      </c>
      <c r="BQ43" s="4">
        <v>3</v>
      </c>
      <c r="BR43" s="6">
        <v>81.85</v>
      </c>
      <c r="BS43" s="5">
        <v>1.3333</v>
      </c>
      <c r="BT43" s="5">
        <v>1.2486</v>
      </c>
      <c r="BU43" s="4">
        <v>10</v>
      </c>
      <c r="BV43" s="6">
        <v>322.61</v>
      </c>
      <c r="BW43" s="4">
        <v>30</v>
      </c>
      <c r="BX43" s="6">
        <v>964.92</v>
      </c>
      <c r="BY43" s="5">
        <v>-0.6667</v>
      </c>
      <c r="BZ43" s="5">
        <v>-0.6657</v>
      </c>
      <c r="CA43" s="4">
        <v>14</v>
      </c>
      <c r="CB43" s="6">
        <v>392.77</v>
      </c>
      <c r="CC43" s="4">
        <v>32</v>
      </c>
      <c r="CD43" s="6">
        <v>1016.5</v>
      </c>
      <c r="CE43" s="5">
        <v>-0.5625</v>
      </c>
      <c r="CF43" s="5">
        <v>-0.6136</v>
      </c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>
        <v>5</v>
      </c>
      <c r="CT43" s="6">
        <v>144.38</v>
      </c>
      <c r="CU43" s="4"/>
      <c r="CV43" s="6"/>
      <c r="CW43" s="5"/>
      <c r="CX43" s="5"/>
      <c r="CY43" s="4">
        <v>3</v>
      </c>
      <c r="CZ43" s="6">
        <v>93.56</v>
      </c>
      <c r="DA43" s="4">
        <v>35</v>
      </c>
      <c r="DB43" s="6">
        <v>1057.59</v>
      </c>
      <c r="DC43" s="5">
        <v>-0.9143</v>
      </c>
      <c r="DD43" s="5">
        <v>-0.9115</v>
      </c>
      <c r="DE43" s="4">
        <v>16</v>
      </c>
      <c r="DF43" s="6">
        <v>323.35</v>
      </c>
      <c r="DG43" s="4">
        <v>10</v>
      </c>
      <c r="DH43" s="6">
        <v>311.17</v>
      </c>
      <c r="DI43" s="5">
        <v>0.6</v>
      </c>
      <c r="DJ43" s="5">
        <v>0.0391</v>
      </c>
      <c r="DK43" s="4">
        <v>1</v>
      </c>
      <c r="DL43" s="6">
        <v>21</v>
      </c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>
        <v>1</v>
      </c>
      <c r="ED43" s="6">
        <v>31.4</v>
      </c>
      <c r="EE43" s="4">
        <v>6</v>
      </c>
      <c r="EF43" s="6">
        <v>186.91</v>
      </c>
      <c r="EG43" s="5">
        <v>-0.8333</v>
      </c>
      <c r="EH43" s="5">
        <v>-0.832</v>
      </c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>
        <v>2</v>
      </c>
      <c r="FV43" s="6">
        <v>65.72</v>
      </c>
      <c r="FW43" s="5"/>
      <c r="FX43" s="5"/>
      <c r="FY43" s="4"/>
      <c r="FZ43" s="6"/>
      <c r="GA43" s="4">
        <v>2</v>
      </c>
      <c r="GB43" s="6">
        <v>62.8</v>
      </c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/>
      <c r="IB43" s="6"/>
      <c r="IC43" s="4"/>
      <c r="ID43" s="6"/>
      <c r="IE43" s="5"/>
      <c r="IF43" s="5"/>
      <c r="IG43" s="4"/>
      <c r="IH43" s="6"/>
      <c r="II43" s="4"/>
      <c r="IJ43" s="6"/>
      <c r="IK43" s="5"/>
      <c r="IL43" s="5"/>
      <c r="IM43" s="4"/>
      <c r="IN43" s="6"/>
      <c r="IO43" s="4"/>
      <c r="IP43" s="6"/>
      <c r="IQ43" s="5"/>
      <c r="IR43" s="5"/>
      <c r="IS43" s="4"/>
      <c r="IT43" s="6"/>
      <c r="IU43" s="4"/>
      <c r="IV43" s="6"/>
      <c r="IW43" s="5"/>
      <c r="IX43" s="5"/>
      <c r="IY43" s="4"/>
      <c r="IZ43" s="6"/>
      <c r="JA43" s="4"/>
      <c r="JB43" s="6"/>
      <c r="JC43" s="5"/>
      <c r="JD43" s="5"/>
      <c r="JE43" s="4"/>
      <c r="JF43" s="6"/>
      <c r="JG43" s="4"/>
      <c r="JH43" s="6"/>
      <c r="JI43" s="5"/>
      <c r="JJ43" s="5"/>
      <c r="JK43" s="4">
        <v>459</v>
      </c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>
        <v>210</v>
      </c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>
        <v>300</v>
      </c>
      <c r="LF43" s="4"/>
      <c r="LG43" s="4"/>
      <c r="LH43" s="4"/>
      <c r="LI43" s="4"/>
      <c r="LJ43" s="4"/>
      <c r="LK43" s="4"/>
      <c r="LL43" s="4"/>
      <c r="LM43" s="4"/>
    </row>
    <row r="44">
      <c r="A44" s="3" t="s">
        <v>136</v>
      </c>
      <c r="B44" s="3" t="s">
        <v>137</v>
      </c>
      <c r="C44" s="3" t="s">
        <v>138</v>
      </c>
      <c r="D44" s="3" t="s">
        <v>139</v>
      </c>
      <c r="E44" s="3" t="s">
        <v>147</v>
      </c>
      <c r="F44" s="3" t="s">
        <v>147</v>
      </c>
      <c r="G44" s="3" t="s">
        <v>147</v>
      </c>
      <c r="H44" s="3" t="s">
        <v>143</v>
      </c>
      <c r="I44" s="3" t="s">
        <v>225</v>
      </c>
      <c r="J44" s="3" t="s">
        <v>241</v>
      </c>
      <c r="K44" s="4">
        <v>777</v>
      </c>
      <c r="L44" s="4">
        <f>=ROUNDDOWN(28.4615384615385,0)</f>
      </c>
      <c r="M44" s="4"/>
      <c r="N44" s="5"/>
      <c r="O44" s="4"/>
      <c r="P44" s="4">
        <f>=ROUNDDOWN({0},0)</f>
      </c>
      <c r="Q44" s="4"/>
      <c r="R44" s="5"/>
      <c r="S44" s="4">
        <v>196</v>
      </c>
      <c r="T44" s="6">
        <v>6260.08</v>
      </c>
      <c r="U44" s="4">
        <v>245</v>
      </c>
      <c r="V44" s="6">
        <v>8019.47</v>
      </c>
      <c r="W44" s="5">
        <v>-0.2</v>
      </c>
      <c r="X44" s="5">
        <v>-0.2194</v>
      </c>
      <c r="Y44" s="4">
        <v>71</v>
      </c>
      <c r="Z44" s="6">
        <v>2473.93</v>
      </c>
      <c r="AA44" s="4">
        <v>73</v>
      </c>
      <c r="AB44" s="6">
        <v>2534.63</v>
      </c>
      <c r="AC44" s="5">
        <v>-0.0274</v>
      </c>
      <c r="AD44" s="5">
        <v>-0.0239</v>
      </c>
      <c r="AE44" s="4">
        <v>20</v>
      </c>
      <c r="AF44" s="6">
        <v>610.34</v>
      </c>
      <c r="AG44" s="4">
        <v>6</v>
      </c>
      <c r="AH44" s="6">
        <v>183.71</v>
      </c>
      <c r="AI44" s="5">
        <v>2.3333</v>
      </c>
      <c r="AJ44" s="5">
        <v>2.3223</v>
      </c>
      <c r="AK44" s="4"/>
      <c r="AL44" s="6"/>
      <c r="AM44" s="4"/>
      <c r="AN44" s="6"/>
      <c r="AO44" s="5"/>
      <c r="AP44" s="5"/>
      <c r="AQ44" s="4"/>
      <c r="AR44" s="6"/>
      <c r="AS44" s="4"/>
      <c r="AT44" s="6"/>
      <c r="AU44" s="5"/>
      <c r="AV44" s="5"/>
      <c r="AW44" s="4">
        <v>18</v>
      </c>
      <c r="AX44" s="6">
        <v>605.69</v>
      </c>
      <c r="AY44" s="4">
        <v>12</v>
      </c>
      <c r="AZ44" s="6">
        <v>400.96</v>
      </c>
      <c r="BA44" s="5">
        <v>0.5</v>
      </c>
      <c r="BB44" s="5">
        <v>0.5106</v>
      </c>
      <c r="BC44" s="4">
        <v>20</v>
      </c>
      <c r="BD44" s="6">
        <v>636.98</v>
      </c>
      <c r="BE44" s="4">
        <v>37</v>
      </c>
      <c r="BF44" s="6">
        <v>1258.69</v>
      </c>
      <c r="BG44" s="5">
        <v>-0.4595</v>
      </c>
      <c r="BH44" s="5">
        <v>-0.4939</v>
      </c>
      <c r="BI44" s="4">
        <v>15</v>
      </c>
      <c r="BJ44" s="6">
        <v>478.12</v>
      </c>
      <c r="BK44" s="4">
        <v>33</v>
      </c>
      <c r="BL44" s="6">
        <v>992.64</v>
      </c>
      <c r="BM44" s="5">
        <v>-0.5455</v>
      </c>
      <c r="BN44" s="5">
        <v>-0.5183</v>
      </c>
      <c r="BO44" s="4">
        <v>6</v>
      </c>
      <c r="BP44" s="6">
        <v>155.12</v>
      </c>
      <c r="BQ44" s="4">
        <v>7</v>
      </c>
      <c r="BR44" s="6">
        <v>188</v>
      </c>
      <c r="BS44" s="5">
        <v>-0.1429</v>
      </c>
      <c r="BT44" s="5">
        <v>-0.1749</v>
      </c>
      <c r="BU44" s="4">
        <v>7</v>
      </c>
      <c r="BV44" s="6">
        <v>230.44</v>
      </c>
      <c r="BW44" s="4">
        <v>42</v>
      </c>
      <c r="BX44" s="6">
        <v>1382.61</v>
      </c>
      <c r="BY44" s="5">
        <v>-0.8333</v>
      </c>
      <c r="BZ44" s="5">
        <v>-0.8333</v>
      </c>
      <c r="CA44" s="4">
        <v>14</v>
      </c>
      <c r="CB44" s="6">
        <v>446.92</v>
      </c>
      <c r="CC44" s="4">
        <v>17</v>
      </c>
      <c r="CD44" s="6">
        <v>518.21</v>
      </c>
      <c r="CE44" s="5">
        <v>-0.1765</v>
      </c>
      <c r="CF44" s="5">
        <v>-0.1376</v>
      </c>
      <c r="CG44" s="4"/>
      <c r="CH44" s="6"/>
      <c r="CI44" s="4"/>
      <c r="CJ44" s="6"/>
      <c r="CK44" s="5"/>
      <c r="CL44" s="5"/>
      <c r="CM44" s="4"/>
      <c r="CN44" s="6"/>
      <c r="CO44" s="4"/>
      <c r="CP44" s="6"/>
      <c r="CQ44" s="5"/>
      <c r="CR44" s="5"/>
      <c r="CS44" s="4">
        <v>4</v>
      </c>
      <c r="CT44" s="6">
        <v>125.6</v>
      </c>
      <c r="CU44" s="4"/>
      <c r="CV44" s="6"/>
      <c r="CW44" s="5"/>
      <c r="CX44" s="5"/>
      <c r="CY44" s="4">
        <v>6</v>
      </c>
      <c r="CZ44" s="6">
        <v>181.44</v>
      </c>
      <c r="DA44" s="4">
        <v>11</v>
      </c>
      <c r="DB44" s="6">
        <v>345.88</v>
      </c>
      <c r="DC44" s="5">
        <v>-0.4545</v>
      </c>
      <c r="DD44" s="5">
        <v>-0.4754</v>
      </c>
      <c r="DE44" s="4">
        <v>15</v>
      </c>
      <c r="DF44" s="6">
        <v>315.5</v>
      </c>
      <c r="DG44" s="4">
        <v>3</v>
      </c>
      <c r="DH44" s="6">
        <v>91</v>
      </c>
      <c r="DI44" s="5">
        <v>4</v>
      </c>
      <c r="DJ44" s="5">
        <v>2.467</v>
      </c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>
        <v>1</v>
      </c>
      <c r="EF44" s="6">
        <v>31.4</v>
      </c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>
        <v>2</v>
      </c>
      <c r="FV44" s="6">
        <v>69.06</v>
      </c>
      <c r="FW44" s="5"/>
      <c r="FX44" s="5"/>
      <c r="FY44" s="4"/>
      <c r="FZ44" s="6"/>
      <c r="GA44" s="4">
        <v>1</v>
      </c>
      <c r="GB44" s="6">
        <v>22.68</v>
      </c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/>
      <c r="IB44" s="6"/>
      <c r="IC44" s="4"/>
      <c r="ID44" s="6"/>
      <c r="IE44" s="5"/>
      <c r="IF44" s="5"/>
      <c r="IG44" s="4"/>
      <c r="IH44" s="6"/>
      <c r="II44" s="4"/>
      <c r="IJ44" s="6"/>
      <c r="IK44" s="5"/>
      <c r="IL44" s="5"/>
      <c r="IM44" s="4"/>
      <c r="IN44" s="6"/>
      <c r="IO44" s="4"/>
      <c r="IP44" s="6"/>
      <c r="IQ44" s="5"/>
      <c r="IR44" s="5"/>
      <c r="IS44" s="4"/>
      <c r="IT44" s="6"/>
      <c r="IU44" s="4"/>
      <c r="IV44" s="6"/>
      <c r="IW44" s="5"/>
      <c r="IX44" s="5"/>
      <c r="IY44" s="4"/>
      <c r="IZ44" s="6"/>
      <c r="JA44" s="4"/>
      <c r="JB44" s="6"/>
      <c r="JC44" s="5"/>
      <c r="JD44" s="5"/>
      <c r="JE44" s="4"/>
      <c r="JF44" s="6"/>
      <c r="JG44" s="4"/>
      <c r="JH44" s="6"/>
      <c r="JI44" s="5"/>
      <c r="JJ44" s="5"/>
      <c r="JK44" s="4">
        <v>777</v>
      </c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</row>
    <row r="45">
      <c r="A45" s="3" t="s">
        <v>136</v>
      </c>
      <c r="B45" s="3" t="s">
        <v>137</v>
      </c>
      <c r="C45" s="3" t="s">
        <v>138</v>
      </c>
      <c r="D45" s="3" t="s">
        <v>139</v>
      </c>
      <c r="E45" s="3" t="s">
        <v>147</v>
      </c>
      <c r="F45" s="3" t="s">
        <v>147</v>
      </c>
      <c r="G45" s="3" t="s">
        <v>147</v>
      </c>
      <c r="H45" s="3" t="s">
        <v>143</v>
      </c>
      <c r="I45" s="3" t="s">
        <v>238</v>
      </c>
      <c r="J45" s="3" t="s">
        <v>241</v>
      </c>
      <c r="K45" s="4">
        <v>379</v>
      </c>
      <c r="L45" s="4">
        <f>=ROUNDDOWN(19.9473684210526,0)</f>
      </c>
      <c r="M45" s="4">
        <v>420</v>
      </c>
      <c r="N45" s="5"/>
      <c r="O45" s="4"/>
      <c r="P45" s="4">
        <f>=ROUNDDOWN({0},0)</f>
      </c>
      <c r="Q45" s="4"/>
      <c r="R45" s="5"/>
      <c r="S45" s="4">
        <v>144</v>
      </c>
      <c r="T45" s="6">
        <v>4647.58</v>
      </c>
      <c r="U45" s="4">
        <v>129</v>
      </c>
      <c r="V45" s="6">
        <v>4004.2</v>
      </c>
      <c r="W45" s="5">
        <v>0.1163</v>
      </c>
      <c r="X45" s="5">
        <v>0.1607</v>
      </c>
      <c r="Y45" s="4">
        <v>46</v>
      </c>
      <c r="Z45" s="6">
        <v>1584.98</v>
      </c>
      <c r="AA45" s="4">
        <v>39</v>
      </c>
      <c r="AB45" s="6">
        <v>1232.93</v>
      </c>
      <c r="AC45" s="5">
        <v>0.1795</v>
      </c>
      <c r="AD45" s="5">
        <v>0.2855</v>
      </c>
      <c r="AE45" s="4">
        <v>25</v>
      </c>
      <c r="AF45" s="6">
        <v>743.66</v>
      </c>
      <c r="AG45" s="4">
        <v>6</v>
      </c>
      <c r="AH45" s="6">
        <v>177.77</v>
      </c>
      <c r="AI45" s="5">
        <v>3.1667</v>
      </c>
      <c r="AJ45" s="5">
        <v>3.1833</v>
      </c>
      <c r="AK45" s="4"/>
      <c r="AL45" s="6"/>
      <c r="AM45" s="4"/>
      <c r="AN45" s="6"/>
      <c r="AO45" s="5"/>
      <c r="AP45" s="5"/>
      <c r="AQ45" s="4"/>
      <c r="AR45" s="6"/>
      <c r="AS45" s="4"/>
      <c r="AT45" s="6"/>
      <c r="AU45" s="5"/>
      <c r="AV45" s="5"/>
      <c r="AW45" s="4">
        <v>24</v>
      </c>
      <c r="AX45" s="6">
        <v>807.52</v>
      </c>
      <c r="AY45" s="4">
        <v>17</v>
      </c>
      <c r="AZ45" s="6">
        <v>512.62</v>
      </c>
      <c r="BA45" s="5">
        <v>0.4118</v>
      </c>
      <c r="BB45" s="5">
        <v>0.5753</v>
      </c>
      <c r="BC45" s="4">
        <v>8</v>
      </c>
      <c r="BD45" s="6">
        <v>271.25</v>
      </c>
      <c r="BE45" s="4">
        <v>11</v>
      </c>
      <c r="BF45" s="6">
        <v>359.64</v>
      </c>
      <c r="BG45" s="5">
        <v>-0.2727</v>
      </c>
      <c r="BH45" s="5">
        <v>-0.2458</v>
      </c>
      <c r="BI45" s="4">
        <v>5</v>
      </c>
      <c r="BJ45" s="6">
        <v>159.38</v>
      </c>
      <c r="BK45" s="4">
        <v>8</v>
      </c>
      <c r="BL45" s="6">
        <v>226.48</v>
      </c>
      <c r="BM45" s="5">
        <v>-0.375</v>
      </c>
      <c r="BN45" s="5">
        <v>-0.2963</v>
      </c>
      <c r="BO45" s="4">
        <v>4</v>
      </c>
      <c r="BP45" s="6">
        <v>103.7</v>
      </c>
      <c r="BQ45" s="4">
        <v>3</v>
      </c>
      <c r="BR45" s="6">
        <v>84.78</v>
      </c>
      <c r="BS45" s="5">
        <v>0.3333</v>
      </c>
      <c r="BT45" s="5">
        <v>0.2232</v>
      </c>
      <c r="BU45" s="4">
        <v>4</v>
      </c>
      <c r="BV45" s="6">
        <v>109.44</v>
      </c>
      <c r="BW45" s="4">
        <v>28</v>
      </c>
      <c r="BX45" s="6">
        <v>890.04</v>
      </c>
      <c r="BY45" s="5">
        <v>-0.8571</v>
      </c>
      <c r="BZ45" s="5">
        <v>-0.877</v>
      </c>
      <c r="CA45" s="4">
        <v>13</v>
      </c>
      <c r="CB45" s="6">
        <v>469.03</v>
      </c>
      <c r="CC45" s="4">
        <v>7</v>
      </c>
      <c r="CD45" s="6">
        <v>210.5</v>
      </c>
      <c r="CE45" s="5">
        <v>0.8571</v>
      </c>
      <c r="CF45" s="5">
        <v>1.2282</v>
      </c>
      <c r="CG45" s="4"/>
      <c r="CH45" s="6"/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>
        <v>5</v>
      </c>
      <c r="CT45" s="6">
        <v>150.05</v>
      </c>
      <c r="CU45" s="4"/>
      <c r="CV45" s="6"/>
      <c r="CW45" s="5"/>
      <c r="CX45" s="5"/>
      <c r="CY45" s="4">
        <v>1</v>
      </c>
      <c r="CZ45" s="6">
        <v>28.35</v>
      </c>
      <c r="DA45" s="4">
        <v>1</v>
      </c>
      <c r="DB45" s="6">
        <v>34.02</v>
      </c>
      <c r="DC45" s="5"/>
      <c r="DD45" s="5">
        <v>-0.1667</v>
      </c>
      <c r="DE45" s="4">
        <v>8</v>
      </c>
      <c r="DF45" s="6">
        <v>185.65</v>
      </c>
      <c r="DG45" s="4">
        <v>2</v>
      </c>
      <c r="DH45" s="6">
        <v>52.83</v>
      </c>
      <c r="DI45" s="5">
        <v>3</v>
      </c>
      <c r="DJ45" s="5">
        <v>2.5141</v>
      </c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>
        <v>1</v>
      </c>
      <c r="EJ45" s="6">
        <v>34.57</v>
      </c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>
        <v>1</v>
      </c>
      <c r="EX45" s="6">
        <v>32.59</v>
      </c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>
        <v>6</v>
      </c>
      <c r="FV45" s="6">
        <v>190</v>
      </c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/>
      <c r="IB45" s="6"/>
      <c r="IC45" s="4"/>
      <c r="ID45" s="6"/>
      <c r="IE45" s="5"/>
      <c r="IF45" s="5"/>
      <c r="IG45" s="4"/>
      <c r="IH45" s="6"/>
      <c r="II45" s="4"/>
      <c r="IJ45" s="6"/>
      <c r="IK45" s="5"/>
      <c r="IL45" s="5"/>
      <c r="IM45" s="4"/>
      <c r="IN45" s="6"/>
      <c r="IO45" s="4"/>
      <c r="IP45" s="6"/>
      <c r="IQ45" s="5"/>
      <c r="IR45" s="5"/>
      <c r="IS45" s="4"/>
      <c r="IT45" s="6"/>
      <c r="IU45" s="4"/>
      <c r="IV45" s="6"/>
      <c r="IW45" s="5"/>
      <c r="IX45" s="5"/>
      <c r="IY45" s="4"/>
      <c r="IZ45" s="6"/>
      <c r="JA45" s="4"/>
      <c r="JB45" s="6"/>
      <c r="JC45" s="5"/>
      <c r="JD45" s="5"/>
      <c r="JE45" s="4"/>
      <c r="JF45" s="6"/>
      <c r="JG45" s="4"/>
      <c r="JH45" s="6"/>
      <c r="JI45" s="5"/>
      <c r="JJ45" s="5"/>
      <c r="JK45" s="4">
        <v>379</v>
      </c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>
        <v>90</v>
      </c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>
        <v>330</v>
      </c>
      <c r="LF45" s="4"/>
      <c r="LG45" s="4"/>
      <c r="LH45" s="4"/>
      <c r="LI45" s="4"/>
      <c r="LJ45" s="4"/>
      <c r="LK45" s="4"/>
      <c r="LL45" s="4"/>
      <c r="LM45" s="4"/>
    </row>
    <row r="46">
      <c r="A46" s="3" t="s">
        <v>136</v>
      </c>
      <c r="B46" s="3" t="s">
        <v>137</v>
      </c>
      <c r="C46" s="3" t="s">
        <v>138</v>
      </c>
      <c r="D46" s="3" t="s">
        <v>139</v>
      </c>
      <c r="E46" s="3" t="s">
        <v>147</v>
      </c>
      <c r="F46" s="3" t="s">
        <v>147</v>
      </c>
      <c r="G46" s="3" t="s">
        <v>147</v>
      </c>
      <c r="H46" s="3" t="s">
        <v>143</v>
      </c>
      <c r="I46" s="3" t="s">
        <v>231</v>
      </c>
      <c r="J46" s="3" t="s">
        <v>241</v>
      </c>
      <c r="K46" s="4"/>
      <c r="L46" s="4">
        <f>=ROUNDDOWN({0},0)</f>
      </c>
      <c r="M46" s="4"/>
      <c r="N46" s="5"/>
      <c r="O46" s="4"/>
      <c r="P46" s="4">
        <f>=ROUNDDOWN({0},0)</f>
      </c>
      <c r="Q46" s="4"/>
      <c r="R46" s="5"/>
      <c r="S46" s="4"/>
      <c r="T46" s="6"/>
      <c r="U46" s="4">
        <v>111</v>
      </c>
      <c r="V46" s="6">
        <v>2659.39</v>
      </c>
      <c r="W46" s="5"/>
      <c r="X46" s="5"/>
      <c r="Y46" s="4"/>
      <c r="Z46" s="6"/>
      <c r="AA46" s="4">
        <v>74</v>
      </c>
      <c r="AB46" s="6">
        <v>1635.82</v>
      </c>
      <c r="AC46" s="5"/>
      <c r="AD46" s="5"/>
      <c r="AE46" s="4"/>
      <c r="AF46" s="6"/>
      <c r="AG46" s="4">
        <v>2</v>
      </c>
      <c r="AH46" s="6">
        <v>62.22</v>
      </c>
      <c r="AI46" s="5"/>
      <c r="AJ46" s="5"/>
      <c r="AK46" s="4"/>
      <c r="AL46" s="6"/>
      <c r="AM46" s="4"/>
      <c r="AN46" s="6"/>
      <c r="AO46" s="5"/>
      <c r="AP46" s="5"/>
      <c r="AQ46" s="4"/>
      <c r="AR46" s="6"/>
      <c r="AS46" s="4"/>
      <c r="AT46" s="6"/>
      <c r="AU46" s="5"/>
      <c r="AV46" s="5"/>
      <c r="AW46" s="4"/>
      <c r="AX46" s="6"/>
      <c r="AY46" s="4">
        <v>6</v>
      </c>
      <c r="AZ46" s="6">
        <v>167.12</v>
      </c>
      <c r="BA46" s="5"/>
      <c r="BB46" s="5"/>
      <c r="BC46" s="4"/>
      <c r="BD46" s="6"/>
      <c r="BE46" s="4">
        <v>5</v>
      </c>
      <c r="BF46" s="6">
        <v>143.25</v>
      </c>
      <c r="BG46" s="5"/>
      <c r="BH46" s="5"/>
      <c r="BI46" s="4"/>
      <c r="BJ46" s="6"/>
      <c r="BK46" s="4">
        <v>6</v>
      </c>
      <c r="BL46" s="6">
        <v>153.79</v>
      </c>
      <c r="BM46" s="5"/>
      <c r="BN46" s="5"/>
      <c r="BO46" s="4"/>
      <c r="BP46" s="6"/>
      <c r="BQ46" s="4">
        <v>2</v>
      </c>
      <c r="BR46" s="6">
        <v>42.94</v>
      </c>
      <c r="BS46" s="5"/>
      <c r="BT46" s="5"/>
      <c r="BU46" s="4"/>
      <c r="BV46" s="6"/>
      <c r="BW46" s="4">
        <v>5</v>
      </c>
      <c r="BX46" s="6">
        <v>144</v>
      </c>
      <c r="BY46" s="5"/>
      <c r="BZ46" s="5"/>
      <c r="CA46" s="4"/>
      <c r="CB46" s="6"/>
      <c r="CC46" s="4">
        <v>3</v>
      </c>
      <c r="CD46" s="6">
        <v>105.12</v>
      </c>
      <c r="CE46" s="5"/>
      <c r="CF46" s="5"/>
      <c r="CG46" s="4"/>
      <c r="CH46" s="6"/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>
        <v>7</v>
      </c>
      <c r="DB46" s="6">
        <v>175.78</v>
      </c>
      <c r="DC46" s="5"/>
      <c r="DD46" s="5"/>
      <c r="DE46" s="4"/>
      <c r="DF46" s="6"/>
      <c r="DG46" s="4">
        <v>1</v>
      </c>
      <c r="DH46" s="6">
        <v>29.35</v>
      </c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/>
      <c r="IB46" s="6"/>
      <c r="IC46" s="4"/>
      <c r="ID46" s="6"/>
      <c r="IE46" s="5"/>
      <c r="IF46" s="5"/>
      <c r="IG46" s="4"/>
      <c r="IH46" s="6"/>
      <c r="II46" s="4"/>
      <c r="IJ46" s="6"/>
      <c r="IK46" s="5"/>
      <c r="IL46" s="5"/>
      <c r="IM46" s="4"/>
      <c r="IN46" s="6"/>
      <c r="IO46" s="4"/>
      <c r="IP46" s="6"/>
      <c r="IQ46" s="5"/>
      <c r="IR46" s="5"/>
      <c r="IS46" s="4"/>
      <c r="IT46" s="6"/>
      <c r="IU46" s="4"/>
      <c r="IV46" s="6"/>
      <c r="IW46" s="5"/>
      <c r="IX46" s="5"/>
      <c r="IY46" s="4"/>
      <c r="IZ46" s="6"/>
      <c r="JA46" s="4"/>
      <c r="JB46" s="6"/>
      <c r="JC46" s="5"/>
      <c r="JD46" s="5"/>
      <c r="JE46" s="4"/>
      <c r="JF46" s="6"/>
      <c r="JG46" s="4"/>
      <c r="JH46" s="6"/>
      <c r="JI46" s="5"/>
      <c r="JJ46" s="5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</row>
    <row r="47">
      <c r="A47" s="3" t="s">
        <v>136</v>
      </c>
      <c r="B47" s="3" t="s">
        <v>137</v>
      </c>
      <c r="C47" s="3" t="s">
        <v>138</v>
      </c>
      <c r="D47" s="3" t="s">
        <v>139</v>
      </c>
      <c r="E47" s="3" t="s">
        <v>148</v>
      </c>
      <c r="F47" s="3" t="s">
        <v>148</v>
      </c>
      <c r="G47" s="3" t="s">
        <v>148</v>
      </c>
      <c r="H47" s="3" t="s">
        <v>141</v>
      </c>
      <c r="I47" s="3" t="s">
        <v>240</v>
      </c>
      <c r="J47" s="3" t="s">
        <v>241</v>
      </c>
      <c r="K47" s="4">
        <v>132</v>
      </c>
      <c r="L47" s="4">
        <f>=ROUNDDOWN(4.55172413793103,0)</f>
      </c>
      <c r="M47" s="4">
        <v>620</v>
      </c>
      <c r="N47" s="5"/>
      <c r="O47" s="4"/>
      <c r="P47" s="4">
        <f>=ROUNDDOWN({0},0)</f>
      </c>
      <c r="Q47" s="4"/>
      <c r="R47" s="5"/>
      <c r="S47" s="4">
        <v>472</v>
      </c>
      <c r="T47" s="6">
        <v>15741.03</v>
      </c>
      <c r="U47" s="4">
        <v>114</v>
      </c>
      <c r="V47" s="6">
        <v>3965.1</v>
      </c>
      <c r="W47" s="5">
        <v>3.1404</v>
      </c>
      <c r="X47" s="5">
        <v>2.9699</v>
      </c>
      <c r="Y47" s="4">
        <v>323</v>
      </c>
      <c r="Z47" s="6">
        <v>10461.4</v>
      </c>
      <c r="AA47" s="4">
        <v>15</v>
      </c>
      <c r="AB47" s="6">
        <v>449.34</v>
      </c>
      <c r="AC47" s="5">
        <v>20.5333</v>
      </c>
      <c r="AD47" s="5">
        <v>22.2817</v>
      </c>
      <c r="AE47" s="4">
        <v>38</v>
      </c>
      <c r="AF47" s="6">
        <v>1514.64</v>
      </c>
      <c r="AG47" s="4">
        <v>3</v>
      </c>
      <c r="AH47" s="6">
        <v>135.48</v>
      </c>
      <c r="AI47" s="5">
        <v>11.6667</v>
      </c>
      <c r="AJ47" s="5">
        <v>10.1798</v>
      </c>
      <c r="AK47" s="4"/>
      <c r="AL47" s="6"/>
      <c r="AM47" s="4"/>
      <c r="AN47" s="6"/>
      <c r="AO47" s="5"/>
      <c r="AP47" s="5"/>
      <c r="AQ47" s="4"/>
      <c r="AR47" s="6"/>
      <c r="AS47" s="4"/>
      <c r="AT47" s="6"/>
      <c r="AU47" s="5"/>
      <c r="AV47" s="5"/>
      <c r="AW47" s="4">
        <v>39</v>
      </c>
      <c r="AX47" s="6">
        <v>1311.91</v>
      </c>
      <c r="AY47" s="4">
        <v>27</v>
      </c>
      <c r="AZ47" s="6">
        <v>884.56</v>
      </c>
      <c r="BA47" s="5">
        <v>0.4444</v>
      </c>
      <c r="BB47" s="5">
        <v>0.4831</v>
      </c>
      <c r="BC47" s="4">
        <v>28</v>
      </c>
      <c r="BD47" s="6">
        <v>976.06</v>
      </c>
      <c r="BE47" s="4">
        <v>18</v>
      </c>
      <c r="BF47" s="6">
        <v>672.3</v>
      </c>
      <c r="BG47" s="5">
        <v>0.5556</v>
      </c>
      <c r="BH47" s="5">
        <v>0.4518</v>
      </c>
      <c r="BI47" s="4">
        <v>13</v>
      </c>
      <c r="BJ47" s="6">
        <v>449.91</v>
      </c>
      <c r="BK47" s="4">
        <v>16</v>
      </c>
      <c r="BL47" s="6">
        <v>554.09</v>
      </c>
      <c r="BM47" s="5">
        <v>-0.1875</v>
      </c>
      <c r="BN47" s="5">
        <v>-0.188</v>
      </c>
      <c r="BO47" s="4">
        <v>8</v>
      </c>
      <c r="BP47" s="6">
        <v>263.91</v>
      </c>
      <c r="BQ47" s="4">
        <v>2</v>
      </c>
      <c r="BR47" s="6">
        <v>77.9</v>
      </c>
      <c r="BS47" s="5">
        <v>3</v>
      </c>
      <c r="BT47" s="5">
        <v>2.3878</v>
      </c>
      <c r="BU47" s="4">
        <v>18</v>
      </c>
      <c r="BV47" s="6">
        <v>613.85</v>
      </c>
      <c r="BW47" s="4">
        <v>19</v>
      </c>
      <c r="BX47" s="6">
        <v>660.92</v>
      </c>
      <c r="BY47" s="5">
        <v>-0.0526</v>
      </c>
      <c r="BZ47" s="5">
        <v>-0.0712</v>
      </c>
      <c r="CA47" s="4">
        <v>3</v>
      </c>
      <c r="CB47" s="6">
        <v>93.75</v>
      </c>
      <c r="CC47" s="4">
        <v>2</v>
      </c>
      <c r="CD47" s="6">
        <v>72.23</v>
      </c>
      <c r="CE47" s="5">
        <v>0.5</v>
      </c>
      <c r="CF47" s="5">
        <v>0.2979</v>
      </c>
      <c r="CG47" s="4"/>
      <c r="CH47" s="6"/>
      <c r="CI47" s="4"/>
      <c r="CJ47" s="6"/>
      <c r="CK47" s="5"/>
      <c r="CL47" s="5"/>
      <c r="CM47" s="4"/>
      <c r="CN47" s="6"/>
      <c r="CO47" s="4"/>
      <c r="CP47" s="6"/>
      <c r="CQ47" s="5"/>
      <c r="CR47" s="5"/>
      <c r="CS47" s="4"/>
      <c r="CT47" s="6"/>
      <c r="CU47" s="4"/>
      <c r="CV47" s="6"/>
      <c r="CW47" s="5"/>
      <c r="CX47" s="5"/>
      <c r="CY47" s="4">
        <v>2</v>
      </c>
      <c r="CZ47" s="6">
        <v>55.6</v>
      </c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/>
      <c r="DL47" s="6"/>
      <c r="DM47" s="4">
        <v>1</v>
      </c>
      <c r="DN47" s="6">
        <v>73.99</v>
      </c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>
        <v>11</v>
      </c>
      <c r="FV47" s="6">
        <v>384.29</v>
      </c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6"/>
      <c r="IC47" s="4"/>
      <c r="ID47" s="6"/>
      <c r="IE47" s="5"/>
      <c r="IF47" s="5"/>
      <c r="IG47" s="4"/>
      <c r="IH47" s="6"/>
      <c r="II47" s="4"/>
      <c r="IJ47" s="6"/>
      <c r="IK47" s="5"/>
      <c r="IL47" s="5"/>
      <c r="IM47" s="4"/>
      <c r="IN47" s="6"/>
      <c r="IO47" s="4"/>
      <c r="IP47" s="6"/>
      <c r="IQ47" s="5"/>
      <c r="IR47" s="5"/>
      <c r="IS47" s="4"/>
      <c r="IT47" s="6"/>
      <c r="IU47" s="4"/>
      <c r="IV47" s="6"/>
      <c r="IW47" s="5"/>
      <c r="IX47" s="5"/>
      <c r="IY47" s="4"/>
      <c r="IZ47" s="6"/>
      <c r="JA47" s="4"/>
      <c r="JB47" s="6"/>
      <c r="JC47" s="5"/>
      <c r="JD47" s="5"/>
      <c r="JE47" s="4"/>
      <c r="JF47" s="6"/>
      <c r="JG47" s="4"/>
      <c r="JH47" s="6"/>
      <c r="JI47" s="5"/>
      <c r="JJ47" s="5"/>
      <c r="JK47" s="4">
        <v>132</v>
      </c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>
        <v>220</v>
      </c>
      <c r="KG47" s="4"/>
      <c r="KH47" s="4"/>
      <c r="KI47" s="4"/>
      <c r="KJ47" s="4"/>
      <c r="KK47" s="4"/>
      <c r="KL47" s="4"/>
      <c r="KM47" s="4"/>
      <c r="KN47" s="4"/>
      <c r="KO47" s="4"/>
      <c r="KP47" s="4">
        <v>400</v>
      </c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</row>
    <row r="48">
      <c r="A48" s="3" t="s">
        <v>136</v>
      </c>
      <c r="B48" s="3" t="s">
        <v>137</v>
      </c>
      <c r="C48" s="3" t="s">
        <v>138</v>
      </c>
      <c r="D48" s="3" t="s">
        <v>139</v>
      </c>
      <c r="E48" s="3" t="s">
        <v>148</v>
      </c>
      <c r="F48" s="3" t="s">
        <v>148</v>
      </c>
      <c r="G48" s="3" t="s">
        <v>148</v>
      </c>
      <c r="H48" s="3" t="s">
        <v>141</v>
      </c>
      <c r="I48" s="3" t="s">
        <v>247</v>
      </c>
      <c r="J48" s="3" t="s">
        <v>241</v>
      </c>
      <c r="K48" s="4">
        <v>129</v>
      </c>
      <c r="L48" s="4">
        <f>=ROUNDDOWN(4.03125,0)</f>
      </c>
      <c r="M48" s="4">
        <v>610</v>
      </c>
      <c r="N48" s="5"/>
      <c r="O48" s="4"/>
      <c r="P48" s="4">
        <f>=ROUNDDOWN({0},0)</f>
      </c>
      <c r="Q48" s="4"/>
      <c r="R48" s="5"/>
      <c r="S48" s="4">
        <v>381</v>
      </c>
      <c r="T48" s="6">
        <v>12434.86</v>
      </c>
      <c r="U48" s="4">
        <v>301</v>
      </c>
      <c r="V48" s="6">
        <v>10310.44</v>
      </c>
      <c r="W48" s="5">
        <v>0.2658</v>
      </c>
      <c r="X48" s="5">
        <v>0.206</v>
      </c>
      <c r="Y48" s="4">
        <v>224</v>
      </c>
      <c r="Z48" s="6">
        <v>7083.15</v>
      </c>
      <c r="AA48" s="4">
        <v>61</v>
      </c>
      <c r="AB48" s="6">
        <v>2001.44</v>
      </c>
      <c r="AC48" s="5">
        <v>2.6721</v>
      </c>
      <c r="AD48" s="5">
        <v>2.539</v>
      </c>
      <c r="AE48" s="4">
        <v>39</v>
      </c>
      <c r="AF48" s="6">
        <v>1504.03</v>
      </c>
      <c r="AG48" s="4">
        <v>5</v>
      </c>
      <c r="AH48" s="6">
        <v>200.62</v>
      </c>
      <c r="AI48" s="5">
        <v>6.8</v>
      </c>
      <c r="AJ48" s="5">
        <v>6.4969</v>
      </c>
      <c r="AK48" s="4"/>
      <c r="AL48" s="6"/>
      <c r="AM48" s="4"/>
      <c r="AN48" s="6"/>
      <c r="AO48" s="5"/>
      <c r="AP48" s="5"/>
      <c r="AQ48" s="4"/>
      <c r="AR48" s="6"/>
      <c r="AS48" s="4"/>
      <c r="AT48" s="6"/>
      <c r="AU48" s="5"/>
      <c r="AV48" s="5"/>
      <c r="AW48" s="4">
        <v>48</v>
      </c>
      <c r="AX48" s="6">
        <v>1569.23</v>
      </c>
      <c r="AY48" s="4">
        <v>33</v>
      </c>
      <c r="AZ48" s="6">
        <v>1114.82</v>
      </c>
      <c r="BA48" s="5">
        <v>0.4545</v>
      </c>
      <c r="BB48" s="5">
        <v>0.4076</v>
      </c>
      <c r="BC48" s="4">
        <v>31</v>
      </c>
      <c r="BD48" s="6">
        <v>1026.23</v>
      </c>
      <c r="BE48" s="4">
        <v>46</v>
      </c>
      <c r="BF48" s="6">
        <v>1585.44</v>
      </c>
      <c r="BG48" s="5">
        <v>-0.3261</v>
      </c>
      <c r="BH48" s="5">
        <v>-0.3527</v>
      </c>
      <c r="BI48" s="4">
        <v>15</v>
      </c>
      <c r="BJ48" s="6">
        <v>495.99</v>
      </c>
      <c r="BK48" s="4">
        <v>51</v>
      </c>
      <c r="BL48" s="6">
        <v>1747.7</v>
      </c>
      <c r="BM48" s="5">
        <v>-0.7059</v>
      </c>
      <c r="BN48" s="5">
        <v>-0.7162</v>
      </c>
      <c r="BO48" s="4">
        <v>9</v>
      </c>
      <c r="BP48" s="6">
        <v>253.81</v>
      </c>
      <c r="BQ48" s="4">
        <v>10</v>
      </c>
      <c r="BR48" s="6">
        <v>341.43</v>
      </c>
      <c r="BS48" s="5">
        <v>-0.1</v>
      </c>
      <c r="BT48" s="5">
        <v>-0.2566</v>
      </c>
      <c r="BU48" s="4">
        <v>12</v>
      </c>
      <c r="BV48" s="6">
        <v>386.01</v>
      </c>
      <c r="BW48" s="4">
        <v>38</v>
      </c>
      <c r="BX48" s="6">
        <v>1311.93</v>
      </c>
      <c r="BY48" s="5">
        <v>-0.6842</v>
      </c>
      <c r="BZ48" s="5">
        <v>-0.7058</v>
      </c>
      <c r="CA48" s="4">
        <v>1</v>
      </c>
      <c r="CB48" s="6">
        <v>27.29</v>
      </c>
      <c r="CC48" s="4">
        <v>3</v>
      </c>
      <c r="CD48" s="6">
        <v>100.54</v>
      </c>
      <c r="CE48" s="5">
        <v>-0.6667</v>
      </c>
      <c r="CF48" s="5">
        <v>-0.7286</v>
      </c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>
        <v>1</v>
      </c>
      <c r="CV48" s="6">
        <v>33.34</v>
      </c>
      <c r="CW48" s="5"/>
      <c r="CX48" s="5"/>
      <c r="CY48" s="4">
        <v>1</v>
      </c>
      <c r="CZ48" s="6">
        <v>29.91</v>
      </c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>
        <v>1</v>
      </c>
      <c r="DL48" s="6">
        <v>59.21</v>
      </c>
      <c r="DM48" s="4">
        <v>1</v>
      </c>
      <c r="DN48" s="6">
        <v>73.99</v>
      </c>
      <c r="DO48" s="5"/>
      <c r="DP48" s="5">
        <v>-0.1998</v>
      </c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>
        <v>52</v>
      </c>
      <c r="FV48" s="6">
        <v>1799.19</v>
      </c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6"/>
      <c r="IC48" s="4"/>
      <c r="ID48" s="6"/>
      <c r="IE48" s="5"/>
      <c r="IF48" s="5"/>
      <c r="IG48" s="4"/>
      <c r="IH48" s="6"/>
      <c r="II48" s="4"/>
      <c r="IJ48" s="6"/>
      <c r="IK48" s="5"/>
      <c r="IL48" s="5"/>
      <c r="IM48" s="4"/>
      <c r="IN48" s="6"/>
      <c r="IO48" s="4"/>
      <c r="IP48" s="6"/>
      <c r="IQ48" s="5"/>
      <c r="IR48" s="5"/>
      <c r="IS48" s="4"/>
      <c r="IT48" s="6"/>
      <c r="IU48" s="4"/>
      <c r="IV48" s="6"/>
      <c r="IW48" s="5"/>
      <c r="IX48" s="5"/>
      <c r="IY48" s="4"/>
      <c r="IZ48" s="6"/>
      <c r="JA48" s="4"/>
      <c r="JB48" s="6"/>
      <c r="JC48" s="5"/>
      <c r="JD48" s="5"/>
      <c r="JE48" s="4"/>
      <c r="JF48" s="6"/>
      <c r="JG48" s="4"/>
      <c r="JH48" s="6"/>
      <c r="JI48" s="5"/>
      <c r="JJ48" s="5"/>
      <c r="JK48" s="4">
        <v>129</v>
      </c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>
        <v>270</v>
      </c>
      <c r="KG48" s="4"/>
      <c r="KH48" s="4"/>
      <c r="KI48" s="4"/>
      <c r="KJ48" s="4"/>
      <c r="KK48" s="4"/>
      <c r="KL48" s="4"/>
      <c r="KM48" s="4"/>
      <c r="KN48" s="4"/>
      <c r="KO48" s="4"/>
      <c r="KP48" s="4">
        <v>340</v>
      </c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</row>
    <row r="49">
      <c r="A49" s="3" t="s">
        <v>136</v>
      </c>
      <c r="B49" s="3" t="s">
        <v>137</v>
      </c>
      <c r="C49" s="3" t="s">
        <v>138</v>
      </c>
      <c r="D49" s="3" t="s">
        <v>139</v>
      </c>
      <c r="E49" s="3" t="s">
        <v>148</v>
      </c>
      <c r="F49" s="3" t="s">
        <v>148</v>
      </c>
      <c r="G49" s="3" t="s">
        <v>148</v>
      </c>
      <c r="H49" s="3" t="s">
        <v>141</v>
      </c>
      <c r="I49" s="3" t="s">
        <v>225</v>
      </c>
      <c r="J49" s="3" t="s">
        <v>241</v>
      </c>
      <c r="K49" s="4">
        <v>20</v>
      </c>
      <c r="L49" s="4">
        <f>=ROUNDDOWN(0.952380952380952,0)</f>
      </c>
      <c r="M49" s="4">
        <v>550</v>
      </c>
      <c r="N49" s="5"/>
      <c r="O49" s="4"/>
      <c r="P49" s="4">
        <f>=ROUNDDOWN({0},0)</f>
      </c>
      <c r="Q49" s="4"/>
      <c r="R49" s="5"/>
      <c r="S49" s="4">
        <v>218</v>
      </c>
      <c r="T49" s="6">
        <v>7361.25</v>
      </c>
      <c r="U49" s="4">
        <v>92</v>
      </c>
      <c r="V49" s="6">
        <v>3275.15</v>
      </c>
      <c r="W49" s="5">
        <v>1.3696</v>
      </c>
      <c r="X49" s="5">
        <v>1.2476</v>
      </c>
      <c r="Y49" s="4">
        <v>129</v>
      </c>
      <c r="Z49" s="6">
        <v>4180.01</v>
      </c>
      <c r="AA49" s="4">
        <v>8</v>
      </c>
      <c r="AB49" s="6">
        <v>274.83</v>
      </c>
      <c r="AC49" s="5">
        <v>15.125</v>
      </c>
      <c r="AD49" s="5">
        <v>14.2094</v>
      </c>
      <c r="AE49" s="4">
        <v>15</v>
      </c>
      <c r="AF49" s="6">
        <v>595.27</v>
      </c>
      <c r="AG49" s="4"/>
      <c r="AH49" s="6"/>
      <c r="AI49" s="5"/>
      <c r="AJ49" s="5"/>
      <c r="AK49" s="4"/>
      <c r="AL49" s="6"/>
      <c r="AM49" s="4"/>
      <c r="AN49" s="6"/>
      <c r="AO49" s="5"/>
      <c r="AP49" s="5"/>
      <c r="AQ49" s="4"/>
      <c r="AR49" s="6"/>
      <c r="AS49" s="4"/>
      <c r="AT49" s="6"/>
      <c r="AU49" s="5"/>
      <c r="AV49" s="5"/>
      <c r="AW49" s="4">
        <v>21</v>
      </c>
      <c r="AX49" s="6">
        <v>735.24</v>
      </c>
      <c r="AY49" s="4">
        <v>8</v>
      </c>
      <c r="AZ49" s="6">
        <v>290.7</v>
      </c>
      <c r="BA49" s="5">
        <v>1.625</v>
      </c>
      <c r="BB49" s="5">
        <v>1.5292</v>
      </c>
      <c r="BC49" s="4">
        <v>19</v>
      </c>
      <c r="BD49" s="6">
        <v>659.93</v>
      </c>
      <c r="BE49" s="4">
        <v>8</v>
      </c>
      <c r="BF49" s="6">
        <v>303.82</v>
      </c>
      <c r="BG49" s="5">
        <v>1.375</v>
      </c>
      <c r="BH49" s="5">
        <v>1.1721</v>
      </c>
      <c r="BI49" s="4">
        <v>10</v>
      </c>
      <c r="BJ49" s="6">
        <v>365.9</v>
      </c>
      <c r="BK49" s="4">
        <v>21</v>
      </c>
      <c r="BL49" s="6">
        <v>739.07</v>
      </c>
      <c r="BM49" s="5">
        <v>-0.5238</v>
      </c>
      <c r="BN49" s="5">
        <v>-0.5049</v>
      </c>
      <c r="BO49" s="4">
        <v>4</v>
      </c>
      <c r="BP49" s="6">
        <v>120.04</v>
      </c>
      <c r="BQ49" s="4">
        <v>1</v>
      </c>
      <c r="BR49" s="6">
        <v>33.29</v>
      </c>
      <c r="BS49" s="5">
        <v>3</v>
      </c>
      <c r="BT49" s="5">
        <v>2.6059</v>
      </c>
      <c r="BU49" s="4">
        <v>13</v>
      </c>
      <c r="BV49" s="6">
        <v>452.71</v>
      </c>
      <c r="BW49" s="4">
        <v>18</v>
      </c>
      <c r="BX49" s="6">
        <v>621.15</v>
      </c>
      <c r="BY49" s="5">
        <v>-0.2778</v>
      </c>
      <c r="BZ49" s="5">
        <v>-0.2712</v>
      </c>
      <c r="CA49" s="4">
        <v>6</v>
      </c>
      <c r="CB49" s="6">
        <v>222.24</v>
      </c>
      <c r="CC49" s="4">
        <v>5</v>
      </c>
      <c r="CD49" s="6">
        <v>170.47</v>
      </c>
      <c r="CE49" s="5">
        <v>0.2</v>
      </c>
      <c r="CF49" s="5">
        <v>0.3037</v>
      </c>
      <c r="CG49" s="4"/>
      <c r="CH49" s="6"/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>
        <v>3</v>
      </c>
      <c r="CV49" s="6">
        <v>111.14</v>
      </c>
      <c r="CW49" s="5"/>
      <c r="CX49" s="5"/>
      <c r="CY49" s="4">
        <v>1</v>
      </c>
      <c r="CZ49" s="6">
        <v>29.91</v>
      </c>
      <c r="DA49" s="4"/>
      <c r="DB49" s="6"/>
      <c r="DC49" s="5"/>
      <c r="DD49" s="5"/>
      <c r="DE49" s="4"/>
      <c r="DF49" s="6"/>
      <c r="DG49" s="4"/>
      <c r="DH49" s="6"/>
      <c r="DI49" s="5"/>
      <c r="DJ49" s="5"/>
      <c r="DK49" s="4"/>
      <c r="DL49" s="6"/>
      <c r="DM49" s="4">
        <v>1</v>
      </c>
      <c r="DN49" s="6">
        <v>62.99</v>
      </c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>
        <v>19</v>
      </c>
      <c r="FV49" s="6">
        <v>667.69</v>
      </c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/>
      <c r="IB49" s="6"/>
      <c r="IC49" s="4"/>
      <c r="ID49" s="6"/>
      <c r="IE49" s="5"/>
      <c r="IF49" s="5"/>
      <c r="IG49" s="4"/>
      <c r="IH49" s="6"/>
      <c r="II49" s="4"/>
      <c r="IJ49" s="6"/>
      <c r="IK49" s="5"/>
      <c r="IL49" s="5"/>
      <c r="IM49" s="4"/>
      <c r="IN49" s="6"/>
      <c r="IO49" s="4"/>
      <c r="IP49" s="6"/>
      <c r="IQ49" s="5"/>
      <c r="IR49" s="5"/>
      <c r="IS49" s="4"/>
      <c r="IT49" s="6"/>
      <c r="IU49" s="4"/>
      <c r="IV49" s="6"/>
      <c r="IW49" s="5"/>
      <c r="IX49" s="5"/>
      <c r="IY49" s="4"/>
      <c r="IZ49" s="6"/>
      <c r="JA49" s="4"/>
      <c r="JB49" s="6"/>
      <c r="JC49" s="5"/>
      <c r="JD49" s="5"/>
      <c r="JE49" s="4"/>
      <c r="JF49" s="6"/>
      <c r="JG49" s="4"/>
      <c r="JH49" s="6"/>
      <c r="JI49" s="5"/>
      <c r="JJ49" s="5"/>
      <c r="JK49" s="4">
        <v>20</v>
      </c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>
        <v>250</v>
      </c>
      <c r="KG49" s="4"/>
      <c r="KH49" s="4"/>
      <c r="KI49" s="4"/>
      <c r="KJ49" s="4"/>
      <c r="KK49" s="4"/>
      <c r="KL49" s="4"/>
      <c r="KM49" s="4"/>
      <c r="KN49" s="4"/>
      <c r="KO49" s="4"/>
      <c r="KP49" s="4">
        <v>300</v>
      </c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</row>
    <row r="50">
      <c r="A50" s="3" t="s">
        <v>136</v>
      </c>
      <c r="B50" s="3" t="s">
        <v>137</v>
      </c>
      <c r="C50" s="3" t="s">
        <v>138</v>
      </c>
      <c r="D50" s="3" t="s">
        <v>139</v>
      </c>
      <c r="E50" s="3" t="s">
        <v>148</v>
      </c>
      <c r="F50" s="3" t="s">
        <v>148</v>
      </c>
      <c r="G50" s="3" t="s">
        <v>148</v>
      </c>
      <c r="H50" s="3" t="s">
        <v>141</v>
      </c>
      <c r="I50" s="3" t="s">
        <v>231</v>
      </c>
      <c r="J50" s="3" t="s">
        <v>241</v>
      </c>
      <c r="K50" s="4">
        <v>169</v>
      </c>
      <c r="L50" s="4">
        <f>=ROUNDDOWN(8.89473684210526,0)</f>
      </c>
      <c r="M50" s="4">
        <v>343</v>
      </c>
      <c r="N50" s="5"/>
      <c r="O50" s="4"/>
      <c r="P50" s="4">
        <f>=ROUNDDOWN({0},0)</f>
      </c>
      <c r="Q50" s="4"/>
      <c r="R50" s="5"/>
      <c r="S50" s="4">
        <v>190</v>
      </c>
      <c r="T50" s="6">
        <v>6722.89</v>
      </c>
      <c r="U50" s="4">
        <v>113</v>
      </c>
      <c r="V50" s="6">
        <v>3876.46</v>
      </c>
      <c r="W50" s="5">
        <v>0.6814</v>
      </c>
      <c r="X50" s="5">
        <v>0.7343</v>
      </c>
      <c r="Y50" s="4">
        <v>133</v>
      </c>
      <c r="Z50" s="6">
        <v>4597.38</v>
      </c>
      <c r="AA50" s="4">
        <v>23</v>
      </c>
      <c r="AB50" s="6">
        <v>752.93</v>
      </c>
      <c r="AC50" s="5">
        <v>4.7826</v>
      </c>
      <c r="AD50" s="5">
        <v>5.106</v>
      </c>
      <c r="AE50" s="4">
        <v>15</v>
      </c>
      <c r="AF50" s="6">
        <v>613.86</v>
      </c>
      <c r="AG50" s="4">
        <v>6</v>
      </c>
      <c r="AH50" s="6">
        <v>240.37</v>
      </c>
      <c r="AI50" s="5">
        <v>1.5</v>
      </c>
      <c r="AJ50" s="5">
        <v>1.5538</v>
      </c>
      <c r="AK50" s="4"/>
      <c r="AL50" s="6"/>
      <c r="AM50" s="4"/>
      <c r="AN50" s="6"/>
      <c r="AO50" s="5"/>
      <c r="AP50" s="5"/>
      <c r="AQ50" s="4"/>
      <c r="AR50" s="6"/>
      <c r="AS50" s="4"/>
      <c r="AT50" s="6"/>
      <c r="AU50" s="5"/>
      <c r="AV50" s="5"/>
      <c r="AW50" s="4">
        <v>16</v>
      </c>
      <c r="AX50" s="6">
        <v>578.79</v>
      </c>
      <c r="AY50" s="4">
        <v>15</v>
      </c>
      <c r="AZ50" s="6">
        <v>501.84</v>
      </c>
      <c r="BA50" s="5">
        <v>0.0667</v>
      </c>
      <c r="BB50" s="5">
        <v>0.1533</v>
      </c>
      <c r="BC50" s="4">
        <v>9</v>
      </c>
      <c r="BD50" s="6">
        <v>325.77</v>
      </c>
      <c r="BE50" s="4">
        <v>8</v>
      </c>
      <c r="BF50" s="6">
        <v>276.12</v>
      </c>
      <c r="BG50" s="5">
        <v>0.125</v>
      </c>
      <c r="BH50" s="5">
        <v>0.1798</v>
      </c>
      <c r="BI50" s="4">
        <v>10</v>
      </c>
      <c r="BJ50" s="6">
        <v>354.8</v>
      </c>
      <c r="BK50" s="4">
        <v>7</v>
      </c>
      <c r="BL50" s="6">
        <v>255.9</v>
      </c>
      <c r="BM50" s="5">
        <v>0.4286</v>
      </c>
      <c r="BN50" s="5">
        <v>0.3865</v>
      </c>
      <c r="BO50" s="4">
        <v>2</v>
      </c>
      <c r="BP50" s="6">
        <v>57.79</v>
      </c>
      <c r="BQ50" s="4">
        <v>7</v>
      </c>
      <c r="BR50" s="6">
        <v>225.52</v>
      </c>
      <c r="BS50" s="5">
        <v>-0.7143</v>
      </c>
      <c r="BT50" s="5">
        <v>-0.7437</v>
      </c>
      <c r="BU50" s="4">
        <v>5</v>
      </c>
      <c r="BV50" s="6">
        <v>194.5</v>
      </c>
      <c r="BW50" s="4">
        <v>12</v>
      </c>
      <c r="BX50" s="6">
        <v>419.37</v>
      </c>
      <c r="BY50" s="5">
        <v>-0.5833</v>
      </c>
      <c r="BZ50" s="5">
        <v>-0.5362</v>
      </c>
      <c r="CA50" s="4"/>
      <c r="CB50" s="6"/>
      <c r="CC50" s="4">
        <v>6</v>
      </c>
      <c r="CD50" s="6">
        <v>190.5</v>
      </c>
      <c r="CE50" s="5"/>
      <c r="CF50" s="5"/>
      <c r="CG50" s="4"/>
      <c r="CH50" s="6"/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>
        <v>4</v>
      </c>
      <c r="CV50" s="6">
        <v>155.6</v>
      </c>
      <c r="CW50" s="5"/>
      <c r="CX50" s="5"/>
      <c r="CY50" s="4"/>
      <c r="CZ50" s="6"/>
      <c r="DA50" s="4">
        <v>2</v>
      </c>
      <c r="DB50" s="6">
        <v>64.9</v>
      </c>
      <c r="DC50" s="5"/>
      <c r="DD50" s="5"/>
      <c r="DE50" s="4"/>
      <c r="DF50" s="6"/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>
        <v>23</v>
      </c>
      <c r="FV50" s="6">
        <v>793.41</v>
      </c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/>
      <c r="IB50" s="6"/>
      <c r="IC50" s="4"/>
      <c r="ID50" s="6"/>
      <c r="IE50" s="5"/>
      <c r="IF50" s="5"/>
      <c r="IG50" s="4"/>
      <c r="IH50" s="6"/>
      <c r="II50" s="4"/>
      <c r="IJ50" s="6"/>
      <c r="IK50" s="5"/>
      <c r="IL50" s="5"/>
      <c r="IM50" s="4"/>
      <c r="IN50" s="6"/>
      <c r="IO50" s="4"/>
      <c r="IP50" s="6"/>
      <c r="IQ50" s="5"/>
      <c r="IR50" s="5"/>
      <c r="IS50" s="4"/>
      <c r="IT50" s="6"/>
      <c r="IU50" s="4"/>
      <c r="IV50" s="6"/>
      <c r="IW50" s="5"/>
      <c r="IX50" s="5"/>
      <c r="IY50" s="4"/>
      <c r="IZ50" s="6"/>
      <c r="JA50" s="4"/>
      <c r="JB50" s="6"/>
      <c r="JC50" s="5"/>
      <c r="JD50" s="5"/>
      <c r="JE50" s="4"/>
      <c r="JF50" s="6"/>
      <c r="JG50" s="4"/>
      <c r="JH50" s="6"/>
      <c r="JI50" s="5"/>
      <c r="JJ50" s="5"/>
      <c r="JK50" s="4">
        <v>169</v>
      </c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>
        <v>140</v>
      </c>
      <c r="KG50" s="4"/>
      <c r="KH50" s="4"/>
      <c r="KI50" s="4"/>
      <c r="KJ50" s="4"/>
      <c r="KK50" s="4"/>
      <c r="KL50" s="4"/>
      <c r="KM50" s="4"/>
      <c r="KN50" s="4"/>
      <c r="KO50" s="4"/>
      <c r="KP50" s="4">
        <v>203</v>
      </c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</row>
    <row r="51">
      <c r="A51" s="3" t="s">
        <v>136</v>
      </c>
      <c r="B51" s="3" t="s">
        <v>137</v>
      </c>
      <c r="C51" s="3" t="s">
        <v>138</v>
      </c>
      <c r="D51" s="3" t="s">
        <v>139</v>
      </c>
      <c r="E51" s="3" t="s">
        <v>148</v>
      </c>
      <c r="F51" s="3" t="s">
        <v>148</v>
      </c>
      <c r="G51" s="3" t="s">
        <v>148</v>
      </c>
      <c r="H51" s="3" t="s">
        <v>141</v>
      </c>
      <c r="I51" s="3" t="s">
        <v>227</v>
      </c>
      <c r="J51" s="3" t="s">
        <v>241</v>
      </c>
      <c r="K51" s="4">
        <v>94</v>
      </c>
      <c r="L51" s="4">
        <f>=ROUNDDOWN(3.91666666666667,0)</f>
      </c>
      <c r="M51" s="4">
        <v>400</v>
      </c>
      <c r="N51" s="5"/>
      <c r="O51" s="4"/>
      <c r="P51" s="4">
        <f>=ROUNDDOWN({0},0)</f>
      </c>
      <c r="Q51" s="4"/>
      <c r="R51" s="5"/>
      <c r="S51" s="4">
        <v>180</v>
      </c>
      <c r="T51" s="6">
        <v>6599.02</v>
      </c>
      <c r="U51" s="4">
        <v>137</v>
      </c>
      <c r="V51" s="6">
        <v>4459.62</v>
      </c>
      <c r="W51" s="5">
        <v>0.3139</v>
      </c>
      <c r="X51" s="5">
        <v>0.4797</v>
      </c>
      <c r="Y51" s="4">
        <v>101</v>
      </c>
      <c r="Z51" s="6">
        <v>3605.19</v>
      </c>
      <c r="AA51" s="4">
        <v>28</v>
      </c>
      <c r="AB51" s="6">
        <v>869.37</v>
      </c>
      <c r="AC51" s="5">
        <v>2.6071</v>
      </c>
      <c r="AD51" s="5">
        <v>3.1469</v>
      </c>
      <c r="AE51" s="4">
        <v>22</v>
      </c>
      <c r="AF51" s="6">
        <v>894.67</v>
      </c>
      <c r="AG51" s="4">
        <v>6</v>
      </c>
      <c r="AH51" s="6">
        <v>226.01</v>
      </c>
      <c r="AI51" s="5">
        <v>2.6667</v>
      </c>
      <c r="AJ51" s="5">
        <v>2.9585</v>
      </c>
      <c r="AK51" s="4"/>
      <c r="AL51" s="6"/>
      <c r="AM51" s="4"/>
      <c r="AN51" s="6"/>
      <c r="AO51" s="5"/>
      <c r="AP51" s="5"/>
      <c r="AQ51" s="4"/>
      <c r="AR51" s="6"/>
      <c r="AS51" s="4"/>
      <c r="AT51" s="6"/>
      <c r="AU51" s="5"/>
      <c r="AV51" s="5"/>
      <c r="AW51" s="4">
        <v>13</v>
      </c>
      <c r="AX51" s="6">
        <v>483.46</v>
      </c>
      <c r="AY51" s="4">
        <v>17</v>
      </c>
      <c r="AZ51" s="6">
        <v>548.02</v>
      </c>
      <c r="BA51" s="5">
        <v>-0.2353</v>
      </c>
      <c r="BB51" s="5">
        <v>-0.1178</v>
      </c>
      <c r="BC51" s="4">
        <v>10</v>
      </c>
      <c r="BD51" s="6">
        <v>365.78</v>
      </c>
      <c r="BE51" s="4">
        <v>11</v>
      </c>
      <c r="BF51" s="6">
        <v>357.91</v>
      </c>
      <c r="BG51" s="5">
        <v>-0.0909</v>
      </c>
      <c r="BH51" s="5">
        <v>0.022</v>
      </c>
      <c r="BI51" s="4">
        <v>5</v>
      </c>
      <c r="BJ51" s="6">
        <v>194.05</v>
      </c>
      <c r="BK51" s="4">
        <v>6</v>
      </c>
      <c r="BL51" s="6">
        <v>199.56</v>
      </c>
      <c r="BM51" s="5">
        <v>-0.1667</v>
      </c>
      <c r="BN51" s="5">
        <v>-0.0276</v>
      </c>
      <c r="BO51" s="4"/>
      <c r="BP51" s="6"/>
      <c r="BQ51" s="4">
        <v>4</v>
      </c>
      <c r="BR51" s="6">
        <v>123.18</v>
      </c>
      <c r="BS51" s="5"/>
      <c r="BT51" s="5"/>
      <c r="BU51" s="4">
        <v>15</v>
      </c>
      <c r="BV51" s="6">
        <v>550.14</v>
      </c>
      <c r="BW51" s="4">
        <v>39</v>
      </c>
      <c r="BX51" s="6">
        <v>1262.74</v>
      </c>
      <c r="BY51" s="5">
        <v>-0.6154</v>
      </c>
      <c r="BZ51" s="5">
        <v>-0.5643</v>
      </c>
      <c r="CA51" s="4">
        <v>11</v>
      </c>
      <c r="CB51" s="6">
        <v>366.26</v>
      </c>
      <c r="CC51" s="4">
        <v>2</v>
      </c>
      <c r="CD51" s="6">
        <v>69.43</v>
      </c>
      <c r="CE51" s="5">
        <v>4.5</v>
      </c>
      <c r="CF51" s="5">
        <v>4.2752</v>
      </c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>
        <v>1</v>
      </c>
      <c r="CV51" s="6">
        <v>33.34</v>
      </c>
      <c r="CW51" s="5"/>
      <c r="CX51" s="5"/>
      <c r="CY51" s="4">
        <v>1</v>
      </c>
      <c r="CZ51" s="6">
        <v>29.91</v>
      </c>
      <c r="DA51" s="4">
        <v>1</v>
      </c>
      <c r="DB51" s="6">
        <v>25.69</v>
      </c>
      <c r="DC51" s="5"/>
      <c r="DD51" s="5">
        <v>0.1643</v>
      </c>
      <c r="DE51" s="4"/>
      <c r="DF51" s="6"/>
      <c r="DG51" s="4"/>
      <c r="DH51" s="6"/>
      <c r="DI51" s="5"/>
      <c r="DJ51" s="5"/>
      <c r="DK51" s="4">
        <v>1</v>
      </c>
      <c r="DL51" s="6">
        <v>69.55</v>
      </c>
      <c r="DM51" s="4">
        <v>1</v>
      </c>
      <c r="DN51" s="6">
        <v>62.99</v>
      </c>
      <c r="DO51" s="5"/>
      <c r="DP51" s="5">
        <v>0.1041</v>
      </c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>
        <v>1</v>
      </c>
      <c r="FN51" s="6">
        <v>40.01</v>
      </c>
      <c r="FO51" s="4"/>
      <c r="FP51" s="6"/>
      <c r="FQ51" s="5"/>
      <c r="FR51" s="5"/>
      <c r="FS51" s="4"/>
      <c r="FT51" s="6"/>
      <c r="FU51" s="4">
        <v>21</v>
      </c>
      <c r="FV51" s="6">
        <v>681.38</v>
      </c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6"/>
      <c r="IC51" s="4"/>
      <c r="ID51" s="6"/>
      <c r="IE51" s="5"/>
      <c r="IF51" s="5"/>
      <c r="IG51" s="4"/>
      <c r="IH51" s="6"/>
      <c r="II51" s="4"/>
      <c r="IJ51" s="6"/>
      <c r="IK51" s="5"/>
      <c r="IL51" s="5"/>
      <c r="IM51" s="4"/>
      <c r="IN51" s="6"/>
      <c r="IO51" s="4"/>
      <c r="IP51" s="6"/>
      <c r="IQ51" s="5"/>
      <c r="IR51" s="5"/>
      <c r="IS51" s="4"/>
      <c r="IT51" s="6"/>
      <c r="IU51" s="4"/>
      <c r="IV51" s="6"/>
      <c r="IW51" s="5"/>
      <c r="IX51" s="5"/>
      <c r="IY51" s="4"/>
      <c r="IZ51" s="6"/>
      <c r="JA51" s="4"/>
      <c r="JB51" s="6"/>
      <c r="JC51" s="5"/>
      <c r="JD51" s="5"/>
      <c r="JE51" s="4"/>
      <c r="JF51" s="6"/>
      <c r="JG51" s="4"/>
      <c r="JH51" s="6"/>
      <c r="JI51" s="5"/>
      <c r="JJ51" s="5"/>
      <c r="JK51" s="4">
        <v>94</v>
      </c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>
        <v>160</v>
      </c>
      <c r="KG51" s="4"/>
      <c r="KH51" s="4"/>
      <c r="KI51" s="4"/>
      <c r="KJ51" s="4"/>
      <c r="KK51" s="4"/>
      <c r="KL51" s="4"/>
      <c r="KM51" s="4"/>
      <c r="KN51" s="4"/>
      <c r="KO51" s="4"/>
      <c r="KP51" s="4">
        <v>240</v>
      </c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</row>
    <row r="52">
      <c r="A52" s="3" t="s">
        <v>136</v>
      </c>
      <c r="B52" s="3" t="s">
        <v>137</v>
      </c>
      <c r="C52" s="3" t="s">
        <v>138</v>
      </c>
      <c r="D52" s="3" t="s">
        <v>139</v>
      </c>
      <c r="E52" s="3" t="s">
        <v>149</v>
      </c>
      <c r="F52" s="3" t="s">
        <v>149</v>
      </c>
      <c r="G52" s="3" t="s">
        <v>149</v>
      </c>
      <c r="H52" s="3" t="s">
        <v>143</v>
      </c>
      <c r="I52" s="3" t="s">
        <v>229</v>
      </c>
      <c r="J52" s="3" t="s">
        <v>228</v>
      </c>
      <c r="K52" s="4">
        <v>61</v>
      </c>
      <c r="L52" s="4">
        <f>=ROUNDDOWN(3.21052631578947,0)</f>
      </c>
      <c r="M52" s="4">
        <v>575</v>
      </c>
      <c r="N52" s="5">
        <v>1</v>
      </c>
      <c r="O52" s="4"/>
      <c r="P52" s="4">
        <f>=ROUNDDOWN({0},0)</f>
      </c>
      <c r="Q52" s="4"/>
      <c r="R52" s="5"/>
      <c r="S52" s="4">
        <v>220</v>
      </c>
      <c r="T52" s="6">
        <v>7572.3</v>
      </c>
      <c r="U52" s="4"/>
      <c r="V52" s="6"/>
      <c r="W52" s="5"/>
      <c r="X52" s="5"/>
      <c r="Y52" s="4"/>
      <c r="Z52" s="6"/>
      <c r="AA52" s="4"/>
      <c r="AB52" s="6"/>
      <c r="AC52" s="5"/>
      <c r="AD52" s="5"/>
      <c r="AE52" s="4">
        <v>33</v>
      </c>
      <c r="AF52" s="6">
        <v>1116.22</v>
      </c>
      <c r="AG52" s="4"/>
      <c r="AH52" s="6"/>
      <c r="AI52" s="5"/>
      <c r="AJ52" s="5"/>
      <c r="AK52" s="4"/>
      <c r="AL52" s="6"/>
      <c r="AM52" s="4"/>
      <c r="AN52" s="6"/>
      <c r="AO52" s="5"/>
      <c r="AP52" s="5"/>
      <c r="AQ52" s="4">
        <v>76</v>
      </c>
      <c r="AR52" s="6">
        <v>2703.25</v>
      </c>
      <c r="AS52" s="4"/>
      <c r="AT52" s="6"/>
      <c r="AU52" s="5"/>
      <c r="AV52" s="5"/>
      <c r="AW52" s="4">
        <v>18</v>
      </c>
      <c r="AX52" s="6">
        <v>565.56</v>
      </c>
      <c r="AY52" s="4"/>
      <c r="AZ52" s="6"/>
      <c r="BA52" s="5"/>
      <c r="BB52" s="5"/>
      <c r="BC52" s="4">
        <v>60</v>
      </c>
      <c r="BD52" s="6">
        <v>2009.2</v>
      </c>
      <c r="BE52" s="4"/>
      <c r="BF52" s="6"/>
      <c r="BG52" s="5"/>
      <c r="BH52" s="5"/>
      <c r="BI52" s="4">
        <v>13</v>
      </c>
      <c r="BJ52" s="6">
        <v>435.46</v>
      </c>
      <c r="BK52" s="4"/>
      <c r="BL52" s="6"/>
      <c r="BM52" s="5"/>
      <c r="BN52" s="5"/>
      <c r="BO52" s="4">
        <v>7</v>
      </c>
      <c r="BP52" s="6">
        <v>201.52</v>
      </c>
      <c r="BQ52" s="4"/>
      <c r="BR52" s="6"/>
      <c r="BS52" s="5"/>
      <c r="BT52" s="5"/>
      <c r="BU52" s="4"/>
      <c r="BV52" s="6"/>
      <c r="BW52" s="4"/>
      <c r="BX52" s="6"/>
      <c r="BY52" s="5"/>
      <c r="BZ52" s="5"/>
      <c r="CA52" s="4">
        <v>8</v>
      </c>
      <c r="CB52" s="6">
        <v>346.14</v>
      </c>
      <c r="CC52" s="4"/>
      <c r="CD52" s="6"/>
      <c r="CE52" s="5"/>
      <c r="CF52" s="5"/>
      <c r="CG52" s="4"/>
      <c r="CH52" s="6"/>
      <c r="CI52" s="4"/>
      <c r="CJ52" s="6"/>
      <c r="CK52" s="5"/>
      <c r="CL52" s="5"/>
      <c r="CM52" s="4"/>
      <c r="CN52" s="6"/>
      <c r="CO52" s="4"/>
      <c r="CP52" s="6"/>
      <c r="CQ52" s="5"/>
      <c r="CR52" s="5"/>
      <c r="CS52" s="4"/>
      <c r="CT52" s="6"/>
      <c r="CU52" s="4"/>
      <c r="CV52" s="6"/>
      <c r="CW52" s="5"/>
      <c r="CX52" s="5"/>
      <c r="CY52" s="4"/>
      <c r="CZ52" s="6"/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>
        <v>5</v>
      </c>
      <c r="DL52" s="6">
        <v>194.95</v>
      </c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6"/>
      <c r="IC52" s="4"/>
      <c r="ID52" s="6"/>
      <c r="IE52" s="5"/>
      <c r="IF52" s="5"/>
      <c r="IG52" s="4"/>
      <c r="IH52" s="6"/>
      <c r="II52" s="4"/>
      <c r="IJ52" s="6"/>
      <c r="IK52" s="5"/>
      <c r="IL52" s="5"/>
      <c r="IM52" s="4"/>
      <c r="IN52" s="6"/>
      <c r="IO52" s="4"/>
      <c r="IP52" s="6"/>
      <c r="IQ52" s="5"/>
      <c r="IR52" s="5"/>
      <c r="IS52" s="4"/>
      <c r="IT52" s="6"/>
      <c r="IU52" s="4"/>
      <c r="IV52" s="6"/>
      <c r="IW52" s="5"/>
      <c r="IX52" s="5"/>
      <c r="IY52" s="4"/>
      <c r="IZ52" s="6"/>
      <c r="JA52" s="4"/>
      <c r="JB52" s="6"/>
      <c r="JC52" s="5"/>
      <c r="JD52" s="5"/>
      <c r="JE52" s="4"/>
      <c r="JF52" s="6"/>
      <c r="JG52" s="4"/>
      <c r="JH52" s="6"/>
      <c r="JI52" s="5"/>
      <c r="JJ52" s="5"/>
      <c r="JK52" s="4">
        <v>61</v>
      </c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>
        <v>250</v>
      </c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>
        <v>325</v>
      </c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</row>
    <row r="53">
      <c r="A53" s="3" t="s">
        <v>136</v>
      </c>
      <c r="B53" s="3" t="s">
        <v>137</v>
      </c>
      <c r="C53" s="3" t="s">
        <v>138</v>
      </c>
      <c r="D53" s="3" t="s">
        <v>139</v>
      </c>
      <c r="E53" s="3" t="s">
        <v>149</v>
      </c>
      <c r="F53" s="3" t="s">
        <v>149</v>
      </c>
      <c r="G53" s="3" t="s">
        <v>149</v>
      </c>
      <c r="H53" s="3" t="s">
        <v>143</v>
      </c>
      <c r="I53" s="3" t="s">
        <v>230</v>
      </c>
      <c r="J53" s="3" t="s">
        <v>228</v>
      </c>
      <c r="K53" s="4">
        <v>44</v>
      </c>
      <c r="L53" s="4">
        <f>=ROUNDDOWN(2.93333333333333,0)</f>
      </c>
      <c r="M53" s="4">
        <v>525</v>
      </c>
      <c r="N53" s="5">
        <v>1</v>
      </c>
      <c r="O53" s="4"/>
      <c r="P53" s="4">
        <f>=ROUNDDOWN({0},0)</f>
      </c>
      <c r="Q53" s="4"/>
      <c r="R53" s="5"/>
      <c r="S53" s="4">
        <v>145</v>
      </c>
      <c r="T53" s="6">
        <v>4883.25</v>
      </c>
      <c r="U53" s="4"/>
      <c r="V53" s="6"/>
      <c r="W53" s="5"/>
      <c r="X53" s="5"/>
      <c r="Y53" s="4"/>
      <c r="Z53" s="6"/>
      <c r="AA53" s="4"/>
      <c r="AB53" s="6"/>
      <c r="AC53" s="5"/>
      <c r="AD53" s="5"/>
      <c r="AE53" s="4">
        <v>15</v>
      </c>
      <c r="AF53" s="6">
        <v>506.02</v>
      </c>
      <c r="AG53" s="4"/>
      <c r="AH53" s="6"/>
      <c r="AI53" s="5"/>
      <c r="AJ53" s="5"/>
      <c r="AK53" s="4"/>
      <c r="AL53" s="6"/>
      <c r="AM53" s="4"/>
      <c r="AN53" s="6"/>
      <c r="AO53" s="5"/>
      <c r="AP53" s="5"/>
      <c r="AQ53" s="4">
        <v>45</v>
      </c>
      <c r="AR53" s="6">
        <v>1506.12</v>
      </c>
      <c r="AS53" s="4"/>
      <c r="AT53" s="6"/>
      <c r="AU53" s="5"/>
      <c r="AV53" s="5"/>
      <c r="AW53" s="4">
        <v>31</v>
      </c>
      <c r="AX53" s="6">
        <v>1058.34</v>
      </c>
      <c r="AY53" s="4"/>
      <c r="AZ53" s="6"/>
      <c r="BA53" s="5"/>
      <c r="BB53" s="5"/>
      <c r="BC53" s="4">
        <v>35</v>
      </c>
      <c r="BD53" s="6">
        <v>1144.34</v>
      </c>
      <c r="BE53" s="4"/>
      <c r="BF53" s="6"/>
      <c r="BG53" s="5"/>
      <c r="BH53" s="5"/>
      <c r="BI53" s="4">
        <v>9</v>
      </c>
      <c r="BJ53" s="6">
        <v>301.08</v>
      </c>
      <c r="BK53" s="4"/>
      <c r="BL53" s="6"/>
      <c r="BM53" s="5"/>
      <c r="BN53" s="5"/>
      <c r="BO53" s="4">
        <v>3</v>
      </c>
      <c r="BP53" s="6">
        <v>82.53</v>
      </c>
      <c r="BQ53" s="4"/>
      <c r="BR53" s="6"/>
      <c r="BS53" s="5"/>
      <c r="BT53" s="5"/>
      <c r="BU53" s="4"/>
      <c r="BV53" s="6"/>
      <c r="BW53" s="4"/>
      <c r="BX53" s="6"/>
      <c r="BY53" s="5"/>
      <c r="BZ53" s="5"/>
      <c r="CA53" s="4">
        <v>7</v>
      </c>
      <c r="CB53" s="6">
        <v>284.82</v>
      </c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6"/>
      <c r="IC53" s="4"/>
      <c r="ID53" s="6"/>
      <c r="IE53" s="5"/>
      <c r="IF53" s="5"/>
      <c r="IG53" s="4"/>
      <c r="IH53" s="6"/>
      <c r="II53" s="4"/>
      <c r="IJ53" s="6"/>
      <c r="IK53" s="5"/>
      <c r="IL53" s="5"/>
      <c r="IM53" s="4"/>
      <c r="IN53" s="6"/>
      <c r="IO53" s="4"/>
      <c r="IP53" s="6"/>
      <c r="IQ53" s="5"/>
      <c r="IR53" s="5"/>
      <c r="IS53" s="4"/>
      <c r="IT53" s="6"/>
      <c r="IU53" s="4"/>
      <c r="IV53" s="6"/>
      <c r="IW53" s="5"/>
      <c r="IX53" s="5"/>
      <c r="IY53" s="4"/>
      <c r="IZ53" s="6"/>
      <c r="JA53" s="4"/>
      <c r="JB53" s="6"/>
      <c r="JC53" s="5"/>
      <c r="JD53" s="5"/>
      <c r="JE53" s="4"/>
      <c r="JF53" s="6"/>
      <c r="JG53" s="4"/>
      <c r="JH53" s="6"/>
      <c r="JI53" s="5"/>
      <c r="JJ53" s="5"/>
      <c r="JK53" s="4">
        <v>44</v>
      </c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>
        <v>220</v>
      </c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>
        <v>305</v>
      </c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</row>
    <row r="54">
      <c r="A54" s="3" t="s">
        <v>136</v>
      </c>
      <c r="B54" s="3" t="s">
        <v>137</v>
      </c>
      <c r="C54" s="3" t="s">
        <v>138</v>
      </c>
      <c r="D54" s="3" t="s">
        <v>139</v>
      </c>
      <c r="E54" s="3" t="s">
        <v>149</v>
      </c>
      <c r="F54" s="3" t="s">
        <v>149</v>
      </c>
      <c r="G54" s="3" t="s">
        <v>149</v>
      </c>
      <c r="H54" s="3" t="s">
        <v>143</v>
      </c>
      <c r="I54" s="3" t="s">
        <v>248</v>
      </c>
      <c r="J54" s="3" t="s">
        <v>228</v>
      </c>
      <c r="K54" s="4">
        <v>84</v>
      </c>
      <c r="L54" s="4">
        <f>=ROUNDDOWN(5.6,0)</f>
      </c>
      <c r="M54" s="4">
        <v>597</v>
      </c>
      <c r="N54" s="5">
        <v>1</v>
      </c>
      <c r="O54" s="4"/>
      <c r="P54" s="4">
        <f>=ROUNDDOWN({0},0)</f>
      </c>
      <c r="Q54" s="4"/>
      <c r="R54" s="5"/>
      <c r="S54" s="4">
        <v>143</v>
      </c>
      <c r="T54" s="6">
        <v>4789.82</v>
      </c>
      <c r="U54" s="4"/>
      <c r="V54" s="6"/>
      <c r="W54" s="5"/>
      <c r="X54" s="5"/>
      <c r="Y54" s="4"/>
      <c r="Z54" s="6"/>
      <c r="AA54" s="4"/>
      <c r="AB54" s="6"/>
      <c r="AC54" s="5"/>
      <c r="AD54" s="5"/>
      <c r="AE54" s="4">
        <v>13</v>
      </c>
      <c r="AF54" s="6">
        <v>438.22</v>
      </c>
      <c r="AG54" s="4"/>
      <c r="AH54" s="6"/>
      <c r="AI54" s="5"/>
      <c r="AJ54" s="5"/>
      <c r="AK54" s="4"/>
      <c r="AL54" s="6"/>
      <c r="AM54" s="4"/>
      <c r="AN54" s="6"/>
      <c r="AO54" s="5"/>
      <c r="AP54" s="5"/>
      <c r="AQ54" s="4">
        <v>53</v>
      </c>
      <c r="AR54" s="6">
        <v>1752.85</v>
      </c>
      <c r="AS54" s="4"/>
      <c r="AT54" s="6"/>
      <c r="AU54" s="5"/>
      <c r="AV54" s="5"/>
      <c r="AW54" s="4">
        <v>12</v>
      </c>
      <c r="AX54" s="6">
        <v>377.04</v>
      </c>
      <c r="AY54" s="4"/>
      <c r="AZ54" s="6"/>
      <c r="BA54" s="5"/>
      <c r="BB54" s="5"/>
      <c r="BC54" s="4">
        <v>37</v>
      </c>
      <c r="BD54" s="6">
        <v>1231.98</v>
      </c>
      <c r="BE54" s="4"/>
      <c r="BF54" s="6"/>
      <c r="BG54" s="5"/>
      <c r="BH54" s="5"/>
      <c r="BI54" s="4">
        <v>15</v>
      </c>
      <c r="BJ54" s="6">
        <v>535.8</v>
      </c>
      <c r="BK54" s="4"/>
      <c r="BL54" s="6"/>
      <c r="BM54" s="5"/>
      <c r="BN54" s="5"/>
      <c r="BO54" s="4">
        <v>7</v>
      </c>
      <c r="BP54" s="6">
        <v>209.74</v>
      </c>
      <c r="BQ54" s="4"/>
      <c r="BR54" s="6"/>
      <c r="BS54" s="5"/>
      <c r="BT54" s="5"/>
      <c r="BU54" s="4"/>
      <c r="BV54" s="6"/>
      <c r="BW54" s="4"/>
      <c r="BX54" s="6"/>
      <c r="BY54" s="5"/>
      <c r="BZ54" s="5"/>
      <c r="CA54" s="4">
        <v>6</v>
      </c>
      <c r="CB54" s="6">
        <v>244.19</v>
      </c>
      <c r="CC54" s="4"/>
      <c r="CD54" s="6"/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/>
      <c r="DF54" s="6"/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6"/>
      <c r="IC54" s="4"/>
      <c r="ID54" s="6"/>
      <c r="IE54" s="5"/>
      <c r="IF54" s="5"/>
      <c r="IG54" s="4"/>
      <c r="IH54" s="6"/>
      <c r="II54" s="4"/>
      <c r="IJ54" s="6"/>
      <c r="IK54" s="5"/>
      <c r="IL54" s="5"/>
      <c r="IM54" s="4"/>
      <c r="IN54" s="6"/>
      <c r="IO54" s="4"/>
      <c r="IP54" s="6"/>
      <c r="IQ54" s="5"/>
      <c r="IR54" s="5"/>
      <c r="IS54" s="4"/>
      <c r="IT54" s="6"/>
      <c r="IU54" s="4"/>
      <c r="IV54" s="6"/>
      <c r="IW54" s="5"/>
      <c r="IX54" s="5"/>
      <c r="IY54" s="4"/>
      <c r="IZ54" s="6"/>
      <c r="JA54" s="4"/>
      <c r="JB54" s="6"/>
      <c r="JC54" s="5"/>
      <c r="JD54" s="5"/>
      <c r="JE54" s="4"/>
      <c r="JF54" s="6"/>
      <c r="JG54" s="4"/>
      <c r="JH54" s="6"/>
      <c r="JI54" s="5"/>
      <c r="JJ54" s="5"/>
      <c r="JK54" s="4">
        <v>84</v>
      </c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>
        <v>350</v>
      </c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>
        <v>247</v>
      </c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</row>
    <row r="55">
      <c r="A55" s="3" t="s">
        <v>136</v>
      </c>
      <c r="B55" s="3" t="s">
        <v>137</v>
      </c>
      <c r="C55" s="3" t="s">
        <v>138</v>
      </c>
      <c r="D55" s="3" t="s">
        <v>139</v>
      </c>
      <c r="E55" s="3" t="s">
        <v>149</v>
      </c>
      <c r="F55" s="3" t="s">
        <v>149</v>
      </c>
      <c r="G55" s="3" t="s">
        <v>149</v>
      </c>
      <c r="H55" s="3" t="s">
        <v>143</v>
      </c>
      <c r="I55" s="3" t="s">
        <v>234</v>
      </c>
      <c r="J55" s="3" t="s">
        <v>228</v>
      </c>
      <c r="K55" s="4">
        <v>47</v>
      </c>
      <c r="L55" s="4">
        <f>=ROUNDDOWN(3.13333333333333,0)</f>
      </c>
      <c r="M55" s="4">
        <v>588</v>
      </c>
      <c r="N55" s="5">
        <v>1</v>
      </c>
      <c r="O55" s="4"/>
      <c r="P55" s="4">
        <f>=ROUNDDOWN({0},0)</f>
      </c>
      <c r="Q55" s="4"/>
      <c r="R55" s="5"/>
      <c r="S55" s="4">
        <v>122</v>
      </c>
      <c r="T55" s="6">
        <v>4129.28</v>
      </c>
      <c r="U55" s="4"/>
      <c r="V55" s="6"/>
      <c r="W55" s="5"/>
      <c r="X55" s="5"/>
      <c r="Y55" s="4"/>
      <c r="Z55" s="6"/>
      <c r="AA55" s="4"/>
      <c r="AB55" s="6"/>
      <c r="AC55" s="5"/>
      <c r="AD55" s="5"/>
      <c r="AE55" s="4">
        <v>14</v>
      </c>
      <c r="AF55" s="6">
        <v>479.56</v>
      </c>
      <c r="AG55" s="4"/>
      <c r="AH55" s="6"/>
      <c r="AI55" s="5"/>
      <c r="AJ55" s="5"/>
      <c r="AK55" s="4"/>
      <c r="AL55" s="6"/>
      <c r="AM55" s="4"/>
      <c r="AN55" s="6"/>
      <c r="AO55" s="5"/>
      <c r="AP55" s="5"/>
      <c r="AQ55" s="4">
        <v>19</v>
      </c>
      <c r="AR55" s="6">
        <v>690.03</v>
      </c>
      <c r="AS55" s="4"/>
      <c r="AT55" s="6"/>
      <c r="AU55" s="5"/>
      <c r="AV55" s="5"/>
      <c r="AW55" s="4">
        <v>26</v>
      </c>
      <c r="AX55" s="6">
        <v>816.92</v>
      </c>
      <c r="AY55" s="4"/>
      <c r="AZ55" s="6"/>
      <c r="BA55" s="5"/>
      <c r="BB55" s="5"/>
      <c r="BC55" s="4">
        <v>35</v>
      </c>
      <c r="BD55" s="6">
        <v>1174.1</v>
      </c>
      <c r="BE55" s="4"/>
      <c r="BF55" s="6"/>
      <c r="BG55" s="5"/>
      <c r="BH55" s="5"/>
      <c r="BI55" s="4">
        <v>24</v>
      </c>
      <c r="BJ55" s="6">
        <v>821.58</v>
      </c>
      <c r="BK55" s="4"/>
      <c r="BL55" s="6"/>
      <c r="BM55" s="5"/>
      <c r="BN55" s="5"/>
      <c r="BO55" s="4">
        <v>1</v>
      </c>
      <c r="BP55" s="6">
        <v>29.45</v>
      </c>
      <c r="BQ55" s="4"/>
      <c r="BR55" s="6"/>
      <c r="BS55" s="5"/>
      <c r="BT55" s="5"/>
      <c r="BU55" s="4"/>
      <c r="BV55" s="6"/>
      <c r="BW55" s="4"/>
      <c r="BX55" s="6"/>
      <c r="BY55" s="5"/>
      <c r="BZ55" s="5"/>
      <c r="CA55" s="4">
        <v>3</v>
      </c>
      <c r="CB55" s="6">
        <v>117.64</v>
      </c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/>
      <c r="CP55" s="6"/>
      <c r="CQ55" s="5"/>
      <c r="CR55" s="5"/>
      <c r="CS55" s="4"/>
      <c r="CT55" s="6"/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6"/>
      <c r="IC55" s="4"/>
      <c r="ID55" s="6"/>
      <c r="IE55" s="5"/>
      <c r="IF55" s="5"/>
      <c r="IG55" s="4"/>
      <c r="IH55" s="6"/>
      <c r="II55" s="4"/>
      <c r="IJ55" s="6"/>
      <c r="IK55" s="5"/>
      <c r="IL55" s="5"/>
      <c r="IM55" s="4"/>
      <c r="IN55" s="6"/>
      <c r="IO55" s="4"/>
      <c r="IP55" s="6"/>
      <c r="IQ55" s="5"/>
      <c r="IR55" s="5"/>
      <c r="IS55" s="4"/>
      <c r="IT55" s="6"/>
      <c r="IU55" s="4"/>
      <c r="IV55" s="6"/>
      <c r="IW55" s="5"/>
      <c r="IX55" s="5"/>
      <c r="IY55" s="4"/>
      <c r="IZ55" s="6"/>
      <c r="JA55" s="4"/>
      <c r="JB55" s="6"/>
      <c r="JC55" s="5"/>
      <c r="JD55" s="5"/>
      <c r="JE55" s="4"/>
      <c r="JF55" s="6"/>
      <c r="JG55" s="4"/>
      <c r="JH55" s="6"/>
      <c r="JI55" s="5"/>
      <c r="JJ55" s="5"/>
      <c r="JK55" s="4">
        <v>47</v>
      </c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>
        <v>420</v>
      </c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>
        <v>168</v>
      </c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</row>
    <row r="56">
      <c r="A56" s="3" t="s">
        <v>136</v>
      </c>
      <c r="B56" s="3" t="s">
        <v>137</v>
      </c>
      <c r="C56" s="3" t="s">
        <v>138</v>
      </c>
      <c r="D56" s="3" t="s">
        <v>139</v>
      </c>
      <c r="E56" s="3" t="s">
        <v>150</v>
      </c>
      <c r="F56" s="3" t="s">
        <v>150</v>
      </c>
      <c r="G56" s="3" t="s">
        <v>150</v>
      </c>
      <c r="H56" s="3" t="s">
        <v>151</v>
      </c>
      <c r="I56" s="3" t="s">
        <v>249</v>
      </c>
      <c r="J56" s="3" t="s">
        <v>241</v>
      </c>
      <c r="K56" s="4">
        <v>186</v>
      </c>
      <c r="L56" s="4">
        <f>=ROUNDDOWN(37.9591836734694,0)</f>
      </c>
      <c r="M56" s="4"/>
      <c r="N56" s="5"/>
      <c r="O56" s="4"/>
      <c r="P56" s="4">
        <f>=ROUNDDOWN({0},0)</f>
      </c>
      <c r="Q56" s="4"/>
      <c r="R56" s="5"/>
      <c r="S56" s="4">
        <v>85</v>
      </c>
      <c r="T56" s="6">
        <v>5048.1</v>
      </c>
      <c r="U56" s="4">
        <v>72</v>
      </c>
      <c r="V56" s="6">
        <v>4359.03</v>
      </c>
      <c r="W56" s="5">
        <v>0.1806</v>
      </c>
      <c r="X56" s="5">
        <v>0.1581</v>
      </c>
      <c r="Y56" s="4">
        <v>5</v>
      </c>
      <c r="Z56" s="6">
        <v>293.66</v>
      </c>
      <c r="AA56" s="4">
        <v>19</v>
      </c>
      <c r="AB56" s="6">
        <v>1160.6</v>
      </c>
      <c r="AC56" s="5">
        <v>-0.7368</v>
      </c>
      <c r="AD56" s="5">
        <v>-0.747</v>
      </c>
      <c r="AE56" s="4">
        <v>9</v>
      </c>
      <c r="AF56" s="6">
        <v>542.51</v>
      </c>
      <c r="AG56" s="4"/>
      <c r="AH56" s="6"/>
      <c r="AI56" s="5"/>
      <c r="AJ56" s="5"/>
      <c r="AK56" s="4"/>
      <c r="AL56" s="6"/>
      <c r="AM56" s="4"/>
      <c r="AN56" s="6"/>
      <c r="AO56" s="5"/>
      <c r="AP56" s="5"/>
      <c r="AQ56" s="4"/>
      <c r="AR56" s="6"/>
      <c r="AS56" s="4"/>
      <c r="AT56" s="6"/>
      <c r="AU56" s="5"/>
      <c r="AV56" s="5"/>
      <c r="AW56" s="4">
        <v>4</v>
      </c>
      <c r="AX56" s="6">
        <v>241.68</v>
      </c>
      <c r="AY56" s="4">
        <v>5</v>
      </c>
      <c r="AZ56" s="6">
        <v>300.83</v>
      </c>
      <c r="BA56" s="5">
        <v>-0.2</v>
      </c>
      <c r="BB56" s="5">
        <v>-0.1966</v>
      </c>
      <c r="BC56" s="4">
        <v>47</v>
      </c>
      <c r="BD56" s="6">
        <v>2751.82</v>
      </c>
      <c r="BE56" s="4">
        <v>33</v>
      </c>
      <c r="BF56" s="6">
        <v>1931.69</v>
      </c>
      <c r="BG56" s="5">
        <v>0.4242</v>
      </c>
      <c r="BH56" s="5">
        <v>0.4246</v>
      </c>
      <c r="BI56" s="4">
        <v>1</v>
      </c>
      <c r="BJ56" s="6">
        <v>60.84</v>
      </c>
      <c r="BK56" s="4">
        <v>5</v>
      </c>
      <c r="BL56" s="6">
        <v>302.04</v>
      </c>
      <c r="BM56" s="5">
        <v>-0.8</v>
      </c>
      <c r="BN56" s="5">
        <v>-0.7986</v>
      </c>
      <c r="BO56" s="4">
        <v>1</v>
      </c>
      <c r="BP56" s="6">
        <v>33.26</v>
      </c>
      <c r="BQ56" s="4"/>
      <c r="BR56" s="6"/>
      <c r="BS56" s="5"/>
      <c r="BT56" s="5"/>
      <c r="BU56" s="4"/>
      <c r="BV56" s="6"/>
      <c r="BW56" s="4"/>
      <c r="BX56" s="6"/>
      <c r="BY56" s="5"/>
      <c r="BZ56" s="5"/>
      <c r="CA56" s="4">
        <v>7</v>
      </c>
      <c r="CB56" s="6">
        <v>491.04</v>
      </c>
      <c r="CC56" s="4">
        <v>4</v>
      </c>
      <c r="CD56" s="6">
        <v>303.09</v>
      </c>
      <c r="CE56" s="5">
        <v>0.75</v>
      </c>
      <c r="CF56" s="5">
        <v>0.6201</v>
      </c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>
        <v>11</v>
      </c>
      <c r="DX56" s="6">
        <v>633.29</v>
      </c>
      <c r="DY56" s="4">
        <v>3</v>
      </c>
      <c r="DZ56" s="6">
        <v>168.99</v>
      </c>
      <c r="EA56" s="5">
        <v>2.6667</v>
      </c>
      <c r="EB56" s="5">
        <v>2.7475</v>
      </c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>
        <v>3</v>
      </c>
      <c r="FV56" s="6">
        <v>191.79</v>
      </c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6"/>
      <c r="IC56" s="4"/>
      <c r="ID56" s="6"/>
      <c r="IE56" s="5"/>
      <c r="IF56" s="5"/>
      <c r="IG56" s="4"/>
      <c r="IH56" s="6"/>
      <c r="II56" s="4"/>
      <c r="IJ56" s="6"/>
      <c r="IK56" s="5"/>
      <c r="IL56" s="5"/>
      <c r="IM56" s="4"/>
      <c r="IN56" s="6"/>
      <c r="IO56" s="4"/>
      <c r="IP56" s="6"/>
      <c r="IQ56" s="5"/>
      <c r="IR56" s="5"/>
      <c r="IS56" s="4"/>
      <c r="IT56" s="6"/>
      <c r="IU56" s="4"/>
      <c r="IV56" s="6"/>
      <c r="IW56" s="5"/>
      <c r="IX56" s="5"/>
      <c r="IY56" s="4"/>
      <c r="IZ56" s="6"/>
      <c r="JA56" s="4"/>
      <c r="JB56" s="6"/>
      <c r="JC56" s="5"/>
      <c r="JD56" s="5"/>
      <c r="JE56" s="4"/>
      <c r="JF56" s="6"/>
      <c r="JG56" s="4"/>
      <c r="JH56" s="6"/>
      <c r="JI56" s="5"/>
      <c r="JJ56" s="5"/>
      <c r="JK56" s="4">
        <v>186</v>
      </c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</row>
    <row r="57">
      <c r="A57" s="3" t="s">
        <v>136</v>
      </c>
      <c r="B57" s="3" t="s">
        <v>137</v>
      </c>
      <c r="C57" s="3" t="s">
        <v>138</v>
      </c>
      <c r="D57" s="3" t="s">
        <v>139</v>
      </c>
      <c r="E57" s="3" t="s">
        <v>150</v>
      </c>
      <c r="F57" s="3" t="s">
        <v>150</v>
      </c>
      <c r="G57" s="3" t="s">
        <v>150</v>
      </c>
      <c r="H57" s="3" t="s">
        <v>151</v>
      </c>
      <c r="I57" s="3" t="s">
        <v>250</v>
      </c>
      <c r="J57" s="3" t="s">
        <v>241</v>
      </c>
      <c r="K57" s="4">
        <v>153</v>
      </c>
      <c r="L57" s="4">
        <f>=ROUNDDOWN(21.8571428571429,0)</f>
      </c>
      <c r="M57" s="4"/>
      <c r="N57" s="5"/>
      <c r="O57" s="4"/>
      <c r="P57" s="4">
        <f>=ROUNDDOWN({0},0)</f>
      </c>
      <c r="Q57" s="4"/>
      <c r="R57" s="5"/>
      <c r="S57" s="4">
        <v>69</v>
      </c>
      <c r="T57" s="6">
        <v>4073.97</v>
      </c>
      <c r="U57" s="4">
        <v>36</v>
      </c>
      <c r="V57" s="6">
        <v>2110.22</v>
      </c>
      <c r="W57" s="5">
        <v>0.9167</v>
      </c>
      <c r="X57" s="5">
        <v>0.9306</v>
      </c>
      <c r="Y57" s="4">
        <v>5</v>
      </c>
      <c r="Z57" s="6">
        <v>293.66</v>
      </c>
      <c r="AA57" s="4">
        <v>13</v>
      </c>
      <c r="AB57" s="6">
        <v>746.25</v>
      </c>
      <c r="AC57" s="5">
        <v>-0.6154</v>
      </c>
      <c r="AD57" s="5">
        <v>-0.6065</v>
      </c>
      <c r="AE57" s="4">
        <v>13</v>
      </c>
      <c r="AF57" s="6">
        <v>790.46</v>
      </c>
      <c r="AG57" s="4">
        <v>4</v>
      </c>
      <c r="AH57" s="6">
        <v>241.68</v>
      </c>
      <c r="AI57" s="5">
        <v>2.25</v>
      </c>
      <c r="AJ57" s="5">
        <v>2.2707</v>
      </c>
      <c r="AK57" s="4"/>
      <c r="AL57" s="6"/>
      <c r="AM57" s="4"/>
      <c r="AN57" s="6"/>
      <c r="AO57" s="5"/>
      <c r="AP57" s="5"/>
      <c r="AQ57" s="4"/>
      <c r="AR57" s="6"/>
      <c r="AS57" s="4"/>
      <c r="AT57" s="6"/>
      <c r="AU57" s="5"/>
      <c r="AV57" s="5"/>
      <c r="AW57" s="4">
        <v>1</v>
      </c>
      <c r="AX57" s="6">
        <v>59.15</v>
      </c>
      <c r="AY57" s="4">
        <v>2</v>
      </c>
      <c r="AZ57" s="6">
        <v>118.3</v>
      </c>
      <c r="BA57" s="5">
        <v>-0.5</v>
      </c>
      <c r="BB57" s="5">
        <v>-0.5</v>
      </c>
      <c r="BC57" s="4">
        <v>26</v>
      </c>
      <c r="BD57" s="6">
        <v>1463.49</v>
      </c>
      <c r="BE57" s="4">
        <v>12</v>
      </c>
      <c r="BF57" s="6">
        <v>709.92</v>
      </c>
      <c r="BG57" s="5">
        <v>1.1667</v>
      </c>
      <c r="BH57" s="5">
        <v>1.0615</v>
      </c>
      <c r="BI57" s="4">
        <v>2</v>
      </c>
      <c r="BJ57" s="6">
        <v>121.68</v>
      </c>
      <c r="BK57" s="4">
        <v>1</v>
      </c>
      <c r="BL57" s="6">
        <v>51.31</v>
      </c>
      <c r="BM57" s="5">
        <v>1</v>
      </c>
      <c r="BN57" s="5">
        <v>1.3715</v>
      </c>
      <c r="BO57" s="4">
        <v>1</v>
      </c>
      <c r="BP57" s="6">
        <v>44.21</v>
      </c>
      <c r="BQ57" s="4"/>
      <c r="BR57" s="6"/>
      <c r="BS57" s="5"/>
      <c r="BT57" s="5"/>
      <c r="BU57" s="4">
        <v>1</v>
      </c>
      <c r="BV57" s="6">
        <v>49.89</v>
      </c>
      <c r="BW57" s="4"/>
      <c r="BX57" s="6"/>
      <c r="BY57" s="5"/>
      <c r="BZ57" s="5"/>
      <c r="CA57" s="4">
        <v>7</v>
      </c>
      <c r="CB57" s="6">
        <v>504.5</v>
      </c>
      <c r="CC57" s="4">
        <v>1</v>
      </c>
      <c r="CD57" s="6">
        <v>75.11</v>
      </c>
      <c r="CE57" s="5">
        <v>6</v>
      </c>
      <c r="CF57" s="5">
        <v>5.7168</v>
      </c>
      <c r="CG57" s="4"/>
      <c r="CH57" s="6"/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>
        <v>2</v>
      </c>
      <c r="DL57" s="6">
        <v>99.98</v>
      </c>
      <c r="DM57" s="4">
        <v>1</v>
      </c>
      <c r="DN57" s="6">
        <v>54.99</v>
      </c>
      <c r="DO57" s="5">
        <v>1</v>
      </c>
      <c r="DP57" s="5">
        <v>0.8181</v>
      </c>
      <c r="DQ57" s="4"/>
      <c r="DR57" s="6"/>
      <c r="DS57" s="4"/>
      <c r="DT57" s="6"/>
      <c r="DU57" s="5"/>
      <c r="DV57" s="5"/>
      <c r="DW57" s="4">
        <v>11</v>
      </c>
      <c r="DX57" s="6">
        <v>646.95</v>
      </c>
      <c r="DY57" s="4">
        <v>2</v>
      </c>
      <c r="DZ57" s="6">
        <v>112.66</v>
      </c>
      <c r="EA57" s="5">
        <v>4.5</v>
      </c>
      <c r="EB57" s="5">
        <v>4.7425</v>
      </c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6"/>
      <c r="IC57" s="4"/>
      <c r="ID57" s="6"/>
      <c r="IE57" s="5"/>
      <c r="IF57" s="5"/>
      <c r="IG57" s="4"/>
      <c r="IH57" s="6"/>
      <c r="II57" s="4"/>
      <c r="IJ57" s="6"/>
      <c r="IK57" s="5"/>
      <c r="IL57" s="5"/>
      <c r="IM57" s="4"/>
      <c r="IN57" s="6"/>
      <c r="IO57" s="4"/>
      <c r="IP57" s="6"/>
      <c r="IQ57" s="5"/>
      <c r="IR57" s="5"/>
      <c r="IS57" s="4"/>
      <c r="IT57" s="6"/>
      <c r="IU57" s="4"/>
      <c r="IV57" s="6"/>
      <c r="IW57" s="5"/>
      <c r="IX57" s="5"/>
      <c r="IY57" s="4"/>
      <c r="IZ57" s="6"/>
      <c r="JA57" s="4"/>
      <c r="JB57" s="6"/>
      <c r="JC57" s="5"/>
      <c r="JD57" s="5"/>
      <c r="JE57" s="4"/>
      <c r="JF57" s="6"/>
      <c r="JG57" s="4"/>
      <c r="JH57" s="6"/>
      <c r="JI57" s="5"/>
      <c r="JJ57" s="5"/>
      <c r="JK57" s="4">
        <v>153</v>
      </c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</row>
    <row r="58">
      <c r="A58" s="3" t="s">
        <v>136</v>
      </c>
      <c r="B58" s="3" t="s">
        <v>137</v>
      </c>
      <c r="C58" s="3" t="s">
        <v>138</v>
      </c>
      <c r="D58" s="3" t="s">
        <v>139</v>
      </c>
      <c r="E58" s="3" t="s">
        <v>150</v>
      </c>
      <c r="F58" s="3" t="s">
        <v>150</v>
      </c>
      <c r="G58" s="3" t="s">
        <v>150</v>
      </c>
      <c r="H58" s="3" t="s">
        <v>151</v>
      </c>
      <c r="I58" s="3" t="s">
        <v>229</v>
      </c>
      <c r="J58" s="3" t="s">
        <v>241</v>
      </c>
      <c r="K58" s="4">
        <v>95</v>
      </c>
      <c r="L58" s="4">
        <f>=ROUNDDOWN(12.6666666666667,0)</f>
      </c>
      <c r="M58" s="4"/>
      <c r="N58" s="5"/>
      <c r="O58" s="4"/>
      <c r="P58" s="4">
        <f>=ROUNDDOWN({0},0)</f>
      </c>
      <c r="Q58" s="4"/>
      <c r="R58" s="5"/>
      <c r="S58" s="4">
        <v>23</v>
      </c>
      <c r="T58" s="6">
        <v>1107.97</v>
      </c>
      <c r="U58" s="4">
        <v>82</v>
      </c>
      <c r="V58" s="6">
        <v>4886.09</v>
      </c>
      <c r="W58" s="5">
        <v>-0.7195</v>
      </c>
      <c r="X58" s="5">
        <v>-0.7732</v>
      </c>
      <c r="Y58" s="4">
        <v>3</v>
      </c>
      <c r="Z58" s="6">
        <v>149.67</v>
      </c>
      <c r="AA58" s="4">
        <v>32</v>
      </c>
      <c r="AB58" s="6">
        <v>1887.43</v>
      </c>
      <c r="AC58" s="5">
        <v>-0.9062</v>
      </c>
      <c r="AD58" s="5">
        <v>-0.9207</v>
      </c>
      <c r="AE58" s="4">
        <v>4</v>
      </c>
      <c r="AF58" s="6">
        <v>199.56</v>
      </c>
      <c r="AG58" s="4">
        <v>4</v>
      </c>
      <c r="AH58" s="6">
        <v>250.94</v>
      </c>
      <c r="AI58" s="5"/>
      <c r="AJ58" s="5">
        <v>-0.2048</v>
      </c>
      <c r="AK58" s="4"/>
      <c r="AL58" s="6"/>
      <c r="AM58" s="4"/>
      <c r="AN58" s="6"/>
      <c r="AO58" s="5"/>
      <c r="AP58" s="5"/>
      <c r="AQ58" s="4"/>
      <c r="AR58" s="6"/>
      <c r="AS58" s="4"/>
      <c r="AT58" s="6"/>
      <c r="AU58" s="5"/>
      <c r="AV58" s="5"/>
      <c r="AW58" s="4">
        <v>1</v>
      </c>
      <c r="AX58" s="6">
        <v>49.89</v>
      </c>
      <c r="AY58" s="4">
        <v>4</v>
      </c>
      <c r="AZ58" s="6">
        <v>243.77</v>
      </c>
      <c r="BA58" s="5">
        <v>-0.75</v>
      </c>
      <c r="BB58" s="5">
        <v>-0.7953</v>
      </c>
      <c r="BC58" s="4">
        <v>10</v>
      </c>
      <c r="BD58" s="6">
        <v>467.5</v>
      </c>
      <c r="BE58" s="4">
        <v>18</v>
      </c>
      <c r="BF58" s="6">
        <v>1040.13</v>
      </c>
      <c r="BG58" s="5">
        <v>-0.4444</v>
      </c>
      <c r="BH58" s="5">
        <v>-0.5505</v>
      </c>
      <c r="BI58" s="4">
        <v>1</v>
      </c>
      <c r="BJ58" s="6">
        <v>51.31</v>
      </c>
      <c r="BK58" s="4">
        <v>2</v>
      </c>
      <c r="BL58" s="6">
        <v>129.05</v>
      </c>
      <c r="BM58" s="5">
        <v>-0.5</v>
      </c>
      <c r="BN58" s="5">
        <v>-0.6024</v>
      </c>
      <c r="BO58" s="4"/>
      <c r="BP58" s="6"/>
      <c r="BQ58" s="4">
        <v>1</v>
      </c>
      <c r="BR58" s="6">
        <v>50.53</v>
      </c>
      <c r="BS58" s="5"/>
      <c r="BT58" s="5"/>
      <c r="BU58" s="4"/>
      <c r="BV58" s="6"/>
      <c r="BW58" s="4"/>
      <c r="BX58" s="6"/>
      <c r="BY58" s="5"/>
      <c r="BZ58" s="5"/>
      <c r="CA58" s="4">
        <v>4</v>
      </c>
      <c r="CB58" s="6">
        <v>190.04</v>
      </c>
      <c r="CC58" s="4">
        <v>12</v>
      </c>
      <c r="CD58" s="6">
        <v>764.07</v>
      </c>
      <c r="CE58" s="5">
        <v>-0.6667</v>
      </c>
      <c r="CF58" s="5">
        <v>-0.7513</v>
      </c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/>
      <c r="CZ58" s="6"/>
      <c r="DA58" s="4"/>
      <c r="DB58" s="6"/>
      <c r="DC58" s="5"/>
      <c r="DD58" s="5"/>
      <c r="DE58" s="4"/>
      <c r="DF58" s="6"/>
      <c r="DG58" s="4"/>
      <c r="DH58" s="6"/>
      <c r="DI58" s="5"/>
      <c r="DJ58" s="5"/>
      <c r="DK58" s="4"/>
      <c r="DL58" s="6"/>
      <c r="DM58" s="4">
        <v>2</v>
      </c>
      <c r="DN58" s="6">
        <v>104.98</v>
      </c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>
        <v>6</v>
      </c>
      <c r="DZ58" s="6">
        <v>365.3</v>
      </c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>
        <v>1</v>
      </c>
      <c r="FV58" s="6">
        <v>49.89</v>
      </c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6"/>
      <c r="IC58" s="4"/>
      <c r="ID58" s="6"/>
      <c r="IE58" s="5"/>
      <c r="IF58" s="5"/>
      <c r="IG58" s="4"/>
      <c r="IH58" s="6"/>
      <c r="II58" s="4"/>
      <c r="IJ58" s="6"/>
      <c r="IK58" s="5"/>
      <c r="IL58" s="5"/>
      <c r="IM58" s="4"/>
      <c r="IN58" s="6"/>
      <c r="IO58" s="4"/>
      <c r="IP58" s="6"/>
      <c r="IQ58" s="5"/>
      <c r="IR58" s="5"/>
      <c r="IS58" s="4"/>
      <c r="IT58" s="6"/>
      <c r="IU58" s="4"/>
      <c r="IV58" s="6"/>
      <c r="IW58" s="5"/>
      <c r="IX58" s="5"/>
      <c r="IY58" s="4"/>
      <c r="IZ58" s="6"/>
      <c r="JA58" s="4"/>
      <c r="JB58" s="6"/>
      <c r="JC58" s="5"/>
      <c r="JD58" s="5"/>
      <c r="JE58" s="4"/>
      <c r="JF58" s="6"/>
      <c r="JG58" s="4"/>
      <c r="JH58" s="6"/>
      <c r="JI58" s="5"/>
      <c r="JJ58" s="5"/>
      <c r="JK58" s="4">
        <v>95</v>
      </c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</row>
    <row r="59">
      <c r="A59" s="3" t="s">
        <v>136</v>
      </c>
      <c r="B59" s="3" t="s">
        <v>137</v>
      </c>
      <c r="C59" s="3" t="s">
        <v>138</v>
      </c>
      <c r="D59" s="3" t="s">
        <v>139</v>
      </c>
      <c r="E59" s="3" t="s">
        <v>152</v>
      </c>
      <c r="F59" s="3" t="s">
        <v>152</v>
      </c>
      <c r="G59" s="3" t="s">
        <v>152</v>
      </c>
      <c r="H59" s="3" t="s">
        <v>146</v>
      </c>
      <c r="I59" s="3" t="s">
        <v>251</v>
      </c>
      <c r="J59" s="3" t="s">
        <v>241</v>
      </c>
      <c r="K59" s="4">
        <v>247</v>
      </c>
      <c r="L59" s="4">
        <f>=ROUNDDOWN(19.1472868217054,0)</f>
      </c>
      <c r="M59" s="4"/>
      <c r="N59" s="5"/>
      <c r="O59" s="4"/>
      <c r="P59" s="4">
        <f>=ROUNDDOWN({0},0)</f>
      </c>
      <c r="Q59" s="4"/>
      <c r="R59" s="5"/>
      <c r="S59" s="4">
        <v>121</v>
      </c>
      <c r="T59" s="6">
        <v>2191.02</v>
      </c>
      <c r="U59" s="4">
        <v>27</v>
      </c>
      <c r="V59" s="6">
        <v>468.02</v>
      </c>
      <c r="W59" s="5">
        <v>3.4815</v>
      </c>
      <c r="X59" s="5">
        <v>3.6815</v>
      </c>
      <c r="Y59" s="4">
        <v>17</v>
      </c>
      <c r="Z59" s="6">
        <v>275.15</v>
      </c>
      <c r="AA59" s="4"/>
      <c r="AB59" s="6"/>
      <c r="AC59" s="5"/>
      <c r="AD59" s="5"/>
      <c r="AE59" s="4">
        <v>8</v>
      </c>
      <c r="AF59" s="6">
        <v>141.82</v>
      </c>
      <c r="AG59" s="4">
        <v>3</v>
      </c>
      <c r="AH59" s="6">
        <v>55.21</v>
      </c>
      <c r="AI59" s="5">
        <v>1.6667</v>
      </c>
      <c r="AJ59" s="5">
        <v>1.5687</v>
      </c>
      <c r="AK59" s="4"/>
      <c r="AL59" s="6"/>
      <c r="AM59" s="4"/>
      <c r="AN59" s="6"/>
      <c r="AO59" s="5"/>
      <c r="AP59" s="5"/>
      <c r="AQ59" s="4">
        <v>48</v>
      </c>
      <c r="AR59" s="6">
        <v>919.79</v>
      </c>
      <c r="AS59" s="4"/>
      <c r="AT59" s="6"/>
      <c r="AU59" s="5"/>
      <c r="AV59" s="5"/>
      <c r="AW59" s="4">
        <v>5</v>
      </c>
      <c r="AX59" s="6">
        <v>88.11</v>
      </c>
      <c r="AY59" s="4">
        <v>1</v>
      </c>
      <c r="AZ59" s="6">
        <v>19.38</v>
      </c>
      <c r="BA59" s="5">
        <v>4</v>
      </c>
      <c r="BB59" s="5">
        <v>3.5464</v>
      </c>
      <c r="BC59" s="4">
        <v>13</v>
      </c>
      <c r="BD59" s="6">
        <v>226.93</v>
      </c>
      <c r="BE59" s="4">
        <v>2</v>
      </c>
      <c r="BF59" s="6">
        <v>35.83</v>
      </c>
      <c r="BG59" s="5">
        <v>5.5</v>
      </c>
      <c r="BH59" s="5">
        <v>5.3335</v>
      </c>
      <c r="BI59" s="4">
        <v>16</v>
      </c>
      <c r="BJ59" s="6">
        <v>279.78</v>
      </c>
      <c r="BK59" s="4">
        <v>18</v>
      </c>
      <c r="BL59" s="6">
        <v>312.02</v>
      </c>
      <c r="BM59" s="5">
        <v>-0.1111</v>
      </c>
      <c r="BN59" s="5">
        <v>-0.1033</v>
      </c>
      <c r="BO59" s="4">
        <v>1</v>
      </c>
      <c r="BP59" s="6">
        <v>10.97</v>
      </c>
      <c r="BQ59" s="4"/>
      <c r="BR59" s="6"/>
      <c r="BS59" s="5"/>
      <c r="BT59" s="5"/>
      <c r="BU59" s="4">
        <v>1</v>
      </c>
      <c r="BV59" s="6">
        <v>19.38</v>
      </c>
      <c r="BW59" s="4"/>
      <c r="BX59" s="6"/>
      <c r="BY59" s="5"/>
      <c r="BZ59" s="5"/>
      <c r="CA59" s="4">
        <v>5</v>
      </c>
      <c r="CB59" s="6">
        <v>83.68</v>
      </c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>
        <v>1</v>
      </c>
      <c r="DF59" s="6">
        <v>16.45</v>
      </c>
      <c r="DG59" s="4"/>
      <c r="DH59" s="6"/>
      <c r="DI59" s="5"/>
      <c r="DJ59" s="5"/>
      <c r="DK59" s="4">
        <v>1</v>
      </c>
      <c r="DL59" s="6">
        <v>34.99</v>
      </c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>
        <v>5</v>
      </c>
      <c r="EJ59" s="6">
        <v>93.97</v>
      </c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>
        <v>3</v>
      </c>
      <c r="GB59" s="6">
        <v>45.58</v>
      </c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6"/>
      <c r="IC59" s="4"/>
      <c r="ID59" s="6"/>
      <c r="IE59" s="5"/>
      <c r="IF59" s="5"/>
      <c r="IG59" s="4"/>
      <c r="IH59" s="6"/>
      <c r="II59" s="4"/>
      <c r="IJ59" s="6"/>
      <c r="IK59" s="5"/>
      <c r="IL59" s="5"/>
      <c r="IM59" s="4"/>
      <c r="IN59" s="6"/>
      <c r="IO59" s="4"/>
      <c r="IP59" s="6"/>
      <c r="IQ59" s="5"/>
      <c r="IR59" s="5"/>
      <c r="IS59" s="4"/>
      <c r="IT59" s="6"/>
      <c r="IU59" s="4"/>
      <c r="IV59" s="6"/>
      <c r="IW59" s="5"/>
      <c r="IX59" s="5"/>
      <c r="IY59" s="4"/>
      <c r="IZ59" s="6"/>
      <c r="JA59" s="4"/>
      <c r="JB59" s="6"/>
      <c r="JC59" s="5"/>
      <c r="JD59" s="5"/>
      <c r="JE59" s="4"/>
      <c r="JF59" s="6"/>
      <c r="JG59" s="4"/>
      <c r="JH59" s="6"/>
      <c r="JI59" s="5"/>
      <c r="JJ59" s="5"/>
      <c r="JK59" s="4">
        <v>247</v>
      </c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</row>
    <row r="60">
      <c r="A60" s="3" t="s">
        <v>136</v>
      </c>
      <c r="B60" s="3" t="s">
        <v>137</v>
      </c>
      <c r="C60" s="3" t="s">
        <v>138</v>
      </c>
      <c r="D60" s="3" t="s">
        <v>139</v>
      </c>
      <c r="E60" s="3" t="s">
        <v>152</v>
      </c>
      <c r="F60" s="3" t="s">
        <v>152</v>
      </c>
      <c r="G60" s="3" t="s">
        <v>152</v>
      </c>
      <c r="H60" s="3" t="s">
        <v>146</v>
      </c>
      <c r="I60" s="3" t="s">
        <v>252</v>
      </c>
      <c r="J60" s="3" t="s">
        <v>241</v>
      </c>
      <c r="K60" s="4">
        <v>328</v>
      </c>
      <c r="L60" s="4">
        <f>=ROUNDDOWN(25.625,0)</f>
      </c>
      <c r="M60" s="4"/>
      <c r="N60" s="5"/>
      <c r="O60" s="4"/>
      <c r="P60" s="4">
        <f>=ROUNDDOWN({0},0)</f>
      </c>
      <c r="Q60" s="4"/>
      <c r="R60" s="5"/>
      <c r="S60" s="4">
        <v>113</v>
      </c>
      <c r="T60" s="6">
        <v>1948.62</v>
      </c>
      <c r="U60" s="4">
        <v>32</v>
      </c>
      <c r="V60" s="6">
        <v>572.84</v>
      </c>
      <c r="W60" s="5">
        <v>2.5312</v>
      </c>
      <c r="X60" s="5">
        <v>2.4017</v>
      </c>
      <c r="Y60" s="4">
        <v>7</v>
      </c>
      <c r="Z60" s="6">
        <v>118.01</v>
      </c>
      <c r="AA60" s="4"/>
      <c r="AB60" s="6"/>
      <c r="AC60" s="5"/>
      <c r="AD60" s="5"/>
      <c r="AE60" s="4">
        <v>5</v>
      </c>
      <c r="AF60" s="6">
        <v>80.68</v>
      </c>
      <c r="AG60" s="4">
        <v>1</v>
      </c>
      <c r="AH60" s="6">
        <v>19.38</v>
      </c>
      <c r="AI60" s="5">
        <v>4</v>
      </c>
      <c r="AJ60" s="5">
        <v>3.1631</v>
      </c>
      <c r="AK60" s="4"/>
      <c r="AL60" s="6"/>
      <c r="AM60" s="4"/>
      <c r="AN60" s="6"/>
      <c r="AO60" s="5"/>
      <c r="AP60" s="5"/>
      <c r="AQ60" s="4">
        <v>54</v>
      </c>
      <c r="AR60" s="6">
        <v>949.31</v>
      </c>
      <c r="AS60" s="4"/>
      <c r="AT60" s="6"/>
      <c r="AU60" s="5"/>
      <c r="AV60" s="5"/>
      <c r="AW60" s="4">
        <v>6</v>
      </c>
      <c r="AX60" s="6">
        <v>104.56</v>
      </c>
      <c r="AY60" s="4"/>
      <c r="AZ60" s="6"/>
      <c r="BA60" s="5"/>
      <c r="BB60" s="5"/>
      <c r="BC60" s="4">
        <v>12</v>
      </c>
      <c r="BD60" s="6">
        <v>206.19</v>
      </c>
      <c r="BE60" s="4">
        <v>2</v>
      </c>
      <c r="BF60" s="6">
        <v>31.4</v>
      </c>
      <c r="BG60" s="5">
        <v>5</v>
      </c>
      <c r="BH60" s="5">
        <v>5.5666</v>
      </c>
      <c r="BI60" s="4">
        <v>9</v>
      </c>
      <c r="BJ60" s="6">
        <v>155.24</v>
      </c>
      <c r="BK60" s="4">
        <v>27</v>
      </c>
      <c r="BL60" s="6">
        <v>474.9</v>
      </c>
      <c r="BM60" s="5">
        <v>-0.6667</v>
      </c>
      <c r="BN60" s="5">
        <v>-0.6731</v>
      </c>
      <c r="BO60" s="4"/>
      <c r="BP60" s="6"/>
      <c r="BQ60" s="4"/>
      <c r="BR60" s="6"/>
      <c r="BS60" s="5"/>
      <c r="BT60" s="5"/>
      <c r="BU60" s="4">
        <v>3</v>
      </c>
      <c r="BV60" s="6">
        <v>52.28</v>
      </c>
      <c r="BW60" s="4"/>
      <c r="BX60" s="6"/>
      <c r="BY60" s="5"/>
      <c r="BZ60" s="5"/>
      <c r="CA60" s="4">
        <v>7</v>
      </c>
      <c r="CB60" s="6">
        <v>116.58</v>
      </c>
      <c r="CC60" s="4"/>
      <c r="CD60" s="6"/>
      <c r="CE60" s="5"/>
      <c r="CF60" s="5"/>
      <c r="CG60" s="4">
        <v>4</v>
      </c>
      <c r="CH60" s="6">
        <v>68.64</v>
      </c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>
        <v>1</v>
      </c>
      <c r="DF60" s="6">
        <v>14.95</v>
      </c>
      <c r="DG60" s="4"/>
      <c r="DH60" s="6"/>
      <c r="DI60" s="5"/>
      <c r="DJ60" s="5"/>
      <c r="DK60" s="4"/>
      <c r="DL60" s="6"/>
      <c r="DM60" s="4">
        <v>1</v>
      </c>
      <c r="DN60" s="6">
        <v>31.49</v>
      </c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>
        <v>5</v>
      </c>
      <c r="EJ60" s="6">
        <v>82.18</v>
      </c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>
        <v>1</v>
      </c>
      <c r="GB60" s="6">
        <v>15.67</v>
      </c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6"/>
      <c r="IC60" s="4"/>
      <c r="ID60" s="6"/>
      <c r="IE60" s="5"/>
      <c r="IF60" s="5"/>
      <c r="IG60" s="4"/>
      <c r="IH60" s="6"/>
      <c r="II60" s="4"/>
      <c r="IJ60" s="6"/>
      <c r="IK60" s="5"/>
      <c r="IL60" s="5"/>
      <c r="IM60" s="4"/>
      <c r="IN60" s="6"/>
      <c r="IO60" s="4"/>
      <c r="IP60" s="6"/>
      <c r="IQ60" s="5"/>
      <c r="IR60" s="5"/>
      <c r="IS60" s="4"/>
      <c r="IT60" s="6"/>
      <c r="IU60" s="4"/>
      <c r="IV60" s="6"/>
      <c r="IW60" s="5"/>
      <c r="IX60" s="5"/>
      <c r="IY60" s="4"/>
      <c r="IZ60" s="6"/>
      <c r="JA60" s="4"/>
      <c r="JB60" s="6"/>
      <c r="JC60" s="5"/>
      <c r="JD60" s="5"/>
      <c r="JE60" s="4"/>
      <c r="JF60" s="6"/>
      <c r="JG60" s="4"/>
      <c r="JH60" s="6"/>
      <c r="JI60" s="5"/>
      <c r="JJ60" s="5"/>
      <c r="JK60" s="4">
        <v>328</v>
      </c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</row>
    <row r="61">
      <c r="A61" s="3" t="s">
        <v>136</v>
      </c>
      <c r="B61" s="3" t="s">
        <v>137</v>
      </c>
      <c r="C61" s="3" t="s">
        <v>138</v>
      </c>
      <c r="D61" s="3" t="s">
        <v>139</v>
      </c>
      <c r="E61" s="3" t="s">
        <v>152</v>
      </c>
      <c r="F61" s="3" t="s">
        <v>152</v>
      </c>
      <c r="G61" s="3" t="s">
        <v>152</v>
      </c>
      <c r="H61" s="3" t="s">
        <v>146</v>
      </c>
      <c r="I61" s="3" t="s">
        <v>253</v>
      </c>
      <c r="J61" s="3" t="s">
        <v>241</v>
      </c>
      <c r="K61" s="4">
        <v>523</v>
      </c>
      <c r="L61" s="4">
        <f>=ROUNDDOWN(74.7142857142857,0)</f>
      </c>
      <c r="M61" s="4"/>
      <c r="N61" s="5"/>
      <c r="O61" s="4"/>
      <c r="P61" s="4">
        <f>=ROUNDDOWN({0},0)</f>
      </c>
      <c r="Q61" s="4"/>
      <c r="R61" s="5"/>
      <c r="S61" s="4">
        <v>71</v>
      </c>
      <c r="T61" s="6">
        <v>1223.03</v>
      </c>
      <c r="U61" s="4">
        <v>19</v>
      </c>
      <c r="V61" s="6">
        <v>335.8</v>
      </c>
      <c r="W61" s="5">
        <v>2.7368</v>
      </c>
      <c r="X61" s="5">
        <v>2.6421</v>
      </c>
      <c r="Y61" s="4">
        <v>8</v>
      </c>
      <c r="Z61" s="6">
        <v>132.96</v>
      </c>
      <c r="AA61" s="4"/>
      <c r="AB61" s="6"/>
      <c r="AC61" s="5"/>
      <c r="AD61" s="5"/>
      <c r="AE61" s="4">
        <v>6</v>
      </c>
      <c r="AF61" s="6">
        <v>97.2</v>
      </c>
      <c r="AG61" s="4"/>
      <c r="AH61" s="6"/>
      <c r="AI61" s="5"/>
      <c r="AJ61" s="5"/>
      <c r="AK61" s="4"/>
      <c r="AL61" s="6"/>
      <c r="AM61" s="4"/>
      <c r="AN61" s="6"/>
      <c r="AO61" s="5"/>
      <c r="AP61" s="5"/>
      <c r="AQ61" s="4">
        <v>23</v>
      </c>
      <c r="AR61" s="6">
        <v>414.37</v>
      </c>
      <c r="AS61" s="4"/>
      <c r="AT61" s="6"/>
      <c r="AU61" s="5"/>
      <c r="AV61" s="5"/>
      <c r="AW61" s="4">
        <v>4</v>
      </c>
      <c r="AX61" s="6">
        <v>71.66</v>
      </c>
      <c r="AY61" s="4"/>
      <c r="AZ61" s="6"/>
      <c r="BA61" s="5"/>
      <c r="BB61" s="5"/>
      <c r="BC61" s="4">
        <v>10</v>
      </c>
      <c r="BD61" s="6">
        <v>165.86</v>
      </c>
      <c r="BE61" s="4">
        <v>2</v>
      </c>
      <c r="BF61" s="6">
        <v>38.76</v>
      </c>
      <c r="BG61" s="5">
        <v>4</v>
      </c>
      <c r="BH61" s="5">
        <v>3.2792</v>
      </c>
      <c r="BI61" s="4">
        <v>8</v>
      </c>
      <c r="BJ61" s="6">
        <v>142.88</v>
      </c>
      <c r="BK61" s="4">
        <v>16</v>
      </c>
      <c r="BL61" s="6">
        <v>282.8</v>
      </c>
      <c r="BM61" s="5">
        <v>-0.5</v>
      </c>
      <c r="BN61" s="5">
        <v>-0.4948</v>
      </c>
      <c r="BO61" s="4"/>
      <c r="BP61" s="6"/>
      <c r="BQ61" s="4"/>
      <c r="BR61" s="6"/>
      <c r="BS61" s="5"/>
      <c r="BT61" s="5"/>
      <c r="BU61" s="4">
        <v>1</v>
      </c>
      <c r="BV61" s="6">
        <v>19.38</v>
      </c>
      <c r="BW61" s="4"/>
      <c r="BX61" s="6"/>
      <c r="BY61" s="5"/>
      <c r="BZ61" s="5"/>
      <c r="CA61" s="4">
        <v>2</v>
      </c>
      <c r="CB61" s="6">
        <v>32.9</v>
      </c>
      <c r="CC61" s="4"/>
      <c r="CD61" s="6"/>
      <c r="CE61" s="5"/>
      <c r="CF61" s="5"/>
      <c r="CG61" s="4">
        <v>6</v>
      </c>
      <c r="CH61" s="6">
        <v>93.54</v>
      </c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>
        <v>3</v>
      </c>
      <c r="EJ61" s="6">
        <v>52.28</v>
      </c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>
        <v>1</v>
      </c>
      <c r="GB61" s="6">
        <v>14.24</v>
      </c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6"/>
      <c r="IC61" s="4"/>
      <c r="ID61" s="6"/>
      <c r="IE61" s="5"/>
      <c r="IF61" s="5"/>
      <c r="IG61" s="4"/>
      <c r="IH61" s="6"/>
      <c r="II61" s="4"/>
      <c r="IJ61" s="6"/>
      <c r="IK61" s="5"/>
      <c r="IL61" s="5"/>
      <c r="IM61" s="4"/>
      <c r="IN61" s="6"/>
      <c r="IO61" s="4"/>
      <c r="IP61" s="6"/>
      <c r="IQ61" s="5"/>
      <c r="IR61" s="5"/>
      <c r="IS61" s="4"/>
      <c r="IT61" s="6"/>
      <c r="IU61" s="4"/>
      <c r="IV61" s="6"/>
      <c r="IW61" s="5"/>
      <c r="IX61" s="5"/>
      <c r="IY61" s="4"/>
      <c r="IZ61" s="6"/>
      <c r="JA61" s="4"/>
      <c r="JB61" s="6"/>
      <c r="JC61" s="5"/>
      <c r="JD61" s="5"/>
      <c r="JE61" s="4"/>
      <c r="JF61" s="6"/>
      <c r="JG61" s="4"/>
      <c r="JH61" s="6"/>
      <c r="JI61" s="5"/>
      <c r="JJ61" s="5"/>
      <c r="JK61" s="4">
        <v>523</v>
      </c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</row>
    <row r="62">
      <c r="A62" s="3" t="s">
        <v>136</v>
      </c>
      <c r="B62" s="3" t="s">
        <v>137</v>
      </c>
      <c r="C62" s="3" t="s">
        <v>138</v>
      </c>
      <c r="D62" s="3" t="s">
        <v>139</v>
      </c>
      <c r="E62" s="3" t="s">
        <v>152</v>
      </c>
      <c r="F62" s="3" t="s">
        <v>152</v>
      </c>
      <c r="G62" s="3" t="s">
        <v>152</v>
      </c>
      <c r="H62" s="3" t="s">
        <v>146</v>
      </c>
      <c r="I62" s="3" t="s">
        <v>254</v>
      </c>
      <c r="J62" s="3" t="s">
        <v>241</v>
      </c>
      <c r="K62" s="4">
        <v>468</v>
      </c>
      <c r="L62" s="4">
        <f>=ROUNDDOWN(58.5,0)</f>
      </c>
      <c r="M62" s="4"/>
      <c r="N62" s="5"/>
      <c r="O62" s="4"/>
      <c r="P62" s="4">
        <f>=ROUNDDOWN({0},0)</f>
      </c>
      <c r="Q62" s="4"/>
      <c r="R62" s="5"/>
      <c r="S62" s="4">
        <v>62</v>
      </c>
      <c r="T62" s="6">
        <v>1100.72</v>
      </c>
      <c r="U62" s="4">
        <v>17</v>
      </c>
      <c r="V62" s="6">
        <v>308.98</v>
      </c>
      <c r="W62" s="5">
        <v>2.6471</v>
      </c>
      <c r="X62" s="5">
        <v>2.5624</v>
      </c>
      <c r="Y62" s="4">
        <v>12</v>
      </c>
      <c r="Z62" s="6">
        <v>209.05</v>
      </c>
      <c r="AA62" s="4"/>
      <c r="AB62" s="6"/>
      <c r="AC62" s="5"/>
      <c r="AD62" s="5"/>
      <c r="AE62" s="4">
        <v>7</v>
      </c>
      <c r="AF62" s="6">
        <v>119.51</v>
      </c>
      <c r="AG62" s="4">
        <v>2</v>
      </c>
      <c r="AH62" s="6">
        <v>31.4</v>
      </c>
      <c r="AI62" s="5">
        <v>2.5</v>
      </c>
      <c r="AJ62" s="5">
        <v>2.8061</v>
      </c>
      <c r="AK62" s="4"/>
      <c r="AL62" s="6"/>
      <c r="AM62" s="4"/>
      <c r="AN62" s="6"/>
      <c r="AO62" s="5"/>
      <c r="AP62" s="5"/>
      <c r="AQ62" s="4">
        <v>12</v>
      </c>
      <c r="AR62" s="6">
        <v>227.34</v>
      </c>
      <c r="AS62" s="4"/>
      <c r="AT62" s="6"/>
      <c r="AU62" s="5"/>
      <c r="AV62" s="5"/>
      <c r="AW62" s="4">
        <v>5</v>
      </c>
      <c r="AX62" s="6">
        <v>88.11</v>
      </c>
      <c r="AY62" s="4">
        <v>1</v>
      </c>
      <c r="AZ62" s="6">
        <v>16.45</v>
      </c>
      <c r="BA62" s="5">
        <v>4</v>
      </c>
      <c r="BB62" s="5">
        <v>4.3562</v>
      </c>
      <c r="BC62" s="4">
        <v>14</v>
      </c>
      <c r="BD62" s="6">
        <v>249.24</v>
      </c>
      <c r="BE62" s="4">
        <v>5</v>
      </c>
      <c r="BF62" s="6">
        <v>88.11</v>
      </c>
      <c r="BG62" s="5">
        <v>1.8</v>
      </c>
      <c r="BH62" s="5">
        <v>1.8287</v>
      </c>
      <c r="BI62" s="4">
        <v>6</v>
      </c>
      <c r="BJ62" s="6">
        <v>99.98</v>
      </c>
      <c r="BK62" s="4">
        <v>7</v>
      </c>
      <c r="BL62" s="6">
        <v>119.92</v>
      </c>
      <c r="BM62" s="5">
        <v>-0.1429</v>
      </c>
      <c r="BN62" s="5">
        <v>-0.1663</v>
      </c>
      <c r="BO62" s="4"/>
      <c r="BP62" s="6"/>
      <c r="BQ62" s="4"/>
      <c r="BR62" s="6"/>
      <c r="BS62" s="5"/>
      <c r="BT62" s="5"/>
      <c r="BU62" s="4">
        <v>1</v>
      </c>
      <c r="BV62" s="6">
        <v>19.38</v>
      </c>
      <c r="BW62" s="4"/>
      <c r="BX62" s="6"/>
      <c r="BY62" s="5"/>
      <c r="BZ62" s="5"/>
      <c r="CA62" s="4">
        <v>3</v>
      </c>
      <c r="CB62" s="6">
        <v>55.21</v>
      </c>
      <c r="CC62" s="4">
        <v>1</v>
      </c>
      <c r="CD62" s="6">
        <v>21.61</v>
      </c>
      <c r="CE62" s="5">
        <v>2</v>
      </c>
      <c r="CF62" s="5">
        <v>1.5548</v>
      </c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>
        <v>1</v>
      </c>
      <c r="DN62" s="6">
        <v>31.49</v>
      </c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>
        <v>2</v>
      </c>
      <c r="EJ62" s="6">
        <v>32.9</v>
      </c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6"/>
      <c r="IC62" s="4"/>
      <c r="ID62" s="6"/>
      <c r="IE62" s="5"/>
      <c r="IF62" s="5"/>
      <c r="IG62" s="4"/>
      <c r="IH62" s="6"/>
      <c r="II62" s="4"/>
      <c r="IJ62" s="6"/>
      <c r="IK62" s="5"/>
      <c r="IL62" s="5"/>
      <c r="IM62" s="4"/>
      <c r="IN62" s="6"/>
      <c r="IO62" s="4"/>
      <c r="IP62" s="6"/>
      <c r="IQ62" s="5"/>
      <c r="IR62" s="5"/>
      <c r="IS62" s="4"/>
      <c r="IT62" s="6"/>
      <c r="IU62" s="4"/>
      <c r="IV62" s="6"/>
      <c r="IW62" s="5"/>
      <c r="IX62" s="5"/>
      <c r="IY62" s="4"/>
      <c r="IZ62" s="6"/>
      <c r="JA62" s="4"/>
      <c r="JB62" s="6"/>
      <c r="JC62" s="5"/>
      <c r="JD62" s="5"/>
      <c r="JE62" s="4"/>
      <c r="JF62" s="6"/>
      <c r="JG62" s="4"/>
      <c r="JH62" s="6"/>
      <c r="JI62" s="5"/>
      <c r="JJ62" s="5"/>
      <c r="JK62" s="4">
        <v>468</v>
      </c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</row>
    <row r="63">
      <c r="A63" s="3" t="s">
        <v>136</v>
      </c>
      <c r="B63" s="3" t="s">
        <v>137</v>
      </c>
      <c r="C63" s="3" t="s">
        <v>138</v>
      </c>
      <c r="D63" s="3" t="s">
        <v>139</v>
      </c>
      <c r="E63" s="3" t="s">
        <v>153</v>
      </c>
      <c r="F63" s="3" t="s">
        <v>153</v>
      </c>
      <c r="G63" s="3" t="s">
        <v>153</v>
      </c>
      <c r="H63" s="3" t="s">
        <v>143</v>
      </c>
      <c r="I63" s="3" t="s">
        <v>255</v>
      </c>
      <c r="J63" s="3" t="s">
        <v>228</v>
      </c>
      <c r="K63" s="4">
        <v>51</v>
      </c>
      <c r="L63" s="4">
        <f>=ROUNDDOWN(3.64285714285714,0)</f>
      </c>
      <c r="M63" s="4">
        <v>486</v>
      </c>
      <c r="N63" s="5">
        <v>0.6337</v>
      </c>
      <c r="O63" s="4"/>
      <c r="P63" s="4">
        <f>=ROUNDDOWN({0},0)</f>
      </c>
      <c r="Q63" s="4"/>
      <c r="R63" s="5"/>
      <c r="S63" s="4">
        <v>84</v>
      </c>
      <c r="T63" s="6">
        <v>4001.09</v>
      </c>
      <c r="U63" s="4"/>
      <c r="V63" s="6"/>
      <c r="W63" s="5"/>
      <c r="X63" s="5"/>
      <c r="Y63" s="4">
        <v>29</v>
      </c>
      <c r="Z63" s="6">
        <v>1373.72</v>
      </c>
      <c r="AA63" s="4"/>
      <c r="AB63" s="6"/>
      <c r="AC63" s="5"/>
      <c r="AD63" s="5"/>
      <c r="AE63" s="4">
        <v>6</v>
      </c>
      <c r="AF63" s="6">
        <v>295.18</v>
      </c>
      <c r="AG63" s="4"/>
      <c r="AH63" s="6"/>
      <c r="AI63" s="5"/>
      <c r="AJ63" s="5"/>
      <c r="AK63" s="4"/>
      <c r="AL63" s="6"/>
      <c r="AM63" s="4"/>
      <c r="AN63" s="6"/>
      <c r="AO63" s="5"/>
      <c r="AP63" s="5"/>
      <c r="AQ63" s="4">
        <v>11</v>
      </c>
      <c r="AR63" s="6">
        <v>539.34</v>
      </c>
      <c r="AS63" s="4"/>
      <c r="AT63" s="6"/>
      <c r="AU63" s="5"/>
      <c r="AV63" s="5"/>
      <c r="AW63" s="4">
        <v>11</v>
      </c>
      <c r="AX63" s="6">
        <v>488.18</v>
      </c>
      <c r="AY63" s="4"/>
      <c r="AZ63" s="6"/>
      <c r="BA63" s="5"/>
      <c r="BB63" s="5"/>
      <c r="BC63" s="4">
        <v>11</v>
      </c>
      <c r="BD63" s="6">
        <v>511.3</v>
      </c>
      <c r="BE63" s="4"/>
      <c r="BF63" s="6"/>
      <c r="BG63" s="5"/>
      <c r="BH63" s="5"/>
      <c r="BI63" s="4">
        <v>7</v>
      </c>
      <c r="BJ63" s="6">
        <v>361.2</v>
      </c>
      <c r="BK63" s="4"/>
      <c r="BL63" s="6"/>
      <c r="BM63" s="5"/>
      <c r="BN63" s="5"/>
      <c r="BO63" s="4">
        <v>3</v>
      </c>
      <c r="BP63" s="6">
        <v>136.17</v>
      </c>
      <c r="BQ63" s="4"/>
      <c r="BR63" s="6"/>
      <c r="BS63" s="5"/>
      <c r="BT63" s="5"/>
      <c r="BU63" s="4"/>
      <c r="BV63" s="6"/>
      <c r="BW63" s="4"/>
      <c r="BX63" s="6"/>
      <c r="BY63" s="5"/>
      <c r="BZ63" s="5"/>
      <c r="CA63" s="4">
        <v>2</v>
      </c>
      <c r="CB63" s="6">
        <v>95.56</v>
      </c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/>
      <c r="CN63" s="6"/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>
        <v>4</v>
      </c>
      <c r="DX63" s="6">
        <v>200.44</v>
      </c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6"/>
      <c r="IC63" s="4"/>
      <c r="ID63" s="6"/>
      <c r="IE63" s="5"/>
      <c r="IF63" s="5"/>
      <c r="IG63" s="4"/>
      <c r="IH63" s="6"/>
      <c r="II63" s="4"/>
      <c r="IJ63" s="6"/>
      <c r="IK63" s="5"/>
      <c r="IL63" s="5"/>
      <c r="IM63" s="4"/>
      <c r="IN63" s="6"/>
      <c r="IO63" s="4"/>
      <c r="IP63" s="6"/>
      <c r="IQ63" s="5"/>
      <c r="IR63" s="5"/>
      <c r="IS63" s="4"/>
      <c r="IT63" s="6"/>
      <c r="IU63" s="4"/>
      <c r="IV63" s="6"/>
      <c r="IW63" s="5"/>
      <c r="IX63" s="5"/>
      <c r="IY63" s="4"/>
      <c r="IZ63" s="6"/>
      <c r="JA63" s="4"/>
      <c r="JB63" s="6"/>
      <c r="JC63" s="5"/>
      <c r="JD63" s="5"/>
      <c r="JE63" s="4"/>
      <c r="JF63" s="6"/>
      <c r="JG63" s="4"/>
      <c r="JH63" s="6"/>
      <c r="JI63" s="5"/>
      <c r="JJ63" s="5"/>
      <c r="JK63" s="4">
        <v>51</v>
      </c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>
        <v>156</v>
      </c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>
        <v>330</v>
      </c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</row>
    <row r="64">
      <c r="A64" s="3" t="s">
        <v>136</v>
      </c>
      <c r="B64" s="3" t="s">
        <v>137</v>
      </c>
      <c r="C64" s="3" t="s">
        <v>138</v>
      </c>
      <c r="D64" s="3" t="s">
        <v>139</v>
      </c>
      <c r="E64" s="3" t="s">
        <v>153</v>
      </c>
      <c r="F64" s="3" t="s">
        <v>153</v>
      </c>
      <c r="G64" s="3" t="s">
        <v>153</v>
      </c>
      <c r="H64" s="3" t="s">
        <v>143</v>
      </c>
      <c r="I64" s="3" t="s">
        <v>240</v>
      </c>
      <c r="J64" s="3" t="s">
        <v>228</v>
      </c>
      <c r="K64" s="4"/>
      <c r="L64" s="4">
        <f>=ROUNDDOWN({0},0)</f>
      </c>
      <c r="M64" s="4">
        <v>480</v>
      </c>
      <c r="N64" s="5">
        <v>0.2121</v>
      </c>
      <c r="O64" s="4"/>
      <c r="P64" s="4">
        <f>=ROUNDDOWN({0},0)</f>
      </c>
      <c r="Q64" s="4"/>
      <c r="R64" s="5"/>
      <c r="S64" s="4">
        <v>37</v>
      </c>
      <c r="T64" s="6">
        <v>1887.62</v>
      </c>
      <c r="U64" s="4"/>
      <c r="V64" s="6"/>
      <c r="W64" s="5"/>
      <c r="X64" s="5"/>
      <c r="Y64" s="4">
        <v>9</v>
      </c>
      <c r="Z64" s="6">
        <v>451.44</v>
      </c>
      <c r="AA64" s="4"/>
      <c r="AB64" s="6"/>
      <c r="AC64" s="5"/>
      <c r="AD64" s="5"/>
      <c r="AE64" s="4">
        <v>3</v>
      </c>
      <c r="AF64" s="6">
        <v>150.48</v>
      </c>
      <c r="AG64" s="4"/>
      <c r="AH64" s="6"/>
      <c r="AI64" s="5"/>
      <c r="AJ64" s="5"/>
      <c r="AK64" s="4"/>
      <c r="AL64" s="6"/>
      <c r="AM64" s="4"/>
      <c r="AN64" s="6"/>
      <c r="AO64" s="5"/>
      <c r="AP64" s="5"/>
      <c r="AQ64" s="4">
        <v>11</v>
      </c>
      <c r="AR64" s="6">
        <v>563.46</v>
      </c>
      <c r="AS64" s="4"/>
      <c r="AT64" s="6"/>
      <c r="AU64" s="5"/>
      <c r="AV64" s="5"/>
      <c r="AW64" s="4"/>
      <c r="AX64" s="6"/>
      <c r="AY64" s="4"/>
      <c r="AZ64" s="6"/>
      <c r="BA64" s="5"/>
      <c r="BB64" s="5"/>
      <c r="BC64" s="4">
        <v>3</v>
      </c>
      <c r="BD64" s="6">
        <v>150.48</v>
      </c>
      <c r="BE64" s="4"/>
      <c r="BF64" s="6"/>
      <c r="BG64" s="5"/>
      <c r="BH64" s="5"/>
      <c r="BI64" s="4">
        <v>5</v>
      </c>
      <c r="BJ64" s="6">
        <v>258</v>
      </c>
      <c r="BK64" s="4"/>
      <c r="BL64" s="6"/>
      <c r="BM64" s="5"/>
      <c r="BN64" s="5"/>
      <c r="BO64" s="4">
        <v>2</v>
      </c>
      <c r="BP64" s="6">
        <v>95.56</v>
      </c>
      <c r="BQ64" s="4"/>
      <c r="BR64" s="6"/>
      <c r="BS64" s="5"/>
      <c r="BT64" s="5"/>
      <c r="BU64" s="4"/>
      <c r="BV64" s="6"/>
      <c r="BW64" s="4"/>
      <c r="BX64" s="6"/>
      <c r="BY64" s="5"/>
      <c r="BZ64" s="5"/>
      <c r="CA64" s="4">
        <v>1</v>
      </c>
      <c r="CB64" s="6">
        <v>62.68</v>
      </c>
      <c r="CC64" s="4"/>
      <c r="CD64" s="6"/>
      <c r="CE64" s="5"/>
      <c r="CF64" s="5"/>
      <c r="CG64" s="4">
        <v>1</v>
      </c>
      <c r="CH64" s="6">
        <v>52.32</v>
      </c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>
        <v>2</v>
      </c>
      <c r="DX64" s="6">
        <v>103.2</v>
      </c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6"/>
      <c r="IC64" s="4"/>
      <c r="ID64" s="6"/>
      <c r="IE64" s="5"/>
      <c r="IF64" s="5"/>
      <c r="IG64" s="4"/>
      <c r="IH64" s="6"/>
      <c r="II64" s="4"/>
      <c r="IJ64" s="6"/>
      <c r="IK64" s="5"/>
      <c r="IL64" s="5"/>
      <c r="IM64" s="4"/>
      <c r="IN64" s="6"/>
      <c r="IO64" s="4"/>
      <c r="IP64" s="6"/>
      <c r="IQ64" s="5"/>
      <c r="IR64" s="5"/>
      <c r="IS64" s="4"/>
      <c r="IT64" s="6"/>
      <c r="IU64" s="4"/>
      <c r="IV64" s="6"/>
      <c r="IW64" s="5"/>
      <c r="IX64" s="5"/>
      <c r="IY64" s="4"/>
      <c r="IZ64" s="6"/>
      <c r="JA64" s="4"/>
      <c r="JB64" s="6"/>
      <c r="JC64" s="5"/>
      <c r="JD64" s="5"/>
      <c r="JE64" s="4"/>
      <c r="JF64" s="6"/>
      <c r="JG64" s="4"/>
      <c r="JH64" s="6"/>
      <c r="JI64" s="5"/>
      <c r="JJ64" s="5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>
        <v>200</v>
      </c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>
        <v>280</v>
      </c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</row>
    <row r="65">
      <c r="A65" s="3" t="s">
        <v>136</v>
      </c>
      <c r="B65" s="3" t="s">
        <v>137</v>
      </c>
      <c r="C65" s="3" t="s">
        <v>138</v>
      </c>
      <c r="D65" s="3" t="s">
        <v>139</v>
      </c>
      <c r="E65" s="3" t="s">
        <v>153</v>
      </c>
      <c r="F65" s="3" t="s">
        <v>153</v>
      </c>
      <c r="G65" s="3" t="s">
        <v>153</v>
      </c>
      <c r="H65" s="3" t="s">
        <v>143</v>
      </c>
      <c r="I65" s="3" t="s">
        <v>230</v>
      </c>
      <c r="J65" s="3" t="s">
        <v>226</v>
      </c>
      <c r="K65" s="4"/>
      <c r="L65" s="4">
        <f>=ROUNDDOWN({0},0)</f>
      </c>
      <c r="M65" s="4">
        <v>714</v>
      </c>
      <c r="N65" s="5"/>
      <c r="O65" s="4"/>
      <c r="P65" s="4">
        <f>=ROUNDDOWN({0},0)</f>
      </c>
      <c r="Q65" s="4"/>
      <c r="R65" s="5"/>
      <c r="S65" s="4">
        <v>4</v>
      </c>
      <c r="T65" s="6">
        <v>184.51</v>
      </c>
      <c r="U65" s="4"/>
      <c r="V65" s="6"/>
      <c r="W65" s="5"/>
      <c r="X65" s="5"/>
      <c r="Y65" s="4"/>
      <c r="Z65" s="6"/>
      <c r="AA65" s="4"/>
      <c r="AB65" s="6"/>
      <c r="AC65" s="5"/>
      <c r="AD65" s="5"/>
      <c r="AE65" s="4"/>
      <c r="AF65" s="6"/>
      <c r="AG65" s="4"/>
      <c r="AH65" s="6"/>
      <c r="AI65" s="5"/>
      <c r="AJ65" s="5"/>
      <c r="AK65" s="4"/>
      <c r="AL65" s="6"/>
      <c r="AM65" s="4"/>
      <c r="AN65" s="6"/>
      <c r="AO65" s="5"/>
      <c r="AP65" s="5"/>
      <c r="AQ65" s="4">
        <v>3</v>
      </c>
      <c r="AR65" s="6">
        <v>138.87</v>
      </c>
      <c r="AS65" s="4"/>
      <c r="AT65" s="6"/>
      <c r="AU65" s="5"/>
      <c r="AV65" s="5"/>
      <c r="AW65" s="4"/>
      <c r="AX65" s="6"/>
      <c r="AY65" s="4"/>
      <c r="AZ65" s="6"/>
      <c r="BA65" s="5"/>
      <c r="BB65" s="5"/>
      <c r="BC65" s="4"/>
      <c r="BD65" s="6"/>
      <c r="BE65" s="4"/>
      <c r="BF65" s="6"/>
      <c r="BG65" s="5"/>
      <c r="BH65" s="5"/>
      <c r="BI65" s="4">
        <v>1</v>
      </c>
      <c r="BJ65" s="6">
        <v>45.64</v>
      </c>
      <c r="BK65" s="4"/>
      <c r="BL65" s="6"/>
      <c r="BM65" s="5"/>
      <c r="BN65" s="5"/>
      <c r="BO65" s="4"/>
      <c r="BP65" s="6"/>
      <c r="BQ65" s="4"/>
      <c r="BR65" s="6"/>
      <c r="BS65" s="5"/>
      <c r="BT65" s="5"/>
      <c r="BU65" s="4"/>
      <c r="BV65" s="6"/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/>
      <c r="CT65" s="6"/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6"/>
      <c r="IC65" s="4"/>
      <c r="ID65" s="6"/>
      <c r="IE65" s="5"/>
      <c r="IF65" s="5"/>
      <c r="IG65" s="4"/>
      <c r="IH65" s="6"/>
      <c r="II65" s="4"/>
      <c r="IJ65" s="6"/>
      <c r="IK65" s="5"/>
      <c r="IL65" s="5"/>
      <c r="IM65" s="4"/>
      <c r="IN65" s="6"/>
      <c r="IO65" s="4"/>
      <c r="IP65" s="6"/>
      <c r="IQ65" s="5"/>
      <c r="IR65" s="5"/>
      <c r="IS65" s="4"/>
      <c r="IT65" s="6"/>
      <c r="IU65" s="4"/>
      <c r="IV65" s="6"/>
      <c r="IW65" s="5"/>
      <c r="IX65" s="5"/>
      <c r="IY65" s="4"/>
      <c r="IZ65" s="6"/>
      <c r="JA65" s="4"/>
      <c r="JB65" s="6"/>
      <c r="JC65" s="5"/>
      <c r="JD65" s="5"/>
      <c r="JE65" s="4"/>
      <c r="JF65" s="6"/>
      <c r="JG65" s="4"/>
      <c r="JH65" s="6"/>
      <c r="JI65" s="5"/>
      <c r="JJ65" s="5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>
        <v>164</v>
      </c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>
        <v>200</v>
      </c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>
        <v>100</v>
      </c>
      <c r="LH65" s="4"/>
      <c r="LI65" s="4"/>
      <c r="LJ65" s="4"/>
      <c r="LK65" s="4"/>
      <c r="LL65" s="4"/>
      <c r="LM65" s="4">
        <v>250</v>
      </c>
    </row>
    <row r="66">
      <c r="A66" s="3" t="s">
        <v>136</v>
      </c>
      <c r="B66" s="3" t="s">
        <v>137</v>
      </c>
      <c r="C66" s="3" t="s">
        <v>138</v>
      </c>
      <c r="D66" s="3" t="s">
        <v>139</v>
      </c>
      <c r="E66" s="3" t="s">
        <v>153</v>
      </c>
      <c r="F66" s="3" t="s">
        <v>153</v>
      </c>
      <c r="G66" s="3" t="s">
        <v>153</v>
      </c>
      <c r="H66" s="3" t="s">
        <v>143</v>
      </c>
      <c r="I66" s="3" t="s">
        <v>227</v>
      </c>
      <c r="J66" s="3" t="s">
        <v>226</v>
      </c>
      <c r="K66" s="4"/>
      <c r="L66" s="4">
        <f>=ROUNDDOWN({0},0)</f>
      </c>
      <c r="M66" s="4">
        <v>1200</v>
      </c>
      <c r="N66" s="5"/>
      <c r="O66" s="4"/>
      <c r="P66" s="4">
        <f>=ROUNDDOWN({0},0)</f>
      </c>
      <c r="Q66" s="4"/>
      <c r="R66" s="5"/>
      <c r="S66" s="4">
        <v>2</v>
      </c>
      <c r="T66" s="6">
        <v>97.24</v>
      </c>
      <c r="U66" s="4"/>
      <c r="V66" s="6"/>
      <c r="W66" s="5"/>
      <c r="X66" s="5"/>
      <c r="Y66" s="4"/>
      <c r="Z66" s="6"/>
      <c r="AA66" s="4"/>
      <c r="AB66" s="6"/>
      <c r="AC66" s="5"/>
      <c r="AD66" s="5"/>
      <c r="AE66" s="4"/>
      <c r="AF66" s="6"/>
      <c r="AG66" s="4"/>
      <c r="AH66" s="6"/>
      <c r="AI66" s="5"/>
      <c r="AJ66" s="5"/>
      <c r="AK66" s="4"/>
      <c r="AL66" s="6"/>
      <c r="AM66" s="4"/>
      <c r="AN66" s="6"/>
      <c r="AO66" s="5"/>
      <c r="AP66" s="5"/>
      <c r="AQ66" s="4"/>
      <c r="AR66" s="6"/>
      <c r="AS66" s="4"/>
      <c r="AT66" s="6"/>
      <c r="AU66" s="5"/>
      <c r="AV66" s="5"/>
      <c r="AW66" s="4"/>
      <c r="AX66" s="6"/>
      <c r="AY66" s="4"/>
      <c r="AZ66" s="6"/>
      <c r="BA66" s="5"/>
      <c r="BB66" s="5"/>
      <c r="BC66" s="4"/>
      <c r="BD66" s="6"/>
      <c r="BE66" s="4"/>
      <c r="BF66" s="6"/>
      <c r="BG66" s="5"/>
      <c r="BH66" s="5"/>
      <c r="BI66" s="4"/>
      <c r="BJ66" s="6"/>
      <c r="BK66" s="4"/>
      <c r="BL66" s="6"/>
      <c r="BM66" s="5"/>
      <c r="BN66" s="5"/>
      <c r="BO66" s="4"/>
      <c r="BP66" s="6"/>
      <c r="BQ66" s="4"/>
      <c r="BR66" s="6"/>
      <c r="BS66" s="5"/>
      <c r="BT66" s="5"/>
      <c r="BU66" s="4"/>
      <c r="BV66" s="6"/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/>
      <c r="DF66" s="6"/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>
        <v>2</v>
      </c>
      <c r="DX66" s="6">
        <v>97.24</v>
      </c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6"/>
      <c r="IC66" s="4"/>
      <c r="ID66" s="6"/>
      <c r="IE66" s="5"/>
      <c r="IF66" s="5"/>
      <c r="IG66" s="4"/>
      <c r="IH66" s="6"/>
      <c r="II66" s="4"/>
      <c r="IJ66" s="6"/>
      <c r="IK66" s="5"/>
      <c r="IL66" s="5"/>
      <c r="IM66" s="4"/>
      <c r="IN66" s="6"/>
      <c r="IO66" s="4"/>
      <c r="IP66" s="6"/>
      <c r="IQ66" s="5"/>
      <c r="IR66" s="5"/>
      <c r="IS66" s="4"/>
      <c r="IT66" s="6"/>
      <c r="IU66" s="4"/>
      <c r="IV66" s="6"/>
      <c r="IW66" s="5"/>
      <c r="IX66" s="5"/>
      <c r="IY66" s="4"/>
      <c r="IZ66" s="6"/>
      <c r="JA66" s="4"/>
      <c r="JB66" s="6"/>
      <c r="JC66" s="5"/>
      <c r="JD66" s="5"/>
      <c r="JE66" s="4"/>
      <c r="JF66" s="6"/>
      <c r="JG66" s="4"/>
      <c r="JH66" s="6"/>
      <c r="JI66" s="5"/>
      <c r="JJ66" s="5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>
        <v>330</v>
      </c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>
        <v>270</v>
      </c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>
        <v>340</v>
      </c>
      <c r="LH66" s="4"/>
      <c r="LI66" s="4"/>
      <c r="LJ66" s="4"/>
      <c r="LK66" s="4"/>
      <c r="LL66" s="4"/>
      <c r="LM66" s="4">
        <v>260</v>
      </c>
    </row>
    <row r="67">
      <c r="A67" s="3" t="s">
        <v>136</v>
      </c>
      <c r="B67" s="3" t="s">
        <v>137</v>
      </c>
      <c r="C67" s="3" t="s">
        <v>138</v>
      </c>
      <c r="D67" s="3" t="s">
        <v>139</v>
      </c>
      <c r="E67" s="3" t="s">
        <v>154</v>
      </c>
      <c r="F67" s="3" t="s">
        <v>154</v>
      </c>
      <c r="G67" s="3" t="s">
        <v>154</v>
      </c>
      <c r="H67" s="3" t="s">
        <v>146</v>
      </c>
      <c r="I67" s="3" t="s">
        <v>234</v>
      </c>
      <c r="J67" s="3" t="s">
        <v>241</v>
      </c>
      <c r="K67" s="4"/>
      <c r="L67" s="4">
        <f>=ROUNDDOWN({0},0)</f>
      </c>
      <c r="M67" s="4"/>
      <c r="N67" s="5"/>
      <c r="O67" s="4"/>
      <c r="P67" s="4">
        <f>=ROUNDDOWN({0},0)</f>
      </c>
      <c r="Q67" s="4"/>
      <c r="R67" s="5"/>
      <c r="S67" s="4"/>
      <c r="T67" s="6"/>
      <c r="U67" s="4">
        <v>72</v>
      </c>
      <c r="V67" s="6">
        <v>1447.67</v>
      </c>
      <c r="W67" s="5"/>
      <c r="X67" s="5"/>
      <c r="Y67" s="4"/>
      <c r="Z67" s="6"/>
      <c r="AA67" s="4">
        <v>20</v>
      </c>
      <c r="AB67" s="6">
        <v>324.12</v>
      </c>
      <c r="AC67" s="5"/>
      <c r="AD67" s="5"/>
      <c r="AE67" s="4"/>
      <c r="AF67" s="6"/>
      <c r="AG67" s="4">
        <v>4</v>
      </c>
      <c r="AH67" s="6">
        <v>69.66</v>
      </c>
      <c r="AI67" s="5"/>
      <c r="AJ67" s="5"/>
      <c r="AK67" s="4"/>
      <c r="AL67" s="6"/>
      <c r="AM67" s="4"/>
      <c r="AN67" s="6"/>
      <c r="AO67" s="5"/>
      <c r="AP67" s="5"/>
      <c r="AQ67" s="4"/>
      <c r="AR67" s="6"/>
      <c r="AS67" s="4"/>
      <c r="AT67" s="6"/>
      <c r="AU67" s="5"/>
      <c r="AV67" s="5"/>
      <c r="AW67" s="4"/>
      <c r="AX67" s="6"/>
      <c r="AY67" s="4"/>
      <c r="AZ67" s="6"/>
      <c r="BA67" s="5"/>
      <c r="BB67" s="5"/>
      <c r="BC67" s="4"/>
      <c r="BD67" s="6"/>
      <c r="BE67" s="4"/>
      <c r="BF67" s="6"/>
      <c r="BG67" s="5"/>
      <c r="BH67" s="5"/>
      <c r="BI67" s="4"/>
      <c r="BJ67" s="6"/>
      <c r="BK67" s="4">
        <v>26</v>
      </c>
      <c r="BL67" s="6">
        <v>587.1</v>
      </c>
      <c r="BM67" s="5"/>
      <c r="BN67" s="5"/>
      <c r="BO67" s="4"/>
      <c r="BP67" s="6"/>
      <c r="BQ67" s="4">
        <v>1</v>
      </c>
      <c r="BR67" s="6">
        <v>13.66</v>
      </c>
      <c r="BS67" s="5"/>
      <c r="BT67" s="5"/>
      <c r="BU67" s="4"/>
      <c r="BV67" s="6"/>
      <c r="BW67" s="4">
        <v>3</v>
      </c>
      <c r="BX67" s="6">
        <v>69.12</v>
      </c>
      <c r="BY67" s="5"/>
      <c r="BZ67" s="5"/>
      <c r="CA67" s="4"/>
      <c r="CB67" s="6"/>
      <c r="CC67" s="4">
        <v>8</v>
      </c>
      <c r="CD67" s="6">
        <v>156.76</v>
      </c>
      <c r="CE67" s="5"/>
      <c r="CF67" s="5"/>
      <c r="CG67" s="4"/>
      <c r="CH67" s="6"/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>
        <v>8</v>
      </c>
      <c r="DB67" s="6">
        <v>187.1</v>
      </c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>
        <v>1</v>
      </c>
      <c r="EX67" s="6">
        <v>18.91</v>
      </c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>
        <v>1</v>
      </c>
      <c r="FV67" s="6">
        <v>21.24</v>
      </c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6"/>
      <c r="IC67" s="4"/>
      <c r="ID67" s="6"/>
      <c r="IE67" s="5"/>
      <c r="IF67" s="5"/>
      <c r="IG67" s="4"/>
      <c r="IH67" s="6"/>
      <c r="II67" s="4"/>
      <c r="IJ67" s="6"/>
      <c r="IK67" s="5"/>
      <c r="IL67" s="5"/>
      <c r="IM67" s="4"/>
      <c r="IN67" s="6"/>
      <c r="IO67" s="4"/>
      <c r="IP67" s="6"/>
      <c r="IQ67" s="5"/>
      <c r="IR67" s="5"/>
      <c r="IS67" s="4"/>
      <c r="IT67" s="6"/>
      <c r="IU67" s="4"/>
      <c r="IV67" s="6"/>
      <c r="IW67" s="5"/>
      <c r="IX67" s="5"/>
      <c r="IY67" s="4"/>
      <c r="IZ67" s="6"/>
      <c r="JA67" s="4"/>
      <c r="JB67" s="6"/>
      <c r="JC67" s="5"/>
      <c r="JD67" s="5"/>
      <c r="JE67" s="4"/>
      <c r="JF67" s="6"/>
      <c r="JG67" s="4"/>
      <c r="JH67" s="6"/>
      <c r="JI67" s="5"/>
      <c r="JJ67" s="5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</row>
    <row r="68">
      <c r="A68" s="3" t="s">
        <v>136</v>
      </c>
      <c r="B68" s="3" t="s">
        <v>137</v>
      </c>
      <c r="C68" s="3" t="s">
        <v>138</v>
      </c>
      <c r="D68" s="3" t="s">
        <v>139</v>
      </c>
      <c r="E68" s="3" t="s">
        <v>154</v>
      </c>
      <c r="F68" s="3" t="s">
        <v>154</v>
      </c>
      <c r="G68" s="3" t="s">
        <v>154</v>
      </c>
      <c r="H68" s="3" t="s">
        <v>146</v>
      </c>
      <c r="I68" s="3" t="s">
        <v>245</v>
      </c>
      <c r="J68" s="3" t="s">
        <v>241</v>
      </c>
      <c r="K68" s="4"/>
      <c r="L68" s="4">
        <f>=ROUNDDOWN({0},0)</f>
      </c>
      <c r="M68" s="4"/>
      <c r="N68" s="5"/>
      <c r="O68" s="4"/>
      <c r="P68" s="4">
        <f>=ROUNDDOWN({0},0)</f>
      </c>
      <c r="Q68" s="4"/>
      <c r="R68" s="5"/>
      <c r="S68" s="4"/>
      <c r="T68" s="6"/>
      <c r="U68" s="4">
        <v>65</v>
      </c>
      <c r="V68" s="6">
        <v>1391.61</v>
      </c>
      <c r="W68" s="5"/>
      <c r="X68" s="5"/>
      <c r="Y68" s="4"/>
      <c r="Z68" s="6"/>
      <c r="AA68" s="4">
        <v>9</v>
      </c>
      <c r="AB68" s="6">
        <v>148.79</v>
      </c>
      <c r="AC68" s="5"/>
      <c r="AD68" s="5"/>
      <c r="AE68" s="4"/>
      <c r="AF68" s="6"/>
      <c r="AG68" s="4">
        <v>9</v>
      </c>
      <c r="AH68" s="6">
        <v>156.15</v>
      </c>
      <c r="AI68" s="5"/>
      <c r="AJ68" s="5"/>
      <c r="AK68" s="4"/>
      <c r="AL68" s="6"/>
      <c r="AM68" s="4"/>
      <c r="AN68" s="6"/>
      <c r="AO68" s="5"/>
      <c r="AP68" s="5"/>
      <c r="AQ68" s="4"/>
      <c r="AR68" s="6"/>
      <c r="AS68" s="4"/>
      <c r="AT68" s="6"/>
      <c r="AU68" s="5"/>
      <c r="AV68" s="5"/>
      <c r="AW68" s="4"/>
      <c r="AX68" s="6"/>
      <c r="AY68" s="4"/>
      <c r="AZ68" s="6"/>
      <c r="BA68" s="5"/>
      <c r="BB68" s="5"/>
      <c r="BC68" s="4"/>
      <c r="BD68" s="6"/>
      <c r="BE68" s="4"/>
      <c r="BF68" s="6"/>
      <c r="BG68" s="5"/>
      <c r="BH68" s="5"/>
      <c r="BI68" s="4"/>
      <c r="BJ68" s="6"/>
      <c r="BK68" s="4">
        <v>32</v>
      </c>
      <c r="BL68" s="6">
        <v>715.72</v>
      </c>
      <c r="BM68" s="5"/>
      <c r="BN68" s="5"/>
      <c r="BO68" s="4"/>
      <c r="BP68" s="6"/>
      <c r="BQ68" s="4">
        <v>2</v>
      </c>
      <c r="BR68" s="6">
        <v>33.19</v>
      </c>
      <c r="BS68" s="5"/>
      <c r="BT68" s="5"/>
      <c r="BU68" s="4"/>
      <c r="BV68" s="6"/>
      <c r="BW68" s="4">
        <v>4</v>
      </c>
      <c r="BX68" s="6">
        <v>92.17</v>
      </c>
      <c r="BY68" s="5"/>
      <c r="BZ68" s="5"/>
      <c r="CA68" s="4"/>
      <c r="CB68" s="6"/>
      <c r="CC68" s="4">
        <v>8</v>
      </c>
      <c r="CD68" s="6">
        <v>200.6</v>
      </c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/>
      <c r="DL68" s="6"/>
      <c r="DM68" s="4">
        <v>1</v>
      </c>
      <c r="DN68" s="6">
        <v>44.99</v>
      </c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6"/>
      <c r="IC68" s="4"/>
      <c r="ID68" s="6"/>
      <c r="IE68" s="5"/>
      <c r="IF68" s="5"/>
      <c r="IG68" s="4"/>
      <c r="IH68" s="6"/>
      <c r="II68" s="4"/>
      <c r="IJ68" s="6"/>
      <c r="IK68" s="5"/>
      <c r="IL68" s="5"/>
      <c r="IM68" s="4"/>
      <c r="IN68" s="6"/>
      <c r="IO68" s="4"/>
      <c r="IP68" s="6"/>
      <c r="IQ68" s="5"/>
      <c r="IR68" s="5"/>
      <c r="IS68" s="4"/>
      <c r="IT68" s="6"/>
      <c r="IU68" s="4"/>
      <c r="IV68" s="6"/>
      <c r="IW68" s="5"/>
      <c r="IX68" s="5"/>
      <c r="IY68" s="4"/>
      <c r="IZ68" s="6"/>
      <c r="JA68" s="4"/>
      <c r="JB68" s="6"/>
      <c r="JC68" s="5"/>
      <c r="JD68" s="5"/>
      <c r="JE68" s="4"/>
      <c r="JF68" s="6"/>
      <c r="JG68" s="4"/>
      <c r="JH68" s="6"/>
      <c r="JI68" s="5"/>
      <c r="JJ68" s="5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</row>
    <row r="69">
      <c r="A69" s="3" t="s">
        <v>136</v>
      </c>
      <c r="B69" s="3" t="s">
        <v>137</v>
      </c>
      <c r="C69" s="3" t="s">
        <v>138</v>
      </c>
      <c r="D69" s="3" t="s">
        <v>139</v>
      </c>
      <c r="E69" s="3" t="s">
        <v>154</v>
      </c>
      <c r="F69" s="3" t="s">
        <v>154</v>
      </c>
      <c r="G69" s="3" t="s">
        <v>154</v>
      </c>
      <c r="H69" s="3" t="s">
        <v>146</v>
      </c>
      <c r="I69" s="3" t="s">
        <v>230</v>
      </c>
      <c r="J69" s="3" t="s">
        <v>241</v>
      </c>
      <c r="K69" s="4"/>
      <c r="L69" s="4">
        <f>=ROUNDDOWN({0},0)</f>
      </c>
      <c r="M69" s="4"/>
      <c r="N69" s="5"/>
      <c r="O69" s="4"/>
      <c r="P69" s="4">
        <f>=ROUNDDOWN({0},0)</f>
      </c>
      <c r="Q69" s="4"/>
      <c r="R69" s="5"/>
      <c r="S69" s="4"/>
      <c r="T69" s="6"/>
      <c r="U69" s="4">
        <v>69</v>
      </c>
      <c r="V69" s="6">
        <v>1455</v>
      </c>
      <c r="W69" s="5"/>
      <c r="X69" s="5"/>
      <c r="Y69" s="4"/>
      <c r="Z69" s="6"/>
      <c r="AA69" s="4">
        <v>7</v>
      </c>
      <c r="AB69" s="6">
        <v>117.17</v>
      </c>
      <c r="AC69" s="5"/>
      <c r="AD69" s="5"/>
      <c r="AE69" s="4"/>
      <c r="AF69" s="6"/>
      <c r="AG69" s="4">
        <v>10</v>
      </c>
      <c r="AH69" s="6">
        <v>179.65</v>
      </c>
      <c r="AI69" s="5"/>
      <c r="AJ69" s="5"/>
      <c r="AK69" s="4"/>
      <c r="AL69" s="6"/>
      <c r="AM69" s="4"/>
      <c r="AN69" s="6"/>
      <c r="AO69" s="5"/>
      <c r="AP69" s="5"/>
      <c r="AQ69" s="4"/>
      <c r="AR69" s="6"/>
      <c r="AS69" s="4"/>
      <c r="AT69" s="6"/>
      <c r="AU69" s="5"/>
      <c r="AV69" s="5"/>
      <c r="AW69" s="4"/>
      <c r="AX69" s="6"/>
      <c r="AY69" s="4"/>
      <c r="AZ69" s="6"/>
      <c r="BA69" s="5"/>
      <c r="BB69" s="5"/>
      <c r="BC69" s="4"/>
      <c r="BD69" s="6"/>
      <c r="BE69" s="4"/>
      <c r="BF69" s="6"/>
      <c r="BG69" s="5"/>
      <c r="BH69" s="5"/>
      <c r="BI69" s="4"/>
      <c r="BJ69" s="6"/>
      <c r="BK69" s="4">
        <v>30</v>
      </c>
      <c r="BL69" s="6">
        <v>673.77</v>
      </c>
      <c r="BM69" s="5"/>
      <c r="BN69" s="5"/>
      <c r="BO69" s="4"/>
      <c r="BP69" s="6"/>
      <c r="BQ69" s="4">
        <v>5</v>
      </c>
      <c r="BR69" s="6">
        <v>82.19</v>
      </c>
      <c r="BS69" s="5"/>
      <c r="BT69" s="5"/>
      <c r="BU69" s="4"/>
      <c r="BV69" s="6"/>
      <c r="BW69" s="4">
        <v>5</v>
      </c>
      <c r="BX69" s="6">
        <v>120.98</v>
      </c>
      <c r="BY69" s="5"/>
      <c r="BZ69" s="5"/>
      <c r="CA69" s="4"/>
      <c r="CB69" s="6"/>
      <c r="CC69" s="4">
        <v>11</v>
      </c>
      <c r="CD69" s="6">
        <v>261.39</v>
      </c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/>
      <c r="CZ69" s="6"/>
      <c r="DA69" s="4">
        <v>1</v>
      </c>
      <c r="DB69" s="6">
        <v>19.85</v>
      </c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6"/>
      <c r="IC69" s="4"/>
      <c r="ID69" s="6"/>
      <c r="IE69" s="5"/>
      <c r="IF69" s="5"/>
      <c r="IG69" s="4"/>
      <c r="IH69" s="6"/>
      <c r="II69" s="4"/>
      <c r="IJ69" s="6"/>
      <c r="IK69" s="5"/>
      <c r="IL69" s="5"/>
      <c r="IM69" s="4"/>
      <c r="IN69" s="6"/>
      <c r="IO69" s="4"/>
      <c r="IP69" s="6"/>
      <c r="IQ69" s="5"/>
      <c r="IR69" s="5"/>
      <c r="IS69" s="4"/>
      <c r="IT69" s="6"/>
      <c r="IU69" s="4"/>
      <c r="IV69" s="6"/>
      <c r="IW69" s="5"/>
      <c r="IX69" s="5"/>
      <c r="IY69" s="4"/>
      <c r="IZ69" s="6"/>
      <c r="JA69" s="4"/>
      <c r="JB69" s="6"/>
      <c r="JC69" s="5"/>
      <c r="JD69" s="5"/>
      <c r="JE69" s="4"/>
      <c r="JF69" s="6"/>
      <c r="JG69" s="4"/>
      <c r="JH69" s="6"/>
      <c r="JI69" s="5"/>
      <c r="JJ69" s="5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</row>
    <row r="70">
      <c r="A70" s="3" t="s">
        <v>136</v>
      </c>
      <c r="B70" s="3" t="s">
        <v>137</v>
      </c>
      <c r="C70" s="3" t="s">
        <v>138</v>
      </c>
      <c r="D70" s="3" t="s">
        <v>139</v>
      </c>
      <c r="E70" s="3" t="s">
        <v>154</v>
      </c>
      <c r="F70" s="3" t="s">
        <v>154</v>
      </c>
      <c r="G70" s="3" t="s">
        <v>154</v>
      </c>
      <c r="H70" s="3" t="s">
        <v>146</v>
      </c>
      <c r="I70" s="3" t="s">
        <v>256</v>
      </c>
      <c r="J70" s="3" t="s">
        <v>241</v>
      </c>
      <c r="K70" s="4"/>
      <c r="L70" s="4">
        <f>=ROUNDDOWN({0},0)</f>
      </c>
      <c r="M70" s="4"/>
      <c r="N70" s="5"/>
      <c r="O70" s="4"/>
      <c r="P70" s="4">
        <f>=ROUNDDOWN({0},0)</f>
      </c>
      <c r="Q70" s="4"/>
      <c r="R70" s="5"/>
      <c r="S70" s="4"/>
      <c r="T70" s="6"/>
      <c r="U70" s="4">
        <v>101</v>
      </c>
      <c r="V70" s="6">
        <v>2125.26</v>
      </c>
      <c r="W70" s="5"/>
      <c r="X70" s="5"/>
      <c r="Y70" s="4"/>
      <c r="Z70" s="6"/>
      <c r="AA70" s="4">
        <v>12</v>
      </c>
      <c r="AB70" s="6">
        <v>205.12</v>
      </c>
      <c r="AC70" s="5"/>
      <c r="AD70" s="5"/>
      <c r="AE70" s="4"/>
      <c r="AF70" s="6"/>
      <c r="AG70" s="4">
        <v>16</v>
      </c>
      <c r="AH70" s="6">
        <v>290.91</v>
      </c>
      <c r="AI70" s="5"/>
      <c r="AJ70" s="5"/>
      <c r="AK70" s="4"/>
      <c r="AL70" s="6"/>
      <c r="AM70" s="4"/>
      <c r="AN70" s="6"/>
      <c r="AO70" s="5"/>
      <c r="AP70" s="5"/>
      <c r="AQ70" s="4"/>
      <c r="AR70" s="6"/>
      <c r="AS70" s="4"/>
      <c r="AT70" s="6"/>
      <c r="AU70" s="5"/>
      <c r="AV70" s="5"/>
      <c r="AW70" s="4"/>
      <c r="AX70" s="6"/>
      <c r="AY70" s="4"/>
      <c r="AZ70" s="6"/>
      <c r="BA70" s="5"/>
      <c r="BB70" s="5"/>
      <c r="BC70" s="4"/>
      <c r="BD70" s="6"/>
      <c r="BE70" s="4"/>
      <c r="BF70" s="6"/>
      <c r="BG70" s="5"/>
      <c r="BH70" s="5"/>
      <c r="BI70" s="4"/>
      <c r="BJ70" s="6"/>
      <c r="BK70" s="4">
        <v>39</v>
      </c>
      <c r="BL70" s="6">
        <v>827.54</v>
      </c>
      <c r="BM70" s="5"/>
      <c r="BN70" s="5"/>
      <c r="BO70" s="4"/>
      <c r="BP70" s="6"/>
      <c r="BQ70" s="4"/>
      <c r="BR70" s="6"/>
      <c r="BS70" s="5"/>
      <c r="BT70" s="5"/>
      <c r="BU70" s="4"/>
      <c r="BV70" s="6"/>
      <c r="BW70" s="4">
        <v>5</v>
      </c>
      <c r="BX70" s="6">
        <v>120.98</v>
      </c>
      <c r="BY70" s="5"/>
      <c r="BZ70" s="5"/>
      <c r="CA70" s="4"/>
      <c r="CB70" s="6"/>
      <c r="CC70" s="4">
        <v>25</v>
      </c>
      <c r="CD70" s="6">
        <v>601.31</v>
      </c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>
        <v>4</v>
      </c>
      <c r="DB70" s="6">
        <v>79.4</v>
      </c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6"/>
      <c r="IC70" s="4"/>
      <c r="ID70" s="6"/>
      <c r="IE70" s="5"/>
      <c r="IF70" s="5"/>
      <c r="IG70" s="4"/>
      <c r="IH70" s="6"/>
      <c r="II70" s="4"/>
      <c r="IJ70" s="6"/>
      <c r="IK70" s="5"/>
      <c r="IL70" s="5"/>
      <c r="IM70" s="4"/>
      <c r="IN70" s="6"/>
      <c r="IO70" s="4"/>
      <c r="IP70" s="6"/>
      <c r="IQ70" s="5"/>
      <c r="IR70" s="5"/>
      <c r="IS70" s="4"/>
      <c r="IT70" s="6"/>
      <c r="IU70" s="4"/>
      <c r="IV70" s="6"/>
      <c r="IW70" s="5"/>
      <c r="IX70" s="5"/>
      <c r="IY70" s="4"/>
      <c r="IZ70" s="6"/>
      <c r="JA70" s="4"/>
      <c r="JB70" s="6"/>
      <c r="JC70" s="5"/>
      <c r="JD70" s="5"/>
      <c r="JE70" s="4"/>
      <c r="JF70" s="6"/>
      <c r="JG70" s="4"/>
      <c r="JH70" s="6"/>
      <c r="JI70" s="5"/>
      <c r="JJ70" s="5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</row>
    <row r="71">
      <c r="A71" s="3" t="s">
        <v>136</v>
      </c>
      <c r="B71" s="3" t="s">
        <v>137</v>
      </c>
      <c r="C71" s="3" t="s">
        <v>155</v>
      </c>
      <c r="D71" s="3" t="s">
        <v>156</v>
      </c>
      <c r="E71" s="3" t="s">
        <v>157</v>
      </c>
      <c r="F71" s="3" t="s">
        <v>157</v>
      </c>
      <c r="G71" s="3" t="s">
        <v>157</v>
      </c>
      <c r="H71" s="3" t="s">
        <v>157</v>
      </c>
      <c r="I71" s="3" t="s">
        <v>227</v>
      </c>
      <c r="J71" s="3" t="s">
        <v>243</v>
      </c>
      <c r="K71" s="4">
        <v>1835</v>
      </c>
      <c r="L71" s="4">
        <f>=ROUNDDOWN(20.3662597114317,0)</f>
      </c>
      <c r="M71" s="4">
        <v>1360</v>
      </c>
      <c r="N71" s="5">
        <v>1</v>
      </c>
      <c r="O71" s="4"/>
      <c r="P71" s="4">
        <f>=ROUNDDOWN({0},0)</f>
      </c>
      <c r="Q71" s="4"/>
      <c r="R71" s="5"/>
      <c r="S71" s="4">
        <v>1074</v>
      </c>
      <c r="T71" s="6">
        <v>29741.84</v>
      </c>
      <c r="U71" s="4">
        <v>624</v>
      </c>
      <c r="V71" s="6">
        <v>17378.27</v>
      </c>
      <c r="W71" s="5">
        <v>0.7212</v>
      </c>
      <c r="X71" s="5">
        <v>0.7114</v>
      </c>
      <c r="Y71" s="4">
        <v>312</v>
      </c>
      <c r="Z71" s="6">
        <v>8316.44</v>
      </c>
      <c r="AA71" s="4">
        <v>192</v>
      </c>
      <c r="AB71" s="6">
        <v>5417.26</v>
      </c>
      <c r="AC71" s="5">
        <v>0.625</v>
      </c>
      <c r="AD71" s="5">
        <v>0.5352</v>
      </c>
      <c r="AE71" s="4">
        <v>227</v>
      </c>
      <c r="AF71" s="6">
        <v>6588.73</v>
      </c>
      <c r="AG71" s="4">
        <v>40</v>
      </c>
      <c r="AH71" s="6">
        <v>1111</v>
      </c>
      <c r="AI71" s="5">
        <v>4.675</v>
      </c>
      <c r="AJ71" s="5">
        <v>4.9305</v>
      </c>
      <c r="AK71" s="4"/>
      <c r="AL71" s="6"/>
      <c r="AM71" s="4"/>
      <c r="AN71" s="6"/>
      <c r="AO71" s="5"/>
      <c r="AP71" s="5"/>
      <c r="AQ71" s="4"/>
      <c r="AR71" s="6"/>
      <c r="AS71" s="4"/>
      <c r="AT71" s="6"/>
      <c r="AU71" s="5"/>
      <c r="AV71" s="5"/>
      <c r="AW71" s="4">
        <v>62</v>
      </c>
      <c r="AX71" s="6">
        <v>1686.05</v>
      </c>
      <c r="AY71" s="4">
        <v>81</v>
      </c>
      <c r="AZ71" s="6">
        <v>2182.5</v>
      </c>
      <c r="BA71" s="5">
        <v>-0.2346</v>
      </c>
      <c r="BB71" s="5">
        <v>-0.2275</v>
      </c>
      <c r="BC71" s="4">
        <v>318</v>
      </c>
      <c r="BD71" s="6">
        <v>8942.32</v>
      </c>
      <c r="BE71" s="4">
        <v>149</v>
      </c>
      <c r="BF71" s="6">
        <v>4096.01</v>
      </c>
      <c r="BG71" s="5">
        <v>1.1342</v>
      </c>
      <c r="BH71" s="5">
        <v>1.1832</v>
      </c>
      <c r="BI71" s="4">
        <v>45</v>
      </c>
      <c r="BJ71" s="6">
        <v>1191.16</v>
      </c>
      <c r="BK71" s="4">
        <v>29</v>
      </c>
      <c r="BL71" s="6">
        <v>792.95</v>
      </c>
      <c r="BM71" s="5">
        <v>0.5517</v>
      </c>
      <c r="BN71" s="5">
        <v>0.5022</v>
      </c>
      <c r="BO71" s="4">
        <v>39</v>
      </c>
      <c r="BP71" s="6">
        <v>1004.19</v>
      </c>
      <c r="BQ71" s="4">
        <v>38</v>
      </c>
      <c r="BR71" s="6">
        <v>988.39</v>
      </c>
      <c r="BS71" s="5">
        <v>0.0263</v>
      </c>
      <c r="BT71" s="5">
        <v>0.016</v>
      </c>
      <c r="BU71" s="4">
        <v>47</v>
      </c>
      <c r="BV71" s="6">
        <v>1313.28</v>
      </c>
      <c r="BW71" s="4">
        <v>40</v>
      </c>
      <c r="BX71" s="6">
        <v>1088.24</v>
      </c>
      <c r="BY71" s="5">
        <v>0.175</v>
      </c>
      <c r="BZ71" s="5">
        <v>0.2068</v>
      </c>
      <c r="CA71" s="4">
        <v>20</v>
      </c>
      <c r="CB71" s="6">
        <v>593.52</v>
      </c>
      <c r="CC71" s="4">
        <v>21</v>
      </c>
      <c r="CD71" s="6">
        <v>674</v>
      </c>
      <c r="CE71" s="5">
        <v>-0.0476</v>
      </c>
      <c r="CF71" s="5">
        <v>-0.1194</v>
      </c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>
        <v>1</v>
      </c>
      <c r="CZ71" s="6">
        <v>23.68</v>
      </c>
      <c r="DA71" s="4">
        <v>2</v>
      </c>
      <c r="DB71" s="6">
        <v>47.36</v>
      </c>
      <c r="DC71" s="5">
        <v>-0.5</v>
      </c>
      <c r="DD71" s="5">
        <v>-0.5</v>
      </c>
      <c r="DE71" s="4"/>
      <c r="DF71" s="6"/>
      <c r="DG71" s="4"/>
      <c r="DH71" s="6"/>
      <c r="DI71" s="5"/>
      <c r="DJ71" s="5"/>
      <c r="DK71" s="4"/>
      <c r="DL71" s="6"/>
      <c r="DM71" s="4">
        <v>1</v>
      </c>
      <c r="DN71" s="6">
        <v>52.99</v>
      </c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>
        <v>3</v>
      </c>
      <c r="EV71" s="6">
        <v>82.47</v>
      </c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>
        <v>31</v>
      </c>
      <c r="FV71" s="6">
        <v>927.57</v>
      </c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6"/>
      <c r="IC71" s="4"/>
      <c r="ID71" s="6"/>
      <c r="IE71" s="5"/>
      <c r="IF71" s="5"/>
      <c r="IG71" s="4"/>
      <c r="IH71" s="6"/>
      <c r="II71" s="4"/>
      <c r="IJ71" s="6"/>
      <c r="IK71" s="5"/>
      <c r="IL71" s="5"/>
      <c r="IM71" s="4"/>
      <c r="IN71" s="6"/>
      <c r="IO71" s="4"/>
      <c r="IP71" s="6"/>
      <c r="IQ71" s="5"/>
      <c r="IR71" s="5"/>
      <c r="IS71" s="4"/>
      <c r="IT71" s="6"/>
      <c r="IU71" s="4"/>
      <c r="IV71" s="6"/>
      <c r="IW71" s="5"/>
      <c r="IX71" s="5"/>
      <c r="IY71" s="4"/>
      <c r="IZ71" s="6"/>
      <c r="JA71" s="4"/>
      <c r="JB71" s="6"/>
      <c r="JC71" s="5"/>
      <c r="JD71" s="5"/>
      <c r="JE71" s="4"/>
      <c r="JF71" s="6"/>
      <c r="JG71" s="4"/>
      <c r="JH71" s="6"/>
      <c r="JI71" s="5"/>
      <c r="JJ71" s="5"/>
      <c r="JK71" s="4">
        <v>1835</v>
      </c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>
        <v>480</v>
      </c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>
        <v>560</v>
      </c>
      <c r="KY71" s="4"/>
      <c r="KZ71" s="4"/>
      <c r="LA71" s="4"/>
      <c r="LB71" s="4"/>
      <c r="LC71" s="4"/>
      <c r="LD71" s="4"/>
      <c r="LE71" s="4"/>
      <c r="LF71" s="4"/>
      <c r="LG71" s="4">
        <v>320</v>
      </c>
      <c r="LH71" s="4"/>
      <c r="LI71" s="4"/>
      <c r="LJ71" s="4"/>
      <c r="LK71" s="4"/>
      <c r="LL71" s="4"/>
      <c r="LM71" s="4"/>
    </row>
    <row r="72">
      <c r="A72" s="3" t="s">
        <v>136</v>
      </c>
      <c r="B72" s="3" t="s">
        <v>137</v>
      </c>
      <c r="C72" s="3" t="s">
        <v>155</v>
      </c>
      <c r="D72" s="3" t="s">
        <v>156</v>
      </c>
      <c r="E72" s="3" t="s">
        <v>157</v>
      </c>
      <c r="F72" s="3" t="s">
        <v>157</v>
      </c>
      <c r="G72" s="3" t="s">
        <v>157</v>
      </c>
      <c r="H72" s="3" t="s">
        <v>157</v>
      </c>
      <c r="I72" s="3" t="s">
        <v>229</v>
      </c>
      <c r="J72" s="3" t="s">
        <v>242</v>
      </c>
      <c r="K72" s="4">
        <v>2366</v>
      </c>
      <c r="L72" s="4">
        <f>=ROUNDDOWN(24.9052631578947,0)</f>
      </c>
      <c r="M72" s="4">
        <v>880</v>
      </c>
      <c r="N72" s="5">
        <v>0.9552</v>
      </c>
      <c r="O72" s="4"/>
      <c r="P72" s="4">
        <f>=ROUNDDOWN({0},0)</f>
      </c>
      <c r="Q72" s="4"/>
      <c r="R72" s="5"/>
      <c r="S72" s="4">
        <v>834</v>
      </c>
      <c r="T72" s="6">
        <v>22592.31</v>
      </c>
      <c r="U72" s="4">
        <v>665</v>
      </c>
      <c r="V72" s="6">
        <v>18073.12</v>
      </c>
      <c r="W72" s="5">
        <v>0.2541</v>
      </c>
      <c r="X72" s="5">
        <v>0.2501</v>
      </c>
      <c r="Y72" s="4">
        <v>361</v>
      </c>
      <c r="Z72" s="6">
        <v>9674.88</v>
      </c>
      <c r="AA72" s="4">
        <v>211</v>
      </c>
      <c r="AB72" s="6">
        <v>5704.09</v>
      </c>
      <c r="AC72" s="5">
        <v>0.7109</v>
      </c>
      <c r="AD72" s="5">
        <v>0.6961</v>
      </c>
      <c r="AE72" s="4">
        <v>189</v>
      </c>
      <c r="AF72" s="6">
        <v>5194.26</v>
      </c>
      <c r="AG72" s="4">
        <v>10</v>
      </c>
      <c r="AH72" s="6">
        <v>287.75</v>
      </c>
      <c r="AI72" s="5">
        <v>17.9</v>
      </c>
      <c r="AJ72" s="5">
        <v>17.0513</v>
      </c>
      <c r="AK72" s="4"/>
      <c r="AL72" s="6"/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>
        <v>77</v>
      </c>
      <c r="AX72" s="6">
        <v>2098.16</v>
      </c>
      <c r="AY72" s="4">
        <v>55</v>
      </c>
      <c r="AZ72" s="6">
        <v>1472.59</v>
      </c>
      <c r="BA72" s="5">
        <v>0.4</v>
      </c>
      <c r="BB72" s="5">
        <v>0.4248</v>
      </c>
      <c r="BC72" s="4">
        <v>52</v>
      </c>
      <c r="BD72" s="6">
        <v>1420.58</v>
      </c>
      <c r="BE72" s="4">
        <v>241</v>
      </c>
      <c r="BF72" s="6">
        <v>6625.09</v>
      </c>
      <c r="BG72" s="5">
        <v>-0.7842</v>
      </c>
      <c r="BH72" s="5">
        <v>-0.7856</v>
      </c>
      <c r="BI72" s="4">
        <v>43</v>
      </c>
      <c r="BJ72" s="6">
        <v>1138.1</v>
      </c>
      <c r="BK72" s="4">
        <v>73</v>
      </c>
      <c r="BL72" s="6">
        <v>1947.31</v>
      </c>
      <c r="BM72" s="5">
        <v>-0.411</v>
      </c>
      <c r="BN72" s="5">
        <v>-0.4156</v>
      </c>
      <c r="BO72" s="4">
        <v>51</v>
      </c>
      <c r="BP72" s="6">
        <v>1225.7</v>
      </c>
      <c r="BQ72" s="4">
        <v>25</v>
      </c>
      <c r="BR72" s="6">
        <v>654.86</v>
      </c>
      <c r="BS72" s="5">
        <v>1.04</v>
      </c>
      <c r="BT72" s="5">
        <v>0.8717</v>
      </c>
      <c r="BU72" s="4">
        <v>31</v>
      </c>
      <c r="BV72" s="6">
        <v>814.05</v>
      </c>
      <c r="BW72" s="4">
        <v>21</v>
      </c>
      <c r="BX72" s="6">
        <v>559.41</v>
      </c>
      <c r="BY72" s="5">
        <v>0.4762</v>
      </c>
      <c r="BZ72" s="5">
        <v>0.4552</v>
      </c>
      <c r="CA72" s="4">
        <v>25</v>
      </c>
      <c r="CB72" s="6">
        <v>838</v>
      </c>
      <c r="CC72" s="4">
        <v>9</v>
      </c>
      <c r="CD72" s="6">
        <v>242.49</v>
      </c>
      <c r="CE72" s="5">
        <v>1.7778</v>
      </c>
      <c r="CF72" s="5">
        <v>2.4558</v>
      </c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>
        <v>2</v>
      </c>
      <c r="CZ72" s="6">
        <v>47.36</v>
      </c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>
        <v>2</v>
      </c>
      <c r="DL72" s="6">
        <v>115.98</v>
      </c>
      <c r="DM72" s="4">
        <v>1</v>
      </c>
      <c r="DN72" s="6">
        <v>52.99</v>
      </c>
      <c r="DO72" s="5">
        <v>1</v>
      </c>
      <c r="DP72" s="5">
        <v>1.1887</v>
      </c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>
        <v>1</v>
      </c>
      <c r="EV72" s="6">
        <v>25.24</v>
      </c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>
        <v>19</v>
      </c>
      <c r="FV72" s="6">
        <v>526.54</v>
      </c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6"/>
      <c r="IC72" s="4"/>
      <c r="ID72" s="6"/>
      <c r="IE72" s="5"/>
      <c r="IF72" s="5"/>
      <c r="IG72" s="4"/>
      <c r="IH72" s="6"/>
      <c r="II72" s="4"/>
      <c r="IJ72" s="6"/>
      <c r="IK72" s="5"/>
      <c r="IL72" s="5"/>
      <c r="IM72" s="4"/>
      <c r="IN72" s="6"/>
      <c r="IO72" s="4"/>
      <c r="IP72" s="6"/>
      <c r="IQ72" s="5"/>
      <c r="IR72" s="5"/>
      <c r="IS72" s="4"/>
      <c r="IT72" s="6"/>
      <c r="IU72" s="4"/>
      <c r="IV72" s="6"/>
      <c r="IW72" s="5"/>
      <c r="IX72" s="5"/>
      <c r="IY72" s="4"/>
      <c r="IZ72" s="6"/>
      <c r="JA72" s="4"/>
      <c r="JB72" s="6"/>
      <c r="JC72" s="5"/>
      <c r="JD72" s="5"/>
      <c r="JE72" s="4"/>
      <c r="JF72" s="6"/>
      <c r="JG72" s="4"/>
      <c r="JH72" s="6"/>
      <c r="JI72" s="5"/>
      <c r="JJ72" s="5"/>
      <c r="JK72" s="4">
        <v>2366</v>
      </c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>
        <v>480</v>
      </c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>
        <v>400</v>
      </c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</row>
    <row r="73">
      <c r="A73" s="3" t="s">
        <v>136</v>
      </c>
      <c r="B73" s="3" t="s">
        <v>137</v>
      </c>
      <c r="C73" s="3" t="s">
        <v>155</v>
      </c>
      <c r="D73" s="3" t="s">
        <v>156</v>
      </c>
      <c r="E73" s="3" t="s">
        <v>157</v>
      </c>
      <c r="F73" s="3" t="s">
        <v>157</v>
      </c>
      <c r="G73" s="3" t="s">
        <v>157</v>
      </c>
      <c r="H73" s="3" t="s">
        <v>157</v>
      </c>
      <c r="I73" s="3" t="s">
        <v>230</v>
      </c>
      <c r="J73" s="3" t="s">
        <v>242</v>
      </c>
      <c r="K73" s="4">
        <v>2210</v>
      </c>
      <c r="L73" s="4">
        <f>=ROUNDDOWN(25.4022988505747,0)</f>
      </c>
      <c r="M73" s="4">
        <v>1280</v>
      </c>
      <c r="N73" s="5">
        <v>1</v>
      </c>
      <c r="O73" s="4"/>
      <c r="P73" s="4">
        <f>=ROUNDDOWN({0},0)</f>
      </c>
      <c r="Q73" s="4"/>
      <c r="R73" s="5"/>
      <c r="S73" s="4">
        <v>819</v>
      </c>
      <c r="T73" s="6">
        <v>22322.27</v>
      </c>
      <c r="U73" s="4">
        <v>543</v>
      </c>
      <c r="V73" s="6">
        <v>14753.8</v>
      </c>
      <c r="W73" s="5">
        <v>0.5083</v>
      </c>
      <c r="X73" s="5">
        <v>0.513</v>
      </c>
      <c r="Y73" s="4">
        <v>422</v>
      </c>
      <c r="Z73" s="6">
        <v>11433.8</v>
      </c>
      <c r="AA73" s="4">
        <v>251</v>
      </c>
      <c r="AB73" s="6">
        <v>6790.82</v>
      </c>
      <c r="AC73" s="5">
        <v>0.6813</v>
      </c>
      <c r="AD73" s="5">
        <v>0.6837</v>
      </c>
      <c r="AE73" s="4">
        <v>130</v>
      </c>
      <c r="AF73" s="6">
        <v>3812.65</v>
      </c>
      <c r="AG73" s="4">
        <v>9</v>
      </c>
      <c r="AH73" s="6">
        <v>247.41</v>
      </c>
      <c r="AI73" s="5">
        <v>13.4444</v>
      </c>
      <c r="AJ73" s="5">
        <v>14.4103</v>
      </c>
      <c r="AK73" s="4"/>
      <c r="AL73" s="6"/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>
        <v>83</v>
      </c>
      <c r="AX73" s="6">
        <v>2210.65</v>
      </c>
      <c r="AY73" s="4">
        <v>80</v>
      </c>
      <c r="AZ73" s="6">
        <v>2151.01</v>
      </c>
      <c r="BA73" s="5">
        <v>0.0375</v>
      </c>
      <c r="BB73" s="5">
        <v>0.0277</v>
      </c>
      <c r="BC73" s="4">
        <v>59</v>
      </c>
      <c r="BD73" s="6">
        <v>1625.86</v>
      </c>
      <c r="BE73" s="4">
        <v>46</v>
      </c>
      <c r="BF73" s="6">
        <v>1264.54</v>
      </c>
      <c r="BG73" s="5">
        <v>0.2826</v>
      </c>
      <c r="BH73" s="5">
        <v>0.2857</v>
      </c>
      <c r="BI73" s="4">
        <v>42</v>
      </c>
      <c r="BJ73" s="6">
        <v>1037.59</v>
      </c>
      <c r="BK73" s="4">
        <v>71</v>
      </c>
      <c r="BL73" s="6">
        <v>1908.44</v>
      </c>
      <c r="BM73" s="5">
        <v>-0.4085</v>
      </c>
      <c r="BN73" s="5">
        <v>-0.4563</v>
      </c>
      <c r="BO73" s="4">
        <v>34</v>
      </c>
      <c r="BP73" s="6">
        <v>887.15</v>
      </c>
      <c r="BQ73" s="4">
        <v>28</v>
      </c>
      <c r="BR73" s="6">
        <v>745.06</v>
      </c>
      <c r="BS73" s="5">
        <v>0.2143</v>
      </c>
      <c r="BT73" s="5">
        <v>0.1907</v>
      </c>
      <c r="BU73" s="4">
        <v>36</v>
      </c>
      <c r="BV73" s="6">
        <v>971.5</v>
      </c>
      <c r="BW73" s="4">
        <v>19</v>
      </c>
      <c r="BX73" s="6">
        <v>521.91</v>
      </c>
      <c r="BY73" s="5">
        <v>0.8947</v>
      </c>
      <c r="BZ73" s="5">
        <v>0.8614</v>
      </c>
      <c r="CA73" s="4">
        <v>12</v>
      </c>
      <c r="CB73" s="6">
        <v>319.39</v>
      </c>
      <c r="CC73" s="4">
        <v>12</v>
      </c>
      <c r="CD73" s="6">
        <v>391.02</v>
      </c>
      <c r="CE73" s="5"/>
      <c r="CF73" s="5">
        <v>-0.1832</v>
      </c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>
        <v>1</v>
      </c>
      <c r="CZ73" s="6">
        <v>23.68</v>
      </c>
      <c r="DA73" s="4">
        <v>1</v>
      </c>
      <c r="DB73" s="6">
        <v>23.68</v>
      </c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>
        <v>26</v>
      </c>
      <c r="FV73" s="6">
        <v>709.91</v>
      </c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6"/>
      <c r="IC73" s="4"/>
      <c r="ID73" s="6"/>
      <c r="IE73" s="5"/>
      <c r="IF73" s="5"/>
      <c r="IG73" s="4"/>
      <c r="IH73" s="6"/>
      <c r="II73" s="4"/>
      <c r="IJ73" s="6"/>
      <c r="IK73" s="5"/>
      <c r="IL73" s="5"/>
      <c r="IM73" s="4"/>
      <c r="IN73" s="6"/>
      <c r="IO73" s="4"/>
      <c r="IP73" s="6"/>
      <c r="IQ73" s="5"/>
      <c r="IR73" s="5"/>
      <c r="IS73" s="4"/>
      <c r="IT73" s="6"/>
      <c r="IU73" s="4"/>
      <c r="IV73" s="6"/>
      <c r="IW73" s="5"/>
      <c r="IX73" s="5"/>
      <c r="IY73" s="4"/>
      <c r="IZ73" s="6"/>
      <c r="JA73" s="4"/>
      <c r="JB73" s="6"/>
      <c r="JC73" s="5"/>
      <c r="JD73" s="5"/>
      <c r="JE73" s="4"/>
      <c r="JF73" s="6"/>
      <c r="JG73" s="4"/>
      <c r="JH73" s="6"/>
      <c r="JI73" s="5"/>
      <c r="JJ73" s="5"/>
      <c r="JK73" s="4">
        <v>2210</v>
      </c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>
        <v>560</v>
      </c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>
        <v>560</v>
      </c>
      <c r="KY73" s="4"/>
      <c r="KZ73" s="4"/>
      <c r="LA73" s="4"/>
      <c r="LB73" s="4"/>
      <c r="LC73" s="4"/>
      <c r="LD73" s="4"/>
      <c r="LE73" s="4"/>
      <c r="LF73" s="4"/>
      <c r="LG73" s="4">
        <v>160</v>
      </c>
      <c r="LH73" s="4"/>
      <c r="LI73" s="4"/>
      <c r="LJ73" s="4"/>
      <c r="LK73" s="4"/>
      <c r="LL73" s="4"/>
      <c r="LM73" s="4"/>
    </row>
    <row r="74">
      <c r="A74" s="3" t="s">
        <v>136</v>
      </c>
      <c r="B74" s="3" t="s">
        <v>137</v>
      </c>
      <c r="C74" s="3" t="s">
        <v>155</v>
      </c>
      <c r="D74" s="3" t="s">
        <v>156</v>
      </c>
      <c r="E74" s="3" t="s">
        <v>157</v>
      </c>
      <c r="F74" s="3" t="s">
        <v>157</v>
      </c>
      <c r="G74" s="3" t="s">
        <v>157</v>
      </c>
      <c r="H74" s="3" t="s">
        <v>157</v>
      </c>
      <c r="I74" s="3" t="s">
        <v>257</v>
      </c>
      <c r="J74" s="3" t="s">
        <v>228</v>
      </c>
      <c r="K74" s="4">
        <v>1340</v>
      </c>
      <c r="L74" s="4">
        <f>=ROUNDDOWN(18.3561643835616,0)</f>
      </c>
      <c r="M74" s="4">
        <v>1040</v>
      </c>
      <c r="N74" s="5">
        <v>1</v>
      </c>
      <c r="O74" s="4"/>
      <c r="P74" s="4">
        <f>=ROUNDDOWN({0},0)</f>
      </c>
      <c r="Q74" s="4"/>
      <c r="R74" s="5"/>
      <c r="S74" s="4">
        <v>540</v>
      </c>
      <c r="T74" s="6">
        <v>15195.62</v>
      </c>
      <c r="U74" s="4">
        <v>149</v>
      </c>
      <c r="V74" s="6">
        <v>4118.49</v>
      </c>
      <c r="W74" s="5">
        <v>2.6242</v>
      </c>
      <c r="X74" s="5">
        <v>2.6896</v>
      </c>
      <c r="Y74" s="4">
        <v>118</v>
      </c>
      <c r="Z74" s="6">
        <v>3134.45</v>
      </c>
      <c r="AA74" s="4">
        <v>95</v>
      </c>
      <c r="AB74" s="6">
        <v>2613.24</v>
      </c>
      <c r="AC74" s="5">
        <v>0.2421</v>
      </c>
      <c r="AD74" s="5">
        <v>0.1994</v>
      </c>
      <c r="AE74" s="4">
        <v>65</v>
      </c>
      <c r="AF74" s="6">
        <v>1818.4</v>
      </c>
      <c r="AG74" s="4">
        <v>3</v>
      </c>
      <c r="AH74" s="6">
        <v>97.17</v>
      </c>
      <c r="AI74" s="5">
        <v>20.6667</v>
      </c>
      <c r="AJ74" s="5">
        <v>17.7136</v>
      </c>
      <c r="AK74" s="4"/>
      <c r="AL74" s="6"/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>
        <v>24</v>
      </c>
      <c r="AX74" s="6">
        <v>635.34</v>
      </c>
      <c r="AY74" s="4">
        <v>13</v>
      </c>
      <c r="AZ74" s="6">
        <v>365.37</v>
      </c>
      <c r="BA74" s="5">
        <v>0.8462</v>
      </c>
      <c r="BB74" s="5">
        <v>0.7389</v>
      </c>
      <c r="BC74" s="4">
        <v>279</v>
      </c>
      <c r="BD74" s="6">
        <v>8083.96</v>
      </c>
      <c r="BE74" s="4"/>
      <c r="BF74" s="6"/>
      <c r="BG74" s="5"/>
      <c r="BH74" s="5"/>
      <c r="BI74" s="4">
        <v>31</v>
      </c>
      <c r="BJ74" s="6">
        <v>880.04</v>
      </c>
      <c r="BK74" s="4">
        <v>23</v>
      </c>
      <c r="BL74" s="6">
        <v>646.01</v>
      </c>
      <c r="BM74" s="5">
        <v>0.3478</v>
      </c>
      <c r="BN74" s="5">
        <v>0.3623</v>
      </c>
      <c r="BO74" s="4">
        <v>9</v>
      </c>
      <c r="BP74" s="6">
        <v>232.97</v>
      </c>
      <c r="BQ74" s="4">
        <v>11</v>
      </c>
      <c r="BR74" s="6">
        <v>284.01</v>
      </c>
      <c r="BS74" s="5">
        <v>-0.1818</v>
      </c>
      <c r="BT74" s="5">
        <v>-0.1797</v>
      </c>
      <c r="BU74" s="4">
        <v>12</v>
      </c>
      <c r="BV74" s="6">
        <v>315.34</v>
      </c>
      <c r="BW74" s="4"/>
      <c r="BX74" s="6"/>
      <c r="BY74" s="5"/>
      <c r="BZ74" s="5"/>
      <c r="CA74" s="4">
        <v>2</v>
      </c>
      <c r="CB74" s="6">
        <v>95.12</v>
      </c>
      <c r="CC74" s="4">
        <v>1</v>
      </c>
      <c r="CD74" s="6">
        <v>23.37</v>
      </c>
      <c r="CE74" s="5">
        <v>1</v>
      </c>
      <c r="CF74" s="5">
        <v>3.0702</v>
      </c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>
        <v>2</v>
      </c>
      <c r="FP74" s="6">
        <v>64.78</v>
      </c>
      <c r="FQ74" s="5"/>
      <c r="FR74" s="5"/>
      <c r="FS74" s="4"/>
      <c r="FT74" s="6"/>
      <c r="FU74" s="4">
        <v>1</v>
      </c>
      <c r="FV74" s="6">
        <v>24.54</v>
      </c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6"/>
      <c r="IC74" s="4"/>
      <c r="ID74" s="6"/>
      <c r="IE74" s="5"/>
      <c r="IF74" s="5"/>
      <c r="IG74" s="4"/>
      <c r="IH74" s="6"/>
      <c r="II74" s="4"/>
      <c r="IJ74" s="6"/>
      <c r="IK74" s="5"/>
      <c r="IL74" s="5"/>
      <c r="IM74" s="4"/>
      <c r="IN74" s="6"/>
      <c r="IO74" s="4"/>
      <c r="IP74" s="6"/>
      <c r="IQ74" s="5"/>
      <c r="IR74" s="5"/>
      <c r="IS74" s="4"/>
      <c r="IT74" s="6"/>
      <c r="IU74" s="4"/>
      <c r="IV74" s="6"/>
      <c r="IW74" s="5"/>
      <c r="IX74" s="5"/>
      <c r="IY74" s="4"/>
      <c r="IZ74" s="6"/>
      <c r="JA74" s="4"/>
      <c r="JB74" s="6"/>
      <c r="JC74" s="5"/>
      <c r="JD74" s="5"/>
      <c r="JE74" s="4"/>
      <c r="JF74" s="6"/>
      <c r="JG74" s="4"/>
      <c r="JH74" s="6"/>
      <c r="JI74" s="5"/>
      <c r="JJ74" s="5"/>
      <c r="JK74" s="4">
        <v>1309</v>
      </c>
      <c r="JL74" s="4">
        <v>28</v>
      </c>
      <c r="JM74" s="4"/>
      <c r="JN74" s="4"/>
      <c r="JO74" s="4">
        <v>3</v>
      </c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>
        <v>400</v>
      </c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>
        <v>520</v>
      </c>
      <c r="KY74" s="4"/>
      <c r="KZ74" s="4"/>
      <c r="LA74" s="4"/>
      <c r="LB74" s="4"/>
      <c r="LC74" s="4"/>
      <c r="LD74" s="4"/>
      <c r="LE74" s="4"/>
      <c r="LF74" s="4"/>
      <c r="LG74" s="4">
        <v>120</v>
      </c>
      <c r="LH74" s="4"/>
      <c r="LI74" s="4"/>
      <c r="LJ74" s="4"/>
      <c r="LK74" s="4"/>
      <c r="LL74" s="4"/>
      <c r="LM74" s="4"/>
    </row>
    <row r="75">
      <c r="A75" s="3" t="s">
        <v>136</v>
      </c>
      <c r="B75" s="3" t="s">
        <v>137</v>
      </c>
      <c r="C75" s="3" t="s">
        <v>155</v>
      </c>
      <c r="D75" s="3" t="s">
        <v>156</v>
      </c>
      <c r="E75" s="3" t="s">
        <v>157</v>
      </c>
      <c r="F75" s="3" t="s">
        <v>157</v>
      </c>
      <c r="G75" s="3" t="s">
        <v>157</v>
      </c>
      <c r="H75" s="3" t="s">
        <v>157</v>
      </c>
      <c r="I75" s="3" t="s">
        <v>258</v>
      </c>
      <c r="J75" s="3" t="s">
        <v>243</v>
      </c>
      <c r="K75" s="4">
        <v>859</v>
      </c>
      <c r="L75" s="4">
        <f>=ROUNDDOWN(21.2098765432099,0)</f>
      </c>
      <c r="M75" s="4">
        <v>680</v>
      </c>
      <c r="N75" s="5">
        <v>1</v>
      </c>
      <c r="O75" s="4"/>
      <c r="P75" s="4">
        <f>=ROUNDDOWN({0},0)</f>
      </c>
      <c r="Q75" s="4"/>
      <c r="R75" s="5"/>
      <c r="S75" s="4">
        <v>406</v>
      </c>
      <c r="T75" s="6">
        <v>10949.87</v>
      </c>
      <c r="U75" s="4">
        <v>346</v>
      </c>
      <c r="V75" s="6">
        <v>9248.46</v>
      </c>
      <c r="W75" s="5">
        <v>0.1734</v>
      </c>
      <c r="X75" s="5">
        <v>0.184</v>
      </c>
      <c r="Y75" s="4">
        <v>183</v>
      </c>
      <c r="Z75" s="6">
        <v>4958.62</v>
      </c>
      <c r="AA75" s="4">
        <v>131</v>
      </c>
      <c r="AB75" s="6">
        <v>3599.43</v>
      </c>
      <c r="AC75" s="5">
        <v>0.3969</v>
      </c>
      <c r="AD75" s="5">
        <v>0.3776</v>
      </c>
      <c r="AE75" s="4">
        <v>72</v>
      </c>
      <c r="AF75" s="6">
        <v>2007.93</v>
      </c>
      <c r="AG75" s="4">
        <v>17</v>
      </c>
      <c r="AH75" s="6">
        <v>456.08</v>
      </c>
      <c r="AI75" s="5">
        <v>3.2353</v>
      </c>
      <c r="AJ75" s="5">
        <v>3.4026</v>
      </c>
      <c r="AK75" s="4"/>
      <c r="AL75" s="6"/>
      <c r="AM75" s="4"/>
      <c r="AN75" s="6"/>
      <c r="AO75" s="5"/>
      <c r="AP75" s="5"/>
      <c r="AQ75" s="4"/>
      <c r="AR75" s="6"/>
      <c r="AS75" s="4"/>
      <c r="AT75" s="6"/>
      <c r="AU75" s="5"/>
      <c r="AV75" s="5"/>
      <c r="AW75" s="4">
        <v>37</v>
      </c>
      <c r="AX75" s="6">
        <v>986.8</v>
      </c>
      <c r="AY75" s="4">
        <v>38</v>
      </c>
      <c r="AZ75" s="6">
        <v>1002.08</v>
      </c>
      <c r="BA75" s="5">
        <v>-0.0263</v>
      </c>
      <c r="BB75" s="5">
        <v>-0.0152</v>
      </c>
      <c r="BC75" s="4">
        <v>24</v>
      </c>
      <c r="BD75" s="6">
        <v>668.16</v>
      </c>
      <c r="BE75" s="4">
        <v>21</v>
      </c>
      <c r="BF75" s="6">
        <v>577.29</v>
      </c>
      <c r="BG75" s="5">
        <v>0.1429</v>
      </c>
      <c r="BH75" s="5">
        <v>0.1574</v>
      </c>
      <c r="BI75" s="4">
        <v>26</v>
      </c>
      <c r="BJ75" s="6">
        <v>672.41</v>
      </c>
      <c r="BK75" s="4">
        <v>31</v>
      </c>
      <c r="BL75" s="6">
        <v>828.4</v>
      </c>
      <c r="BM75" s="5">
        <v>-0.1613</v>
      </c>
      <c r="BN75" s="5">
        <v>-0.1883</v>
      </c>
      <c r="BO75" s="4">
        <v>16</v>
      </c>
      <c r="BP75" s="6">
        <v>387.26</v>
      </c>
      <c r="BQ75" s="4">
        <v>50</v>
      </c>
      <c r="BR75" s="6">
        <v>1244.82</v>
      </c>
      <c r="BS75" s="5">
        <v>-0.68</v>
      </c>
      <c r="BT75" s="5">
        <v>-0.6889</v>
      </c>
      <c r="BU75" s="4">
        <v>36</v>
      </c>
      <c r="BV75" s="6">
        <v>948.36</v>
      </c>
      <c r="BW75" s="4">
        <v>36</v>
      </c>
      <c r="BX75" s="6">
        <v>962.26</v>
      </c>
      <c r="BY75" s="5"/>
      <c r="BZ75" s="5">
        <v>-0.0144</v>
      </c>
      <c r="CA75" s="4">
        <v>12</v>
      </c>
      <c r="CB75" s="6">
        <v>320.33</v>
      </c>
      <c r="CC75" s="4">
        <v>3</v>
      </c>
      <c r="CD75" s="6">
        <v>70.11</v>
      </c>
      <c r="CE75" s="5">
        <v>3</v>
      </c>
      <c r="CF75" s="5">
        <v>3.569</v>
      </c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>
        <v>19</v>
      </c>
      <c r="FV75" s="6">
        <v>507.99</v>
      </c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/>
      <c r="IB75" s="6"/>
      <c r="IC75" s="4"/>
      <c r="ID75" s="6"/>
      <c r="IE75" s="5"/>
      <c r="IF75" s="5"/>
      <c r="IG75" s="4"/>
      <c r="IH75" s="6"/>
      <c r="II75" s="4"/>
      <c r="IJ75" s="6"/>
      <c r="IK75" s="5"/>
      <c r="IL75" s="5"/>
      <c r="IM75" s="4"/>
      <c r="IN75" s="6"/>
      <c r="IO75" s="4"/>
      <c r="IP75" s="6"/>
      <c r="IQ75" s="5"/>
      <c r="IR75" s="5"/>
      <c r="IS75" s="4"/>
      <c r="IT75" s="6"/>
      <c r="IU75" s="4"/>
      <c r="IV75" s="6"/>
      <c r="IW75" s="5"/>
      <c r="IX75" s="5"/>
      <c r="IY75" s="4"/>
      <c r="IZ75" s="6"/>
      <c r="JA75" s="4"/>
      <c r="JB75" s="6"/>
      <c r="JC75" s="5"/>
      <c r="JD75" s="5"/>
      <c r="JE75" s="4"/>
      <c r="JF75" s="6"/>
      <c r="JG75" s="4"/>
      <c r="JH75" s="6"/>
      <c r="JI75" s="5"/>
      <c r="JJ75" s="5"/>
      <c r="JK75" s="4">
        <v>859</v>
      </c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>
        <v>360</v>
      </c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>
        <v>320</v>
      </c>
      <c r="LH75" s="4"/>
      <c r="LI75" s="4"/>
      <c r="LJ75" s="4"/>
      <c r="LK75" s="4"/>
      <c r="LL75" s="4"/>
      <c r="LM75" s="4"/>
    </row>
    <row r="76">
      <c r="A76" s="3" t="s">
        <v>136</v>
      </c>
      <c r="B76" s="3" t="s">
        <v>137</v>
      </c>
      <c r="C76" s="3" t="s">
        <v>155</v>
      </c>
      <c r="D76" s="3" t="s">
        <v>156</v>
      </c>
      <c r="E76" s="3" t="s">
        <v>144</v>
      </c>
      <c r="F76" s="3" t="s">
        <v>144</v>
      </c>
      <c r="G76" s="3" t="s">
        <v>144</v>
      </c>
      <c r="H76" s="3" t="s">
        <v>141</v>
      </c>
      <c r="I76" s="3" t="s">
        <v>227</v>
      </c>
      <c r="J76" s="3" t="s">
        <v>228</v>
      </c>
      <c r="K76" s="4">
        <v>2236</v>
      </c>
      <c r="L76" s="4">
        <f>=ROUNDDOWN(29.8133333333333,0)</f>
      </c>
      <c r="M76" s="4">
        <v>704</v>
      </c>
      <c r="N76" s="5">
        <v>1</v>
      </c>
      <c r="O76" s="4"/>
      <c r="P76" s="4">
        <f>=ROUNDDOWN({0},0)</f>
      </c>
      <c r="Q76" s="4"/>
      <c r="R76" s="5"/>
      <c r="S76" s="4">
        <v>924</v>
      </c>
      <c r="T76" s="6">
        <v>11199.43</v>
      </c>
      <c r="U76" s="4">
        <v>1147</v>
      </c>
      <c r="V76" s="6">
        <v>14082.21</v>
      </c>
      <c r="W76" s="5">
        <v>-0.1944</v>
      </c>
      <c r="X76" s="5">
        <v>-0.2047</v>
      </c>
      <c r="Y76" s="4">
        <v>366</v>
      </c>
      <c r="Z76" s="6">
        <v>4528.68</v>
      </c>
      <c r="AA76" s="4">
        <v>875</v>
      </c>
      <c r="AB76" s="6">
        <v>10891.63</v>
      </c>
      <c r="AC76" s="5">
        <v>-0.5817</v>
      </c>
      <c r="AD76" s="5">
        <v>-0.5842</v>
      </c>
      <c r="AE76" s="4">
        <v>194</v>
      </c>
      <c r="AF76" s="6">
        <v>2270.96</v>
      </c>
      <c r="AG76" s="4">
        <v>13</v>
      </c>
      <c r="AH76" s="6">
        <v>151.93</v>
      </c>
      <c r="AI76" s="5">
        <v>13.9231</v>
      </c>
      <c r="AJ76" s="5">
        <v>13.9474</v>
      </c>
      <c r="AK76" s="4"/>
      <c r="AL76" s="6"/>
      <c r="AM76" s="4"/>
      <c r="AN76" s="6"/>
      <c r="AO76" s="5"/>
      <c r="AP76" s="5"/>
      <c r="AQ76" s="4"/>
      <c r="AR76" s="6"/>
      <c r="AS76" s="4"/>
      <c r="AT76" s="6"/>
      <c r="AU76" s="5"/>
      <c r="AV76" s="5"/>
      <c r="AW76" s="4">
        <v>133</v>
      </c>
      <c r="AX76" s="6">
        <v>1653.97</v>
      </c>
      <c r="AY76" s="4">
        <v>77</v>
      </c>
      <c r="AZ76" s="6">
        <v>912.35</v>
      </c>
      <c r="BA76" s="5">
        <v>0.7273</v>
      </c>
      <c r="BB76" s="5">
        <v>0.8129</v>
      </c>
      <c r="BC76" s="4">
        <v>19</v>
      </c>
      <c r="BD76" s="6">
        <v>213.36</v>
      </c>
      <c r="BE76" s="4">
        <v>48</v>
      </c>
      <c r="BF76" s="6">
        <v>528.32</v>
      </c>
      <c r="BG76" s="5">
        <v>-0.6042</v>
      </c>
      <c r="BH76" s="5">
        <v>-0.5962</v>
      </c>
      <c r="BI76" s="4">
        <v>45</v>
      </c>
      <c r="BJ76" s="6">
        <v>513.18</v>
      </c>
      <c r="BK76" s="4">
        <v>40</v>
      </c>
      <c r="BL76" s="6">
        <v>455.32</v>
      </c>
      <c r="BM76" s="5">
        <v>0.125</v>
      </c>
      <c r="BN76" s="5">
        <v>0.1271</v>
      </c>
      <c r="BO76" s="4">
        <v>18</v>
      </c>
      <c r="BP76" s="6">
        <v>192.31</v>
      </c>
      <c r="BQ76" s="4">
        <v>10</v>
      </c>
      <c r="BR76" s="6">
        <v>113.42</v>
      </c>
      <c r="BS76" s="5">
        <v>0.8</v>
      </c>
      <c r="BT76" s="5">
        <v>0.6956</v>
      </c>
      <c r="BU76" s="4">
        <v>113</v>
      </c>
      <c r="BV76" s="6">
        <v>1282.87</v>
      </c>
      <c r="BW76" s="4">
        <v>57</v>
      </c>
      <c r="BX76" s="6">
        <v>674.69</v>
      </c>
      <c r="BY76" s="5">
        <v>0.9825</v>
      </c>
      <c r="BZ76" s="5">
        <v>0.9014</v>
      </c>
      <c r="CA76" s="4">
        <v>33</v>
      </c>
      <c r="CB76" s="6">
        <v>481.08</v>
      </c>
      <c r="CC76" s="4">
        <v>16</v>
      </c>
      <c r="CD76" s="6">
        <v>218.6</v>
      </c>
      <c r="CE76" s="5">
        <v>1.0625</v>
      </c>
      <c r="CF76" s="5">
        <v>1.2007</v>
      </c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>
        <v>2</v>
      </c>
      <c r="DL76" s="6">
        <v>52.36</v>
      </c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>
        <v>1</v>
      </c>
      <c r="EV76" s="6">
        <v>10.66</v>
      </c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>
        <v>11</v>
      </c>
      <c r="FV76" s="6">
        <v>135.95</v>
      </c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/>
      <c r="IB76" s="6"/>
      <c r="IC76" s="4"/>
      <c r="ID76" s="6"/>
      <c r="IE76" s="5"/>
      <c r="IF76" s="5"/>
      <c r="IG76" s="4"/>
      <c r="IH76" s="6"/>
      <c r="II76" s="4"/>
      <c r="IJ76" s="6"/>
      <c r="IK76" s="5"/>
      <c r="IL76" s="5"/>
      <c r="IM76" s="4"/>
      <c r="IN76" s="6"/>
      <c r="IO76" s="4"/>
      <c r="IP76" s="6"/>
      <c r="IQ76" s="5"/>
      <c r="IR76" s="5"/>
      <c r="IS76" s="4"/>
      <c r="IT76" s="6"/>
      <c r="IU76" s="4"/>
      <c r="IV76" s="6"/>
      <c r="IW76" s="5"/>
      <c r="IX76" s="5"/>
      <c r="IY76" s="4"/>
      <c r="IZ76" s="6"/>
      <c r="JA76" s="4"/>
      <c r="JB76" s="6"/>
      <c r="JC76" s="5"/>
      <c r="JD76" s="5"/>
      <c r="JE76" s="4"/>
      <c r="JF76" s="6"/>
      <c r="JG76" s="4"/>
      <c r="JH76" s="6"/>
      <c r="JI76" s="5"/>
      <c r="JJ76" s="5"/>
      <c r="JK76" s="4">
        <v>2236</v>
      </c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>
        <v>704</v>
      </c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</row>
    <row r="77">
      <c r="A77" s="3" t="s">
        <v>136</v>
      </c>
      <c r="B77" s="3" t="s">
        <v>137</v>
      </c>
      <c r="C77" s="3" t="s">
        <v>155</v>
      </c>
      <c r="D77" s="3" t="s">
        <v>156</v>
      </c>
      <c r="E77" s="3" t="s">
        <v>144</v>
      </c>
      <c r="F77" s="3" t="s">
        <v>144</v>
      </c>
      <c r="G77" s="3" t="s">
        <v>144</v>
      </c>
      <c r="H77" s="3" t="s">
        <v>141</v>
      </c>
      <c r="I77" s="3" t="s">
        <v>229</v>
      </c>
      <c r="J77" s="3" t="s">
        <v>228</v>
      </c>
      <c r="K77" s="4">
        <v>674</v>
      </c>
      <c r="L77" s="4">
        <f>=ROUNDDOWN(15.6744186046512,0)</f>
      </c>
      <c r="M77" s="4">
        <v>408</v>
      </c>
      <c r="N77" s="5">
        <v>1</v>
      </c>
      <c r="O77" s="4"/>
      <c r="P77" s="4">
        <f>=ROUNDDOWN({0},0)</f>
      </c>
      <c r="Q77" s="4"/>
      <c r="R77" s="5"/>
      <c r="S77" s="4">
        <v>425</v>
      </c>
      <c r="T77" s="6">
        <v>5197.49</v>
      </c>
      <c r="U77" s="4">
        <v>478</v>
      </c>
      <c r="V77" s="6">
        <v>5745.35</v>
      </c>
      <c r="W77" s="5">
        <v>-0.1109</v>
      </c>
      <c r="X77" s="5">
        <v>-0.0954</v>
      </c>
      <c r="Y77" s="4">
        <v>137</v>
      </c>
      <c r="Z77" s="6">
        <v>1679.59</v>
      </c>
      <c r="AA77" s="4">
        <v>292</v>
      </c>
      <c r="AB77" s="6">
        <v>3524.3</v>
      </c>
      <c r="AC77" s="5">
        <v>-0.5308</v>
      </c>
      <c r="AD77" s="5">
        <v>-0.5234</v>
      </c>
      <c r="AE77" s="4">
        <v>66</v>
      </c>
      <c r="AF77" s="6">
        <v>791.67</v>
      </c>
      <c r="AG77" s="4">
        <v>2</v>
      </c>
      <c r="AH77" s="6">
        <v>26.66</v>
      </c>
      <c r="AI77" s="5">
        <v>32</v>
      </c>
      <c r="AJ77" s="5">
        <v>28.695</v>
      </c>
      <c r="AK77" s="4"/>
      <c r="AL77" s="6"/>
      <c r="AM77" s="4"/>
      <c r="AN77" s="6"/>
      <c r="AO77" s="5"/>
      <c r="AP77" s="5"/>
      <c r="AQ77" s="4"/>
      <c r="AR77" s="6"/>
      <c r="AS77" s="4"/>
      <c r="AT77" s="6"/>
      <c r="AU77" s="5"/>
      <c r="AV77" s="5"/>
      <c r="AW77" s="4">
        <v>136</v>
      </c>
      <c r="AX77" s="6">
        <v>1706.16</v>
      </c>
      <c r="AY77" s="4">
        <v>73</v>
      </c>
      <c r="AZ77" s="6">
        <v>890.95</v>
      </c>
      <c r="BA77" s="5">
        <v>0.863</v>
      </c>
      <c r="BB77" s="5">
        <v>0.915</v>
      </c>
      <c r="BC77" s="4">
        <v>15</v>
      </c>
      <c r="BD77" s="6">
        <v>165.1</v>
      </c>
      <c r="BE77" s="4">
        <v>17</v>
      </c>
      <c r="BF77" s="6">
        <v>190.5</v>
      </c>
      <c r="BG77" s="5">
        <v>-0.1176</v>
      </c>
      <c r="BH77" s="5">
        <v>-0.1333</v>
      </c>
      <c r="BI77" s="4">
        <v>31</v>
      </c>
      <c r="BJ77" s="6">
        <v>354.7</v>
      </c>
      <c r="BK77" s="4">
        <v>30</v>
      </c>
      <c r="BL77" s="6">
        <v>339.6</v>
      </c>
      <c r="BM77" s="5">
        <v>0.0333</v>
      </c>
      <c r="BN77" s="5">
        <v>0.0445</v>
      </c>
      <c r="BO77" s="4">
        <v>6</v>
      </c>
      <c r="BP77" s="6">
        <v>66.05</v>
      </c>
      <c r="BQ77" s="4">
        <v>4</v>
      </c>
      <c r="BR77" s="6">
        <v>45.16</v>
      </c>
      <c r="BS77" s="5">
        <v>0.5</v>
      </c>
      <c r="BT77" s="5">
        <v>0.4626</v>
      </c>
      <c r="BU77" s="4">
        <v>26</v>
      </c>
      <c r="BV77" s="6">
        <v>314.24</v>
      </c>
      <c r="BW77" s="4">
        <v>37</v>
      </c>
      <c r="BX77" s="6">
        <v>439.81</v>
      </c>
      <c r="BY77" s="5">
        <v>-0.2973</v>
      </c>
      <c r="BZ77" s="5">
        <v>-0.2855</v>
      </c>
      <c r="CA77" s="4">
        <v>6</v>
      </c>
      <c r="CB77" s="6">
        <v>73.16</v>
      </c>
      <c r="CC77" s="4">
        <v>2</v>
      </c>
      <c r="CD77" s="6">
        <v>24.46</v>
      </c>
      <c r="CE77" s="5">
        <v>2</v>
      </c>
      <c r="CF77" s="5">
        <v>1.991</v>
      </c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>
        <v>2</v>
      </c>
      <c r="DL77" s="6">
        <v>46.82</v>
      </c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>
        <v>21</v>
      </c>
      <c r="FV77" s="6">
        <v>263.91</v>
      </c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/>
      <c r="IB77" s="6"/>
      <c r="IC77" s="4"/>
      <c r="ID77" s="6"/>
      <c r="IE77" s="5"/>
      <c r="IF77" s="5"/>
      <c r="IG77" s="4"/>
      <c r="IH77" s="6"/>
      <c r="II77" s="4"/>
      <c r="IJ77" s="6"/>
      <c r="IK77" s="5"/>
      <c r="IL77" s="5"/>
      <c r="IM77" s="4"/>
      <c r="IN77" s="6"/>
      <c r="IO77" s="4"/>
      <c r="IP77" s="6"/>
      <c r="IQ77" s="5"/>
      <c r="IR77" s="5"/>
      <c r="IS77" s="4"/>
      <c r="IT77" s="6"/>
      <c r="IU77" s="4"/>
      <c r="IV77" s="6"/>
      <c r="IW77" s="5"/>
      <c r="IX77" s="5"/>
      <c r="IY77" s="4"/>
      <c r="IZ77" s="6"/>
      <c r="JA77" s="4"/>
      <c r="JB77" s="6"/>
      <c r="JC77" s="5"/>
      <c r="JD77" s="5"/>
      <c r="JE77" s="4"/>
      <c r="JF77" s="6"/>
      <c r="JG77" s="4"/>
      <c r="JH77" s="6"/>
      <c r="JI77" s="5"/>
      <c r="JJ77" s="5"/>
      <c r="JK77" s="4">
        <v>674</v>
      </c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>
        <v>328</v>
      </c>
      <c r="KI77" s="4"/>
      <c r="KJ77" s="4"/>
      <c r="KK77" s="4"/>
      <c r="KL77" s="4"/>
      <c r="KM77" s="4"/>
      <c r="KN77" s="4"/>
      <c r="KO77" s="4"/>
      <c r="KP77" s="4"/>
      <c r="KQ77" s="4"/>
      <c r="KR77" s="4">
        <v>80</v>
      </c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</row>
    <row r="78">
      <c r="A78" s="3" t="s">
        <v>136</v>
      </c>
      <c r="B78" s="3" t="s">
        <v>137</v>
      </c>
      <c r="C78" s="3" t="s">
        <v>155</v>
      </c>
      <c r="D78" s="3" t="s">
        <v>156</v>
      </c>
      <c r="E78" s="3" t="s">
        <v>144</v>
      </c>
      <c r="F78" s="3" t="s">
        <v>144</v>
      </c>
      <c r="G78" s="3" t="s">
        <v>144</v>
      </c>
      <c r="H78" s="3" t="s">
        <v>141</v>
      </c>
      <c r="I78" s="3" t="s">
        <v>230</v>
      </c>
      <c r="J78" s="3" t="s">
        <v>228</v>
      </c>
      <c r="K78" s="4">
        <v>506</v>
      </c>
      <c r="L78" s="4">
        <f>=ROUNDDOWN(12.65,0)</f>
      </c>
      <c r="M78" s="4">
        <v>896</v>
      </c>
      <c r="N78" s="5">
        <v>1</v>
      </c>
      <c r="O78" s="4"/>
      <c r="P78" s="4">
        <f>=ROUNDDOWN({0},0)</f>
      </c>
      <c r="Q78" s="4"/>
      <c r="R78" s="5"/>
      <c r="S78" s="4">
        <v>429</v>
      </c>
      <c r="T78" s="6">
        <v>5166.85</v>
      </c>
      <c r="U78" s="4">
        <v>584</v>
      </c>
      <c r="V78" s="6">
        <v>7015.36</v>
      </c>
      <c r="W78" s="5">
        <v>-0.2654</v>
      </c>
      <c r="X78" s="5">
        <v>-0.2635</v>
      </c>
      <c r="Y78" s="4">
        <v>136</v>
      </c>
      <c r="Z78" s="6">
        <v>1674.02</v>
      </c>
      <c r="AA78" s="4">
        <v>359</v>
      </c>
      <c r="AB78" s="6">
        <v>4365.61</v>
      </c>
      <c r="AC78" s="5">
        <v>-0.6212</v>
      </c>
      <c r="AD78" s="5">
        <v>-0.6165</v>
      </c>
      <c r="AE78" s="4">
        <v>103</v>
      </c>
      <c r="AF78" s="6">
        <v>1220.8</v>
      </c>
      <c r="AG78" s="4">
        <v>13</v>
      </c>
      <c r="AH78" s="6">
        <v>151.93</v>
      </c>
      <c r="AI78" s="5">
        <v>6.9231</v>
      </c>
      <c r="AJ78" s="5">
        <v>7.0353</v>
      </c>
      <c r="AK78" s="4"/>
      <c r="AL78" s="6"/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>
        <v>112</v>
      </c>
      <c r="AX78" s="6">
        <v>1388.72</v>
      </c>
      <c r="AY78" s="4">
        <v>61</v>
      </c>
      <c r="AZ78" s="6">
        <v>740.57</v>
      </c>
      <c r="BA78" s="5">
        <v>0.8361</v>
      </c>
      <c r="BB78" s="5">
        <v>0.8752</v>
      </c>
      <c r="BC78" s="4">
        <v>10</v>
      </c>
      <c r="BD78" s="6">
        <v>116.84</v>
      </c>
      <c r="BE78" s="4">
        <v>32</v>
      </c>
      <c r="BF78" s="6">
        <v>342.9</v>
      </c>
      <c r="BG78" s="5">
        <v>-0.6875</v>
      </c>
      <c r="BH78" s="5">
        <v>-0.6593</v>
      </c>
      <c r="BI78" s="4">
        <v>28</v>
      </c>
      <c r="BJ78" s="6">
        <v>306.88</v>
      </c>
      <c r="BK78" s="4">
        <v>57</v>
      </c>
      <c r="BL78" s="6">
        <v>661.62</v>
      </c>
      <c r="BM78" s="5">
        <v>-0.5088</v>
      </c>
      <c r="BN78" s="5">
        <v>-0.5362</v>
      </c>
      <c r="BO78" s="4">
        <v>4</v>
      </c>
      <c r="BP78" s="6">
        <v>35.84</v>
      </c>
      <c r="BQ78" s="4">
        <v>6</v>
      </c>
      <c r="BR78" s="6">
        <v>59.84</v>
      </c>
      <c r="BS78" s="5">
        <v>-0.3333</v>
      </c>
      <c r="BT78" s="5">
        <v>-0.4011</v>
      </c>
      <c r="BU78" s="4">
        <v>31</v>
      </c>
      <c r="BV78" s="6">
        <v>366.01</v>
      </c>
      <c r="BW78" s="4">
        <v>42</v>
      </c>
      <c r="BX78" s="6">
        <v>513.82</v>
      </c>
      <c r="BY78" s="5">
        <v>-0.2619</v>
      </c>
      <c r="BZ78" s="5">
        <v>-0.2877</v>
      </c>
      <c r="CA78" s="4">
        <v>5</v>
      </c>
      <c r="CB78" s="6">
        <v>57.74</v>
      </c>
      <c r="CC78" s="4">
        <v>9</v>
      </c>
      <c r="CD78" s="6">
        <v>101.43</v>
      </c>
      <c r="CE78" s="5">
        <v>-0.4444</v>
      </c>
      <c r="CF78" s="5">
        <v>-0.4307</v>
      </c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>
        <v>1</v>
      </c>
      <c r="DN78" s="6">
        <v>26.99</v>
      </c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>
        <v>4</v>
      </c>
      <c r="FV78" s="6">
        <v>50.65</v>
      </c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/>
      <c r="IB78" s="6"/>
      <c r="IC78" s="4"/>
      <c r="ID78" s="6"/>
      <c r="IE78" s="5"/>
      <c r="IF78" s="5"/>
      <c r="IG78" s="4"/>
      <c r="IH78" s="6"/>
      <c r="II78" s="4"/>
      <c r="IJ78" s="6"/>
      <c r="IK78" s="5"/>
      <c r="IL78" s="5"/>
      <c r="IM78" s="4"/>
      <c r="IN78" s="6"/>
      <c r="IO78" s="4"/>
      <c r="IP78" s="6"/>
      <c r="IQ78" s="5"/>
      <c r="IR78" s="5"/>
      <c r="IS78" s="4"/>
      <c r="IT78" s="6"/>
      <c r="IU78" s="4"/>
      <c r="IV78" s="6"/>
      <c r="IW78" s="5"/>
      <c r="IX78" s="5"/>
      <c r="IY78" s="4"/>
      <c r="IZ78" s="6"/>
      <c r="JA78" s="4"/>
      <c r="JB78" s="6"/>
      <c r="JC78" s="5"/>
      <c r="JD78" s="5"/>
      <c r="JE78" s="4"/>
      <c r="JF78" s="6"/>
      <c r="JG78" s="4"/>
      <c r="JH78" s="6"/>
      <c r="JI78" s="5"/>
      <c r="JJ78" s="5"/>
      <c r="JK78" s="4">
        <v>506</v>
      </c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>
        <v>248</v>
      </c>
      <c r="KI78" s="4"/>
      <c r="KJ78" s="4"/>
      <c r="KK78" s="4"/>
      <c r="KL78" s="4"/>
      <c r="KM78" s="4"/>
      <c r="KN78" s="4"/>
      <c r="KO78" s="4"/>
      <c r="KP78" s="4"/>
      <c r="KQ78" s="4"/>
      <c r="KR78" s="4">
        <v>312</v>
      </c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>
        <v>256</v>
      </c>
      <c r="LH78" s="4"/>
      <c r="LI78" s="4"/>
      <c r="LJ78" s="4"/>
      <c r="LK78" s="4"/>
      <c r="LL78" s="4"/>
      <c r="LM78" s="4">
        <v>80</v>
      </c>
    </row>
    <row r="79">
      <c r="A79" s="3" t="s">
        <v>136</v>
      </c>
      <c r="B79" s="3" t="s">
        <v>137</v>
      </c>
      <c r="C79" s="3" t="s">
        <v>155</v>
      </c>
      <c r="D79" s="3" t="s">
        <v>156</v>
      </c>
      <c r="E79" s="3" t="s">
        <v>144</v>
      </c>
      <c r="F79" s="3" t="s">
        <v>144</v>
      </c>
      <c r="G79" s="3" t="s">
        <v>144</v>
      </c>
      <c r="H79" s="3" t="s">
        <v>141</v>
      </c>
      <c r="I79" s="3" t="s">
        <v>244</v>
      </c>
      <c r="J79" s="3" t="s">
        <v>228</v>
      </c>
      <c r="K79" s="4">
        <v>697</v>
      </c>
      <c r="L79" s="4">
        <f>=ROUNDDOWN(23.2333333333333,0)</f>
      </c>
      <c r="M79" s="4">
        <v>480</v>
      </c>
      <c r="N79" s="5">
        <v>1</v>
      </c>
      <c r="O79" s="4"/>
      <c r="P79" s="4">
        <f>=ROUNDDOWN({0},0)</f>
      </c>
      <c r="Q79" s="4"/>
      <c r="R79" s="5"/>
      <c r="S79" s="4">
        <v>318</v>
      </c>
      <c r="T79" s="6">
        <v>3836.99</v>
      </c>
      <c r="U79" s="4">
        <v>466</v>
      </c>
      <c r="V79" s="6">
        <v>5520.34</v>
      </c>
      <c r="W79" s="5">
        <v>-0.3176</v>
      </c>
      <c r="X79" s="5">
        <v>-0.3049</v>
      </c>
      <c r="Y79" s="4">
        <v>115</v>
      </c>
      <c r="Z79" s="6">
        <v>1387.85</v>
      </c>
      <c r="AA79" s="4">
        <v>290</v>
      </c>
      <c r="AB79" s="6">
        <v>3499.06</v>
      </c>
      <c r="AC79" s="5">
        <v>-0.6034</v>
      </c>
      <c r="AD79" s="5">
        <v>-0.6034</v>
      </c>
      <c r="AE79" s="4">
        <v>37</v>
      </c>
      <c r="AF79" s="6">
        <v>447.82</v>
      </c>
      <c r="AG79" s="4">
        <v>2</v>
      </c>
      <c r="AH79" s="6">
        <v>23.99</v>
      </c>
      <c r="AI79" s="5">
        <v>17.5</v>
      </c>
      <c r="AJ79" s="5">
        <v>17.6669</v>
      </c>
      <c r="AK79" s="4"/>
      <c r="AL79" s="6"/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>
        <v>107</v>
      </c>
      <c r="AX79" s="6">
        <v>1306.37</v>
      </c>
      <c r="AY79" s="4">
        <v>50</v>
      </c>
      <c r="AZ79" s="6">
        <v>620.56</v>
      </c>
      <c r="BA79" s="5">
        <v>1.14</v>
      </c>
      <c r="BB79" s="5">
        <v>1.1051</v>
      </c>
      <c r="BC79" s="4">
        <v>5</v>
      </c>
      <c r="BD79" s="6">
        <v>55.88</v>
      </c>
      <c r="BE79" s="4">
        <v>22</v>
      </c>
      <c r="BF79" s="6">
        <v>248.92</v>
      </c>
      <c r="BG79" s="5">
        <v>-0.7727</v>
      </c>
      <c r="BH79" s="5">
        <v>-0.7755</v>
      </c>
      <c r="BI79" s="4">
        <v>29</v>
      </c>
      <c r="BJ79" s="6">
        <v>324.5</v>
      </c>
      <c r="BK79" s="4">
        <v>56</v>
      </c>
      <c r="BL79" s="6">
        <v>608.72</v>
      </c>
      <c r="BM79" s="5">
        <v>-0.4821</v>
      </c>
      <c r="BN79" s="5">
        <v>-0.4669</v>
      </c>
      <c r="BO79" s="4">
        <v>7</v>
      </c>
      <c r="BP79" s="6">
        <v>77.97</v>
      </c>
      <c r="BQ79" s="4">
        <v>7</v>
      </c>
      <c r="BR79" s="6">
        <v>74.52</v>
      </c>
      <c r="BS79" s="5"/>
      <c r="BT79" s="5">
        <v>0.0463</v>
      </c>
      <c r="BU79" s="4">
        <v>9</v>
      </c>
      <c r="BV79" s="6">
        <v>98.19</v>
      </c>
      <c r="BW79" s="4">
        <v>27</v>
      </c>
      <c r="BX79" s="6">
        <v>302.91</v>
      </c>
      <c r="BY79" s="5">
        <v>-0.6667</v>
      </c>
      <c r="BZ79" s="5">
        <v>-0.6758</v>
      </c>
      <c r="CA79" s="4">
        <v>7</v>
      </c>
      <c r="CB79" s="6">
        <v>86.59</v>
      </c>
      <c r="CC79" s="4">
        <v>8</v>
      </c>
      <c r="CD79" s="6">
        <v>93.68</v>
      </c>
      <c r="CE79" s="5">
        <v>-0.125</v>
      </c>
      <c r="CF79" s="5">
        <v>-0.0757</v>
      </c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>
        <v>2</v>
      </c>
      <c r="DL79" s="6">
        <v>51.82</v>
      </c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>
        <v>4</v>
      </c>
      <c r="FV79" s="6">
        <v>47.98</v>
      </c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/>
      <c r="IB79" s="6"/>
      <c r="IC79" s="4"/>
      <c r="ID79" s="6"/>
      <c r="IE79" s="5"/>
      <c r="IF79" s="5"/>
      <c r="IG79" s="4"/>
      <c r="IH79" s="6"/>
      <c r="II79" s="4"/>
      <c r="IJ79" s="6"/>
      <c r="IK79" s="5"/>
      <c r="IL79" s="5"/>
      <c r="IM79" s="4"/>
      <c r="IN79" s="6"/>
      <c r="IO79" s="4"/>
      <c r="IP79" s="6"/>
      <c r="IQ79" s="5"/>
      <c r="IR79" s="5"/>
      <c r="IS79" s="4"/>
      <c r="IT79" s="6"/>
      <c r="IU79" s="4"/>
      <c r="IV79" s="6"/>
      <c r="IW79" s="5"/>
      <c r="IX79" s="5"/>
      <c r="IY79" s="4"/>
      <c r="IZ79" s="6"/>
      <c r="JA79" s="4"/>
      <c r="JB79" s="6"/>
      <c r="JC79" s="5"/>
      <c r="JD79" s="5"/>
      <c r="JE79" s="4"/>
      <c r="JF79" s="6"/>
      <c r="JG79" s="4"/>
      <c r="JH79" s="6"/>
      <c r="JI79" s="5"/>
      <c r="JJ79" s="5"/>
      <c r="JK79" s="4">
        <v>697</v>
      </c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>
        <v>336</v>
      </c>
      <c r="KI79" s="4"/>
      <c r="KJ79" s="4"/>
      <c r="KK79" s="4"/>
      <c r="KL79" s="4"/>
      <c r="KM79" s="4"/>
      <c r="KN79" s="4"/>
      <c r="KO79" s="4"/>
      <c r="KP79" s="4"/>
      <c r="KQ79" s="4"/>
      <c r="KR79" s="4">
        <v>104</v>
      </c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>
        <v>40</v>
      </c>
    </row>
    <row r="80">
      <c r="A80" s="3" t="s">
        <v>136</v>
      </c>
      <c r="B80" s="3" t="s">
        <v>137</v>
      </c>
      <c r="C80" s="3" t="s">
        <v>155</v>
      </c>
      <c r="D80" s="3" t="s">
        <v>156</v>
      </c>
      <c r="E80" s="3" t="s">
        <v>144</v>
      </c>
      <c r="F80" s="3" t="s">
        <v>144</v>
      </c>
      <c r="G80" s="3" t="s">
        <v>144</v>
      </c>
      <c r="H80" s="3" t="s">
        <v>141</v>
      </c>
      <c r="I80" s="3" t="s">
        <v>231</v>
      </c>
      <c r="J80" s="3" t="s">
        <v>241</v>
      </c>
      <c r="K80" s="4">
        <v>514</v>
      </c>
      <c r="L80" s="4">
        <f>=ROUNDDOWN(19.7692307692308,0)</f>
      </c>
      <c r="M80" s="4">
        <v>256</v>
      </c>
      <c r="N80" s="5"/>
      <c r="O80" s="4"/>
      <c r="P80" s="4">
        <f>=ROUNDDOWN({0},0)</f>
      </c>
      <c r="Q80" s="4"/>
      <c r="R80" s="5"/>
      <c r="S80" s="4">
        <v>301</v>
      </c>
      <c r="T80" s="6">
        <v>3689.72</v>
      </c>
      <c r="U80" s="4">
        <v>247</v>
      </c>
      <c r="V80" s="6">
        <v>3111.81</v>
      </c>
      <c r="W80" s="5">
        <v>0.2186</v>
      </c>
      <c r="X80" s="5">
        <v>0.1857</v>
      </c>
      <c r="Y80" s="4">
        <v>92</v>
      </c>
      <c r="Z80" s="6">
        <v>1146.94</v>
      </c>
      <c r="AA80" s="4">
        <v>102</v>
      </c>
      <c r="AB80" s="6">
        <v>1315.44</v>
      </c>
      <c r="AC80" s="5">
        <v>-0.098</v>
      </c>
      <c r="AD80" s="5">
        <v>-0.1281</v>
      </c>
      <c r="AE80" s="4">
        <v>55</v>
      </c>
      <c r="AF80" s="6">
        <v>669.07</v>
      </c>
      <c r="AG80" s="4">
        <v>4</v>
      </c>
      <c r="AH80" s="6">
        <v>45.31</v>
      </c>
      <c r="AI80" s="5">
        <v>12.75</v>
      </c>
      <c r="AJ80" s="5">
        <v>13.7665</v>
      </c>
      <c r="AK80" s="4"/>
      <c r="AL80" s="6"/>
      <c r="AM80" s="4"/>
      <c r="AN80" s="6"/>
      <c r="AO80" s="5"/>
      <c r="AP80" s="5"/>
      <c r="AQ80" s="4"/>
      <c r="AR80" s="6"/>
      <c r="AS80" s="4"/>
      <c r="AT80" s="6"/>
      <c r="AU80" s="5"/>
      <c r="AV80" s="5"/>
      <c r="AW80" s="4">
        <v>99</v>
      </c>
      <c r="AX80" s="6">
        <v>1224.65</v>
      </c>
      <c r="AY80" s="4">
        <v>51</v>
      </c>
      <c r="AZ80" s="6">
        <v>659.27</v>
      </c>
      <c r="BA80" s="5">
        <v>0.9412</v>
      </c>
      <c r="BB80" s="5">
        <v>0.8576</v>
      </c>
      <c r="BC80" s="4">
        <v>21</v>
      </c>
      <c r="BD80" s="6">
        <v>270.64</v>
      </c>
      <c r="BE80" s="4">
        <v>18</v>
      </c>
      <c r="BF80" s="6">
        <v>225.27</v>
      </c>
      <c r="BG80" s="5">
        <v>0.1667</v>
      </c>
      <c r="BH80" s="5">
        <v>0.2014</v>
      </c>
      <c r="BI80" s="4">
        <v>23</v>
      </c>
      <c r="BJ80" s="6">
        <v>249.02</v>
      </c>
      <c r="BK80" s="4">
        <v>28</v>
      </c>
      <c r="BL80" s="6">
        <v>329.56</v>
      </c>
      <c r="BM80" s="5">
        <v>-0.1786</v>
      </c>
      <c r="BN80" s="5">
        <v>-0.2444</v>
      </c>
      <c r="BO80" s="4">
        <v>4</v>
      </c>
      <c r="BP80" s="6">
        <v>43.28</v>
      </c>
      <c r="BQ80" s="4">
        <v>6</v>
      </c>
      <c r="BR80" s="6">
        <v>65.87</v>
      </c>
      <c r="BS80" s="5">
        <v>-0.3333</v>
      </c>
      <c r="BT80" s="5">
        <v>-0.3429</v>
      </c>
      <c r="BU80" s="4">
        <v>5</v>
      </c>
      <c r="BV80" s="6">
        <v>54.55</v>
      </c>
      <c r="BW80" s="4">
        <v>25</v>
      </c>
      <c r="BX80" s="6">
        <v>306.11</v>
      </c>
      <c r="BY80" s="5">
        <v>-0.8</v>
      </c>
      <c r="BZ80" s="5">
        <v>-0.8218</v>
      </c>
      <c r="CA80" s="4">
        <v>1</v>
      </c>
      <c r="CB80" s="6">
        <v>10.9</v>
      </c>
      <c r="CC80" s="4">
        <v>1</v>
      </c>
      <c r="CD80" s="6">
        <v>13.03</v>
      </c>
      <c r="CE80" s="5"/>
      <c r="CF80" s="5">
        <v>-0.1635</v>
      </c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>
        <v>1</v>
      </c>
      <c r="DL80" s="6">
        <v>20.67</v>
      </c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>
        <v>12</v>
      </c>
      <c r="FV80" s="6">
        <v>151.95</v>
      </c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/>
      <c r="IB80" s="6"/>
      <c r="IC80" s="4"/>
      <c r="ID80" s="6"/>
      <c r="IE80" s="5"/>
      <c r="IF80" s="5"/>
      <c r="IG80" s="4"/>
      <c r="IH80" s="6"/>
      <c r="II80" s="4"/>
      <c r="IJ80" s="6"/>
      <c r="IK80" s="5"/>
      <c r="IL80" s="5"/>
      <c r="IM80" s="4"/>
      <c r="IN80" s="6"/>
      <c r="IO80" s="4"/>
      <c r="IP80" s="6"/>
      <c r="IQ80" s="5"/>
      <c r="IR80" s="5"/>
      <c r="IS80" s="4"/>
      <c r="IT80" s="6"/>
      <c r="IU80" s="4"/>
      <c r="IV80" s="6"/>
      <c r="IW80" s="5"/>
      <c r="IX80" s="5"/>
      <c r="IY80" s="4"/>
      <c r="IZ80" s="6"/>
      <c r="JA80" s="4"/>
      <c r="JB80" s="6"/>
      <c r="JC80" s="5"/>
      <c r="JD80" s="5"/>
      <c r="JE80" s="4"/>
      <c r="JF80" s="6"/>
      <c r="JG80" s="4"/>
      <c r="JH80" s="6"/>
      <c r="JI80" s="5"/>
      <c r="JJ80" s="5"/>
      <c r="JK80" s="4">
        <v>514</v>
      </c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>
        <v>56</v>
      </c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>
        <v>80</v>
      </c>
      <c r="LH80" s="4"/>
      <c r="LI80" s="4"/>
      <c r="LJ80" s="4"/>
      <c r="LK80" s="4"/>
      <c r="LL80" s="4"/>
      <c r="LM80" s="4">
        <v>120</v>
      </c>
    </row>
    <row r="81">
      <c r="A81" s="3" t="s">
        <v>136</v>
      </c>
      <c r="B81" s="3" t="s">
        <v>137</v>
      </c>
      <c r="C81" s="3" t="s">
        <v>155</v>
      </c>
      <c r="D81" s="3" t="s">
        <v>156</v>
      </c>
      <c r="E81" s="3" t="s">
        <v>150</v>
      </c>
      <c r="F81" s="3" t="s">
        <v>150</v>
      </c>
      <c r="G81" s="3" t="s">
        <v>150</v>
      </c>
      <c r="H81" s="3" t="s">
        <v>151</v>
      </c>
      <c r="I81" s="3" t="s">
        <v>249</v>
      </c>
      <c r="J81" s="3" t="s">
        <v>241</v>
      </c>
      <c r="K81" s="4">
        <v>7</v>
      </c>
      <c r="L81" s="4">
        <f>=ROUNDDOWN(3.18181818181818,0)</f>
      </c>
      <c r="M81" s="4"/>
      <c r="N81" s="5"/>
      <c r="O81" s="4"/>
      <c r="P81" s="4">
        <f>=ROUNDDOWN({0},0)</f>
      </c>
      <c r="Q81" s="4"/>
      <c r="R81" s="5"/>
      <c r="S81" s="4">
        <v>25</v>
      </c>
      <c r="T81" s="6">
        <v>397.62</v>
      </c>
      <c r="U81" s="4">
        <v>16</v>
      </c>
      <c r="V81" s="6">
        <v>243.46</v>
      </c>
      <c r="W81" s="5">
        <v>0.5625</v>
      </c>
      <c r="X81" s="5">
        <v>0.6332</v>
      </c>
      <c r="Y81" s="4">
        <v>4</v>
      </c>
      <c r="Z81" s="6">
        <v>61.08</v>
      </c>
      <c r="AA81" s="4">
        <v>7</v>
      </c>
      <c r="AB81" s="6">
        <v>105.79</v>
      </c>
      <c r="AC81" s="5">
        <v>-0.4286</v>
      </c>
      <c r="AD81" s="5">
        <v>-0.4226</v>
      </c>
      <c r="AE81" s="4">
        <v>4</v>
      </c>
      <c r="AF81" s="6">
        <v>61.08</v>
      </c>
      <c r="AG81" s="4"/>
      <c r="AH81" s="6"/>
      <c r="AI81" s="5"/>
      <c r="AJ81" s="5"/>
      <c r="AK81" s="4"/>
      <c r="AL81" s="6"/>
      <c r="AM81" s="4"/>
      <c r="AN81" s="6"/>
      <c r="AO81" s="5"/>
      <c r="AP81" s="5"/>
      <c r="AQ81" s="4"/>
      <c r="AR81" s="6"/>
      <c r="AS81" s="4"/>
      <c r="AT81" s="6"/>
      <c r="AU81" s="5"/>
      <c r="AV81" s="5"/>
      <c r="AW81" s="4">
        <v>11</v>
      </c>
      <c r="AX81" s="6">
        <v>166.87</v>
      </c>
      <c r="AY81" s="4">
        <v>6</v>
      </c>
      <c r="AZ81" s="6">
        <v>91.62</v>
      </c>
      <c r="BA81" s="5">
        <v>0.8333</v>
      </c>
      <c r="BB81" s="5">
        <v>0.8213</v>
      </c>
      <c r="BC81" s="4"/>
      <c r="BD81" s="6"/>
      <c r="BE81" s="4"/>
      <c r="BF81" s="6"/>
      <c r="BG81" s="5"/>
      <c r="BH81" s="5"/>
      <c r="BI81" s="4">
        <v>2</v>
      </c>
      <c r="BJ81" s="6">
        <v>33.68</v>
      </c>
      <c r="BK81" s="4"/>
      <c r="BL81" s="6"/>
      <c r="BM81" s="5"/>
      <c r="BN81" s="5"/>
      <c r="BO81" s="4"/>
      <c r="BP81" s="6"/>
      <c r="BQ81" s="4">
        <v>1</v>
      </c>
      <c r="BR81" s="6">
        <v>13.49</v>
      </c>
      <c r="BS81" s="5"/>
      <c r="BT81" s="5"/>
      <c r="BU81" s="4"/>
      <c r="BV81" s="6"/>
      <c r="BW81" s="4"/>
      <c r="BX81" s="6"/>
      <c r="BY81" s="5"/>
      <c r="BZ81" s="5"/>
      <c r="CA81" s="4">
        <v>2</v>
      </c>
      <c r="CB81" s="6">
        <v>43.5</v>
      </c>
      <c r="CC81" s="4">
        <v>1</v>
      </c>
      <c r="CD81" s="6">
        <v>17.99</v>
      </c>
      <c r="CE81" s="5">
        <v>1</v>
      </c>
      <c r="CF81" s="5">
        <v>1.418</v>
      </c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>
        <v>2</v>
      </c>
      <c r="DX81" s="6">
        <v>31.41</v>
      </c>
      <c r="DY81" s="4">
        <v>1</v>
      </c>
      <c r="DZ81" s="6">
        <v>14.57</v>
      </c>
      <c r="EA81" s="5">
        <v>1</v>
      </c>
      <c r="EB81" s="5">
        <v>1.1558</v>
      </c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/>
      <c r="IB81" s="6"/>
      <c r="IC81" s="4"/>
      <c r="ID81" s="6"/>
      <c r="IE81" s="5"/>
      <c r="IF81" s="5"/>
      <c r="IG81" s="4"/>
      <c r="IH81" s="6"/>
      <c r="II81" s="4"/>
      <c r="IJ81" s="6"/>
      <c r="IK81" s="5"/>
      <c r="IL81" s="5"/>
      <c r="IM81" s="4"/>
      <c r="IN81" s="6"/>
      <c r="IO81" s="4"/>
      <c r="IP81" s="6"/>
      <c r="IQ81" s="5"/>
      <c r="IR81" s="5"/>
      <c r="IS81" s="4"/>
      <c r="IT81" s="6"/>
      <c r="IU81" s="4"/>
      <c r="IV81" s="6"/>
      <c r="IW81" s="5"/>
      <c r="IX81" s="5"/>
      <c r="IY81" s="4"/>
      <c r="IZ81" s="6"/>
      <c r="JA81" s="4"/>
      <c r="JB81" s="6"/>
      <c r="JC81" s="5"/>
      <c r="JD81" s="5"/>
      <c r="JE81" s="4"/>
      <c r="JF81" s="6"/>
      <c r="JG81" s="4"/>
      <c r="JH81" s="6"/>
      <c r="JI81" s="5"/>
      <c r="JJ81" s="5"/>
      <c r="JK81" s="4">
        <v>7</v>
      </c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</row>
    <row r="82">
      <c r="A82" s="3" t="s">
        <v>136</v>
      </c>
      <c r="B82" s="3" t="s">
        <v>137</v>
      </c>
      <c r="C82" s="3" t="s">
        <v>155</v>
      </c>
      <c r="D82" s="3" t="s">
        <v>156</v>
      </c>
      <c r="E82" s="3" t="s">
        <v>150</v>
      </c>
      <c r="F82" s="3" t="s">
        <v>150</v>
      </c>
      <c r="G82" s="3" t="s">
        <v>150</v>
      </c>
      <c r="H82" s="3" t="s">
        <v>151</v>
      </c>
      <c r="I82" s="3" t="s">
        <v>250</v>
      </c>
      <c r="J82" s="3" t="s">
        <v>241</v>
      </c>
      <c r="K82" s="4">
        <v>42</v>
      </c>
      <c r="L82" s="4">
        <f>=ROUNDDOWN(84,0)</f>
      </c>
      <c r="M82" s="4"/>
      <c r="N82" s="5"/>
      <c r="O82" s="4"/>
      <c r="P82" s="4">
        <f>=ROUNDDOWN({0},0)</f>
      </c>
      <c r="Q82" s="4"/>
      <c r="R82" s="5"/>
      <c r="S82" s="4">
        <v>14</v>
      </c>
      <c r="T82" s="6">
        <v>224.67</v>
      </c>
      <c r="U82" s="4">
        <v>20</v>
      </c>
      <c r="V82" s="6">
        <v>294.76</v>
      </c>
      <c r="W82" s="5">
        <v>-0.3</v>
      </c>
      <c r="X82" s="5">
        <v>-0.2378</v>
      </c>
      <c r="Y82" s="4">
        <v>3</v>
      </c>
      <c r="Z82" s="6">
        <v>42.51</v>
      </c>
      <c r="AA82" s="4">
        <v>12</v>
      </c>
      <c r="AB82" s="6">
        <v>176.64</v>
      </c>
      <c r="AC82" s="5">
        <v>-0.75</v>
      </c>
      <c r="AD82" s="5">
        <v>-0.7593</v>
      </c>
      <c r="AE82" s="4"/>
      <c r="AF82" s="6"/>
      <c r="AG82" s="4"/>
      <c r="AH82" s="6"/>
      <c r="AI82" s="5"/>
      <c r="AJ82" s="5"/>
      <c r="AK82" s="4">
        <v>1</v>
      </c>
      <c r="AL82" s="6">
        <v>29.99</v>
      </c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>
        <v>6</v>
      </c>
      <c r="AX82" s="6">
        <v>91.62</v>
      </c>
      <c r="AY82" s="4">
        <v>3</v>
      </c>
      <c r="AZ82" s="6">
        <v>44.71</v>
      </c>
      <c r="BA82" s="5">
        <v>1</v>
      </c>
      <c r="BB82" s="5">
        <v>1.0492</v>
      </c>
      <c r="BC82" s="4"/>
      <c r="BD82" s="6"/>
      <c r="BE82" s="4"/>
      <c r="BF82" s="6"/>
      <c r="BG82" s="5"/>
      <c r="BH82" s="5"/>
      <c r="BI82" s="4">
        <v>3</v>
      </c>
      <c r="BJ82" s="6">
        <v>45.98</v>
      </c>
      <c r="BK82" s="4"/>
      <c r="BL82" s="6"/>
      <c r="BM82" s="5"/>
      <c r="BN82" s="5"/>
      <c r="BO82" s="4"/>
      <c r="BP82" s="6"/>
      <c r="BQ82" s="4">
        <v>3</v>
      </c>
      <c r="BR82" s="6">
        <v>44.67</v>
      </c>
      <c r="BS82" s="5"/>
      <c r="BT82" s="5"/>
      <c r="BU82" s="4"/>
      <c r="BV82" s="6"/>
      <c r="BW82" s="4"/>
      <c r="BX82" s="6"/>
      <c r="BY82" s="5"/>
      <c r="BZ82" s="5"/>
      <c r="CA82" s="4"/>
      <c r="CB82" s="6"/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>
        <v>1</v>
      </c>
      <c r="DX82" s="6">
        <v>14.57</v>
      </c>
      <c r="DY82" s="4">
        <v>1</v>
      </c>
      <c r="DZ82" s="6">
        <v>14.57</v>
      </c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>
        <v>1</v>
      </c>
      <c r="FV82" s="6">
        <v>14.17</v>
      </c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/>
      <c r="IB82" s="6"/>
      <c r="IC82" s="4"/>
      <c r="ID82" s="6"/>
      <c r="IE82" s="5"/>
      <c r="IF82" s="5"/>
      <c r="IG82" s="4"/>
      <c r="IH82" s="6"/>
      <c r="II82" s="4"/>
      <c r="IJ82" s="6"/>
      <c r="IK82" s="5"/>
      <c r="IL82" s="5"/>
      <c r="IM82" s="4"/>
      <c r="IN82" s="6"/>
      <c r="IO82" s="4"/>
      <c r="IP82" s="6"/>
      <c r="IQ82" s="5"/>
      <c r="IR82" s="5"/>
      <c r="IS82" s="4"/>
      <c r="IT82" s="6"/>
      <c r="IU82" s="4"/>
      <c r="IV82" s="6"/>
      <c r="IW82" s="5"/>
      <c r="IX82" s="5"/>
      <c r="IY82" s="4"/>
      <c r="IZ82" s="6"/>
      <c r="JA82" s="4"/>
      <c r="JB82" s="6"/>
      <c r="JC82" s="5"/>
      <c r="JD82" s="5"/>
      <c r="JE82" s="4"/>
      <c r="JF82" s="6"/>
      <c r="JG82" s="4"/>
      <c r="JH82" s="6"/>
      <c r="JI82" s="5"/>
      <c r="JJ82" s="5"/>
      <c r="JK82" s="4">
        <v>42</v>
      </c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</row>
    <row r="83">
      <c r="A83" s="3" t="s">
        <v>136</v>
      </c>
      <c r="B83" s="3" t="s">
        <v>137</v>
      </c>
      <c r="C83" s="3" t="s">
        <v>155</v>
      </c>
      <c r="D83" s="3" t="s">
        <v>156</v>
      </c>
      <c r="E83" s="3" t="s">
        <v>150</v>
      </c>
      <c r="F83" s="3" t="s">
        <v>150</v>
      </c>
      <c r="G83" s="3" t="s">
        <v>150</v>
      </c>
      <c r="H83" s="3" t="s">
        <v>151</v>
      </c>
      <c r="I83" s="3" t="s">
        <v>229</v>
      </c>
      <c r="J83" s="3" t="s">
        <v>241</v>
      </c>
      <c r="K83" s="4">
        <v>1</v>
      </c>
      <c r="L83" s="4">
        <f>=ROUNDDOWN(1,0)</f>
      </c>
      <c r="M83" s="4"/>
      <c r="N83" s="5"/>
      <c r="O83" s="4"/>
      <c r="P83" s="4">
        <f>=ROUNDDOWN({0},0)</f>
      </c>
      <c r="Q83" s="4"/>
      <c r="R83" s="5"/>
      <c r="S83" s="4"/>
      <c r="T83" s="6"/>
      <c r="U83" s="4">
        <v>29</v>
      </c>
      <c r="V83" s="6">
        <v>448.17</v>
      </c>
      <c r="W83" s="5"/>
      <c r="X83" s="5"/>
      <c r="Y83" s="4"/>
      <c r="Z83" s="6"/>
      <c r="AA83" s="4">
        <v>23</v>
      </c>
      <c r="AB83" s="6">
        <v>358.91</v>
      </c>
      <c r="AC83" s="5"/>
      <c r="AD83" s="5"/>
      <c r="AE83" s="4"/>
      <c r="AF83" s="6"/>
      <c r="AG83" s="4">
        <v>1</v>
      </c>
      <c r="AH83" s="6">
        <v>16.37</v>
      </c>
      <c r="AI83" s="5"/>
      <c r="AJ83" s="5"/>
      <c r="AK83" s="4"/>
      <c r="AL83" s="6"/>
      <c r="AM83" s="4"/>
      <c r="AN83" s="6"/>
      <c r="AO83" s="5"/>
      <c r="AP83" s="5"/>
      <c r="AQ83" s="4"/>
      <c r="AR83" s="6"/>
      <c r="AS83" s="4"/>
      <c r="AT83" s="6"/>
      <c r="AU83" s="5"/>
      <c r="AV83" s="5"/>
      <c r="AW83" s="4"/>
      <c r="AX83" s="6"/>
      <c r="AY83" s="4">
        <v>2</v>
      </c>
      <c r="AZ83" s="6">
        <v>32.74</v>
      </c>
      <c r="BA83" s="5"/>
      <c r="BB83" s="5"/>
      <c r="BC83" s="4"/>
      <c r="BD83" s="6"/>
      <c r="BE83" s="4"/>
      <c r="BF83" s="6"/>
      <c r="BG83" s="5"/>
      <c r="BH83" s="5"/>
      <c r="BI83" s="4"/>
      <c r="BJ83" s="6"/>
      <c r="BK83" s="4"/>
      <c r="BL83" s="6"/>
      <c r="BM83" s="5"/>
      <c r="BN83" s="5"/>
      <c r="BO83" s="4"/>
      <c r="BP83" s="6"/>
      <c r="BQ83" s="4">
        <v>1</v>
      </c>
      <c r="BR83" s="6">
        <v>13.49</v>
      </c>
      <c r="BS83" s="5"/>
      <c r="BT83" s="5"/>
      <c r="BU83" s="4"/>
      <c r="BV83" s="6"/>
      <c r="BW83" s="4"/>
      <c r="BX83" s="6"/>
      <c r="BY83" s="5"/>
      <c r="BZ83" s="5"/>
      <c r="CA83" s="4"/>
      <c r="CB83" s="6"/>
      <c r="CC83" s="4"/>
      <c r="CD83" s="6"/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>
        <v>1</v>
      </c>
      <c r="DN83" s="6">
        <v>12.49</v>
      </c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>
        <v>1</v>
      </c>
      <c r="FV83" s="6">
        <v>14.17</v>
      </c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/>
      <c r="IB83" s="6"/>
      <c r="IC83" s="4"/>
      <c r="ID83" s="6"/>
      <c r="IE83" s="5"/>
      <c r="IF83" s="5"/>
      <c r="IG83" s="4"/>
      <c r="IH83" s="6"/>
      <c r="II83" s="4"/>
      <c r="IJ83" s="6"/>
      <c r="IK83" s="5"/>
      <c r="IL83" s="5"/>
      <c r="IM83" s="4"/>
      <c r="IN83" s="6"/>
      <c r="IO83" s="4"/>
      <c r="IP83" s="6"/>
      <c r="IQ83" s="5"/>
      <c r="IR83" s="5"/>
      <c r="IS83" s="4"/>
      <c r="IT83" s="6"/>
      <c r="IU83" s="4"/>
      <c r="IV83" s="6"/>
      <c r="IW83" s="5"/>
      <c r="IX83" s="5"/>
      <c r="IY83" s="4"/>
      <c r="IZ83" s="6"/>
      <c r="JA83" s="4"/>
      <c r="JB83" s="6"/>
      <c r="JC83" s="5"/>
      <c r="JD83" s="5"/>
      <c r="JE83" s="4"/>
      <c r="JF83" s="6"/>
      <c r="JG83" s="4"/>
      <c r="JH83" s="6"/>
      <c r="JI83" s="5"/>
      <c r="JJ83" s="5"/>
      <c r="JK83" s="4">
        <v>1</v>
      </c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</row>
    <row r="84">
      <c r="A84" s="3" t="s">
        <v>136</v>
      </c>
      <c r="B84" s="3" t="s">
        <v>158</v>
      </c>
      <c r="C84" s="3" t="s">
        <v>138</v>
      </c>
      <c r="D84" s="3" t="s">
        <v>139</v>
      </c>
      <c r="E84" s="3" t="s">
        <v>159</v>
      </c>
      <c r="F84" s="3" t="s">
        <v>159</v>
      </c>
      <c r="G84" s="3" t="s">
        <v>159</v>
      </c>
      <c r="H84" s="3" t="s">
        <v>159</v>
      </c>
      <c r="I84" s="3" t="s">
        <v>257</v>
      </c>
      <c r="J84" s="3" t="s">
        <v>259</v>
      </c>
      <c r="K84" s="4">
        <v>681</v>
      </c>
      <c r="L84" s="4">
        <f>=ROUNDDOWN(0.470954356846473,0)</f>
      </c>
      <c r="M84" s="4">
        <v>26590</v>
      </c>
      <c r="N84" s="5">
        <v>0.638</v>
      </c>
      <c r="O84" s="4"/>
      <c r="P84" s="4">
        <f>=ROUNDDOWN({0},0)</f>
      </c>
      <c r="Q84" s="4"/>
      <c r="R84" s="5"/>
      <c r="S84" s="4">
        <v>8939</v>
      </c>
      <c r="T84" s="6">
        <v>171006.11</v>
      </c>
      <c r="U84" s="4">
        <v>3259</v>
      </c>
      <c r="V84" s="6">
        <v>64691.25</v>
      </c>
      <c r="W84" s="5">
        <v>1.7429</v>
      </c>
      <c r="X84" s="5">
        <v>1.6434</v>
      </c>
      <c r="Y84" s="4">
        <v>254</v>
      </c>
      <c r="Z84" s="6">
        <v>5240.22</v>
      </c>
      <c r="AA84" s="4">
        <v>338</v>
      </c>
      <c r="AB84" s="6">
        <v>6793.34</v>
      </c>
      <c r="AC84" s="5">
        <v>-0.2485</v>
      </c>
      <c r="AD84" s="5">
        <v>-0.2286</v>
      </c>
      <c r="AE84" s="4">
        <v>185</v>
      </c>
      <c r="AF84" s="6">
        <v>4059.13</v>
      </c>
      <c r="AG84" s="4">
        <v>11</v>
      </c>
      <c r="AH84" s="6">
        <v>247.32</v>
      </c>
      <c r="AI84" s="5">
        <v>15.8182</v>
      </c>
      <c r="AJ84" s="5">
        <v>15.4125</v>
      </c>
      <c r="AK84" s="4">
        <v>6578</v>
      </c>
      <c r="AL84" s="6">
        <v>123968.02</v>
      </c>
      <c r="AM84" s="4"/>
      <c r="AN84" s="6"/>
      <c r="AO84" s="5"/>
      <c r="AP84" s="5"/>
      <c r="AQ84" s="4">
        <v>729</v>
      </c>
      <c r="AR84" s="6">
        <v>13700.88</v>
      </c>
      <c r="AS84" s="4">
        <v>681</v>
      </c>
      <c r="AT84" s="6">
        <v>12964.17</v>
      </c>
      <c r="AU84" s="5">
        <v>0.0705</v>
      </c>
      <c r="AV84" s="5">
        <v>0.0568</v>
      </c>
      <c r="AW84" s="4">
        <v>153</v>
      </c>
      <c r="AX84" s="6">
        <v>3086.8</v>
      </c>
      <c r="AY84" s="4">
        <v>223</v>
      </c>
      <c r="AZ84" s="6">
        <v>4421.35</v>
      </c>
      <c r="BA84" s="5">
        <v>-0.3139</v>
      </c>
      <c r="BB84" s="5">
        <v>-0.3018</v>
      </c>
      <c r="BC84" s="4">
        <v>380</v>
      </c>
      <c r="BD84" s="6">
        <v>7268.94</v>
      </c>
      <c r="BE84" s="4">
        <v>913</v>
      </c>
      <c r="BF84" s="6">
        <v>17053.62</v>
      </c>
      <c r="BG84" s="5">
        <v>-0.5838</v>
      </c>
      <c r="BH84" s="5">
        <v>-0.5738</v>
      </c>
      <c r="BI84" s="4">
        <v>92</v>
      </c>
      <c r="BJ84" s="6">
        <v>1731.36</v>
      </c>
      <c r="BK84" s="4">
        <v>149</v>
      </c>
      <c r="BL84" s="6">
        <v>2970.73</v>
      </c>
      <c r="BM84" s="5">
        <v>-0.3826</v>
      </c>
      <c r="BN84" s="5">
        <v>-0.4172</v>
      </c>
      <c r="BO84" s="4">
        <v>176</v>
      </c>
      <c r="BP84" s="6">
        <v>3430.32</v>
      </c>
      <c r="BQ84" s="4">
        <v>138</v>
      </c>
      <c r="BR84" s="6">
        <v>2772.84</v>
      </c>
      <c r="BS84" s="5">
        <v>0.2754</v>
      </c>
      <c r="BT84" s="5">
        <v>0.2371</v>
      </c>
      <c r="BU84" s="4">
        <v>29</v>
      </c>
      <c r="BV84" s="6">
        <v>615.18</v>
      </c>
      <c r="BW84" s="4">
        <v>82</v>
      </c>
      <c r="BX84" s="6">
        <v>1699.41</v>
      </c>
      <c r="BY84" s="5">
        <v>-0.6463</v>
      </c>
      <c r="BZ84" s="5">
        <v>-0.638</v>
      </c>
      <c r="CA84" s="4">
        <v>142</v>
      </c>
      <c r="CB84" s="6">
        <v>3158.76</v>
      </c>
      <c r="CC84" s="4">
        <v>57</v>
      </c>
      <c r="CD84" s="6">
        <v>1195.17</v>
      </c>
      <c r="CE84" s="5">
        <v>1.4912</v>
      </c>
      <c r="CF84" s="5">
        <v>1.6429</v>
      </c>
      <c r="CG84" s="4">
        <v>28</v>
      </c>
      <c r="CH84" s="6">
        <v>518.84</v>
      </c>
      <c r="CI84" s="4">
        <v>45</v>
      </c>
      <c r="CJ84" s="6">
        <v>855.48</v>
      </c>
      <c r="CK84" s="5">
        <v>-0.3778</v>
      </c>
      <c r="CL84" s="5">
        <v>-0.3935</v>
      </c>
      <c r="CM84" s="4"/>
      <c r="CN84" s="6"/>
      <c r="CO84" s="4"/>
      <c r="CP84" s="6"/>
      <c r="CQ84" s="5"/>
      <c r="CR84" s="5"/>
      <c r="CS84" s="4">
        <v>47</v>
      </c>
      <c r="CT84" s="6">
        <v>1009.12</v>
      </c>
      <c r="CU84" s="4">
        <v>165</v>
      </c>
      <c r="CV84" s="6">
        <v>3514.2</v>
      </c>
      <c r="CW84" s="5">
        <v>-0.7152</v>
      </c>
      <c r="CX84" s="5">
        <v>-0.7128</v>
      </c>
      <c r="CY84" s="4">
        <v>105</v>
      </c>
      <c r="CZ84" s="6">
        <v>2157.83</v>
      </c>
      <c r="DA84" s="4">
        <v>269</v>
      </c>
      <c r="DB84" s="6">
        <v>5441.53</v>
      </c>
      <c r="DC84" s="5">
        <v>-0.6097</v>
      </c>
      <c r="DD84" s="5">
        <v>-0.6035</v>
      </c>
      <c r="DE84" s="4">
        <v>27</v>
      </c>
      <c r="DF84" s="6">
        <v>594.96</v>
      </c>
      <c r="DG84" s="4">
        <v>67</v>
      </c>
      <c r="DH84" s="6">
        <v>1382.48</v>
      </c>
      <c r="DI84" s="5">
        <v>-0.597</v>
      </c>
      <c r="DJ84" s="5">
        <v>-0.5696</v>
      </c>
      <c r="DK84" s="4">
        <v>10</v>
      </c>
      <c r="DL84" s="6">
        <v>383.74</v>
      </c>
      <c r="DM84" s="4">
        <v>50</v>
      </c>
      <c r="DN84" s="6">
        <v>1887.2</v>
      </c>
      <c r="DO84" s="5">
        <v>-0.8</v>
      </c>
      <c r="DP84" s="5">
        <v>-0.7967</v>
      </c>
      <c r="DQ84" s="4">
        <v>4</v>
      </c>
      <c r="DR84" s="6">
        <v>82.01</v>
      </c>
      <c r="DS84" s="4">
        <v>10</v>
      </c>
      <c r="DT84" s="6">
        <v>219.48</v>
      </c>
      <c r="DU84" s="5">
        <v>-0.6</v>
      </c>
      <c r="DV84" s="5">
        <v>-0.6263</v>
      </c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>
        <v>55</v>
      </c>
      <c r="FV84" s="6">
        <v>1141.18</v>
      </c>
      <c r="FW84" s="5"/>
      <c r="FX84" s="5"/>
      <c r="FY84" s="4"/>
      <c r="FZ84" s="6"/>
      <c r="GA84" s="4">
        <v>2</v>
      </c>
      <c r="GB84" s="6">
        <v>39.91</v>
      </c>
      <c r="GC84" s="5"/>
      <c r="GD84" s="5"/>
      <c r="GE84" s="4"/>
      <c r="GF84" s="6"/>
      <c r="GG84" s="4">
        <v>4</v>
      </c>
      <c r="GH84" s="6">
        <v>91.84</v>
      </c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/>
      <c r="IB84" s="6"/>
      <c r="IC84" s="4"/>
      <c r="ID84" s="6"/>
      <c r="IE84" s="5"/>
      <c r="IF84" s="5"/>
      <c r="IG84" s="4"/>
      <c r="IH84" s="6"/>
      <c r="II84" s="4"/>
      <c r="IJ84" s="6"/>
      <c r="IK84" s="5"/>
      <c r="IL84" s="5"/>
      <c r="IM84" s="4"/>
      <c r="IN84" s="6"/>
      <c r="IO84" s="4"/>
      <c r="IP84" s="6"/>
      <c r="IQ84" s="5"/>
      <c r="IR84" s="5"/>
      <c r="IS84" s="4"/>
      <c r="IT84" s="6"/>
      <c r="IU84" s="4"/>
      <c r="IV84" s="6"/>
      <c r="IW84" s="5"/>
      <c r="IX84" s="5"/>
      <c r="IY84" s="4"/>
      <c r="IZ84" s="6"/>
      <c r="JA84" s="4"/>
      <c r="JB84" s="6"/>
      <c r="JC84" s="5"/>
      <c r="JD84" s="5"/>
      <c r="JE84" s="4"/>
      <c r="JF84" s="6"/>
      <c r="JG84" s="4"/>
      <c r="JH84" s="6"/>
      <c r="JI84" s="5"/>
      <c r="JJ84" s="5"/>
      <c r="JK84" s="4">
        <v>21</v>
      </c>
      <c r="JL84" s="4"/>
      <c r="JM84" s="4"/>
      <c r="JN84" s="4"/>
      <c r="JO84" s="4">
        <v>660</v>
      </c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>
        <v>3950</v>
      </c>
      <c r="KH84" s="4"/>
      <c r="KI84" s="4"/>
      <c r="KJ84" s="4">
        <v>2000</v>
      </c>
      <c r="KK84" s="4"/>
      <c r="KL84" s="4"/>
      <c r="KM84" s="4"/>
      <c r="KN84" s="4"/>
      <c r="KO84" s="4"/>
      <c r="KP84" s="4"/>
      <c r="KQ84" s="4"/>
      <c r="KR84" s="4"/>
      <c r="KS84" s="4">
        <v>7590</v>
      </c>
      <c r="KT84" s="4"/>
      <c r="KU84" s="4"/>
      <c r="KV84" s="4"/>
      <c r="KW84" s="4">
        <v>3300</v>
      </c>
      <c r="KX84" s="4"/>
      <c r="KY84" s="4"/>
      <c r="KZ84" s="4"/>
      <c r="LA84" s="4"/>
      <c r="LB84" s="4"/>
      <c r="LC84" s="4">
        <v>9750</v>
      </c>
      <c r="LD84" s="4"/>
      <c r="LE84" s="4"/>
      <c r="LF84" s="4"/>
      <c r="LG84" s="4"/>
      <c r="LH84" s="4"/>
      <c r="LI84" s="4"/>
      <c r="LJ84" s="4"/>
      <c r="LK84" s="4"/>
      <c r="LL84" s="4"/>
      <c r="LM84" s="4"/>
    </row>
    <row r="85">
      <c r="A85" s="3" t="s">
        <v>136</v>
      </c>
      <c r="B85" s="3" t="s">
        <v>158</v>
      </c>
      <c r="C85" s="3" t="s">
        <v>138</v>
      </c>
      <c r="D85" s="3" t="s">
        <v>139</v>
      </c>
      <c r="E85" s="3" t="s">
        <v>159</v>
      </c>
      <c r="F85" s="3" t="s">
        <v>159</v>
      </c>
      <c r="G85" s="3" t="s">
        <v>159</v>
      </c>
      <c r="H85" s="3" t="s">
        <v>159</v>
      </c>
      <c r="I85" s="3" t="s">
        <v>230</v>
      </c>
      <c r="J85" s="3" t="s">
        <v>259</v>
      </c>
      <c r="K85" s="4">
        <v>199</v>
      </c>
      <c r="L85" s="4">
        <f>=ROUNDDOWN(0.255128205128205,0)</f>
      </c>
      <c r="M85" s="4">
        <v>20380</v>
      </c>
      <c r="N85" s="5">
        <v>0.6451</v>
      </c>
      <c r="O85" s="4"/>
      <c r="P85" s="4">
        <f>=ROUNDDOWN({0},0)</f>
      </c>
      <c r="Q85" s="4"/>
      <c r="R85" s="5"/>
      <c r="S85" s="4">
        <v>5157</v>
      </c>
      <c r="T85" s="6">
        <v>97064.37</v>
      </c>
      <c r="U85" s="4">
        <v>2196</v>
      </c>
      <c r="V85" s="6">
        <v>46459.41</v>
      </c>
      <c r="W85" s="5">
        <v>1.3484</v>
      </c>
      <c r="X85" s="5">
        <v>1.0892</v>
      </c>
      <c r="Y85" s="4">
        <v>149</v>
      </c>
      <c r="Z85" s="6">
        <v>3049.72</v>
      </c>
      <c r="AA85" s="4">
        <v>283</v>
      </c>
      <c r="AB85" s="6">
        <v>5895.54</v>
      </c>
      <c r="AC85" s="5">
        <v>-0.4735</v>
      </c>
      <c r="AD85" s="5">
        <v>-0.4827</v>
      </c>
      <c r="AE85" s="4">
        <v>129</v>
      </c>
      <c r="AF85" s="6">
        <v>2808.18</v>
      </c>
      <c r="AG85" s="4">
        <v>36</v>
      </c>
      <c r="AH85" s="6">
        <v>795.3</v>
      </c>
      <c r="AI85" s="5">
        <v>2.5833</v>
      </c>
      <c r="AJ85" s="5">
        <v>2.531</v>
      </c>
      <c r="AK85" s="4">
        <v>4118</v>
      </c>
      <c r="AL85" s="6">
        <v>75260.14</v>
      </c>
      <c r="AM85" s="4"/>
      <c r="AN85" s="6"/>
      <c r="AO85" s="5"/>
      <c r="AP85" s="5"/>
      <c r="AQ85" s="4">
        <v>149</v>
      </c>
      <c r="AR85" s="6">
        <v>3447.64</v>
      </c>
      <c r="AS85" s="4">
        <v>334</v>
      </c>
      <c r="AT85" s="6">
        <v>7955.26</v>
      </c>
      <c r="AU85" s="5">
        <v>-0.5539</v>
      </c>
      <c r="AV85" s="5">
        <v>-0.5666</v>
      </c>
      <c r="AW85" s="4">
        <v>98</v>
      </c>
      <c r="AX85" s="6">
        <v>1952.44</v>
      </c>
      <c r="AY85" s="4">
        <v>173</v>
      </c>
      <c r="AZ85" s="6">
        <v>3542.79</v>
      </c>
      <c r="BA85" s="5">
        <v>-0.4335</v>
      </c>
      <c r="BB85" s="5">
        <v>-0.4489</v>
      </c>
      <c r="BC85" s="4">
        <v>114</v>
      </c>
      <c r="BD85" s="6">
        <v>2191.78</v>
      </c>
      <c r="BE85" s="4">
        <v>444</v>
      </c>
      <c r="BF85" s="6">
        <v>8600.24</v>
      </c>
      <c r="BG85" s="5">
        <v>-0.7432</v>
      </c>
      <c r="BH85" s="5">
        <v>-0.7451</v>
      </c>
      <c r="BI85" s="4">
        <v>66</v>
      </c>
      <c r="BJ85" s="6">
        <v>1271.04</v>
      </c>
      <c r="BK85" s="4">
        <v>132</v>
      </c>
      <c r="BL85" s="6">
        <v>2662.14</v>
      </c>
      <c r="BM85" s="5">
        <v>-0.5</v>
      </c>
      <c r="BN85" s="5">
        <v>-0.5225</v>
      </c>
      <c r="BO85" s="4">
        <v>133</v>
      </c>
      <c r="BP85" s="6">
        <v>2527.73</v>
      </c>
      <c r="BQ85" s="4">
        <v>334</v>
      </c>
      <c r="BR85" s="6">
        <v>6819.02</v>
      </c>
      <c r="BS85" s="5">
        <v>-0.6018</v>
      </c>
      <c r="BT85" s="5">
        <v>-0.6293</v>
      </c>
      <c r="BU85" s="4">
        <v>16</v>
      </c>
      <c r="BV85" s="6">
        <v>348.48</v>
      </c>
      <c r="BW85" s="4">
        <v>93</v>
      </c>
      <c r="BX85" s="6">
        <v>2015.07</v>
      </c>
      <c r="BY85" s="5">
        <v>-0.828</v>
      </c>
      <c r="BZ85" s="5">
        <v>-0.8271</v>
      </c>
      <c r="CA85" s="4">
        <v>115</v>
      </c>
      <c r="CB85" s="6">
        <v>2628.33</v>
      </c>
      <c r="CC85" s="4">
        <v>83</v>
      </c>
      <c r="CD85" s="6">
        <v>1809.63</v>
      </c>
      <c r="CE85" s="5">
        <v>0.3855</v>
      </c>
      <c r="CF85" s="5">
        <v>0.4524</v>
      </c>
      <c r="CG85" s="4">
        <v>1</v>
      </c>
      <c r="CH85" s="6">
        <v>21.79</v>
      </c>
      <c r="CI85" s="4">
        <v>7</v>
      </c>
      <c r="CJ85" s="6">
        <v>174.68</v>
      </c>
      <c r="CK85" s="5">
        <v>-0.8571</v>
      </c>
      <c r="CL85" s="5">
        <v>-0.8753</v>
      </c>
      <c r="CM85" s="4"/>
      <c r="CN85" s="6"/>
      <c r="CO85" s="4"/>
      <c r="CP85" s="6"/>
      <c r="CQ85" s="5"/>
      <c r="CR85" s="5"/>
      <c r="CS85" s="4">
        <v>29</v>
      </c>
      <c r="CT85" s="6">
        <v>617.44</v>
      </c>
      <c r="CU85" s="4">
        <v>144</v>
      </c>
      <c r="CV85" s="6">
        <v>3104.64</v>
      </c>
      <c r="CW85" s="5">
        <v>-0.7986</v>
      </c>
      <c r="CX85" s="5">
        <v>-0.8011</v>
      </c>
      <c r="CY85" s="4">
        <v>27</v>
      </c>
      <c r="CZ85" s="6">
        <v>572.74</v>
      </c>
      <c r="DA85" s="4">
        <v>49</v>
      </c>
      <c r="DB85" s="6">
        <v>1020.76</v>
      </c>
      <c r="DC85" s="5">
        <v>-0.449</v>
      </c>
      <c r="DD85" s="5">
        <v>-0.4389</v>
      </c>
      <c r="DE85" s="4">
        <v>7</v>
      </c>
      <c r="DF85" s="6">
        <v>153.32</v>
      </c>
      <c r="DG85" s="4">
        <v>23</v>
      </c>
      <c r="DH85" s="6">
        <v>509.86</v>
      </c>
      <c r="DI85" s="5">
        <v>-0.6957</v>
      </c>
      <c r="DJ85" s="5">
        <v>-0.6993</v>
      </c>
      <c r="DK85" s="4">
        <v>6</v>
      </c>
      <c r="DL85" s="6">
        <v>213.6</v>
      </c>
      <c r="DM85" s="4">
        <v>14</v>
      </c>
      <c r="DN85" s="6">
        <v>544.26</v>
      </c>
      <c r="DO85" s="5">
        <v>-0.5714</v>
      </c>
      <c r="DP85" s="5">
        <v>-0.6075</v>
      </c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>
        <v>34</v>
      </c>
      <c r="FV85" s="6">
        <v>722.44</v>
      </c>
      <c r="FW85" s="5"/>
      <c r="FX85" s="5"/>
      <c r="FY85" s="4"/>
      <c r="FZ85" s="6"/>
      <c r="GA85" s="4">
        <v>2</v>
      </c>
      <c r="GB85" s="6">
        <v>45.16</v>
      </c>
      <c r="GC85" s="5"/>
      <c r="GD85" s="5"/>
      <c r="GE85" s="4"/>
      <c r="GF85" s="6"/>
      <c r="GG85" s="4">
        <v>11</v>
      </c>
      <c r="GH85" s="6">
        <v>242.62</v>
      </c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/>
      <c r="IB85" s="6"/>
      <c r="IC85" s="4"/>
      <c r="ID85" s="6"/>
      <c r="IE85" s="5"/>
      <c r="IF85" s="5"/>
      <c r="IG85" s="4"/>
      <c r="IH85" s="6"/>
      <c r="II85" s="4"/>
      <c r="IJ85" s="6"/>
      <c r="IK85" s="5"/>
      <c r="IL85" s="5"/>
      <c r="IM85" s="4"/>
      <c r="IN85" s="6"/>
      <c r="IO85" s="4"/>
      <c r="IP85" s="6"/>
      <c r="IQ85" s="5"/>
      <c r="IR85" s="5"/>
      <c r="IS85" s="4"/>
      <c r="IT85" s="6"/>
      <c r="IU85" s="4"/>
      <c r="IV85" s="6"/>
      <c r="IW85" s="5"/>
      <c r="IX85" s="5"/>
      <c r="IY85" s="4"/>
      <c r="IZ85" s="6"/>
      <c r="JA85" s="4"/>
      <c r="JB85" s="6"/>
      <c r="JC85" s="5"/>
      <c r="JD85" s="5"/>
      <c r="JE85" s="4"/>
      <c r="JF85" s="6"/>
      <c r="JG85" s="4"/>
      <c r="JH85" s="6"/>
      <c r="JI85" s="5"/>
      <c r="JJ85" s="5"/>
      <c r="JK85" s="4">
        <v>88</v>
      </c>
      <c r="JL85" s="4"/>
      <c r="JM85" s="4"/>
      <c r="JN85" s="4"/>
      <c r="JO85" s="4">
        <v>111</v>
      </c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>
        <v>1900</v>
      </c>
      <c r="KH85" s="4"/>
      <c r="KI85" s="4"/>
      <c r="KJ85" s="4">
        <v>2030</v>
      </c>
      <c r="KK85" s="4"/>
      <c r="KL85" s="4"/>
      <c r="KM85" s="4"/>
      <c r="KN85" s="4"/>
      <c r="KO85" s="4"/>
      <c r="KP85" s="4"/>
      <c r="KQ85" s="4"/>
      <c r="KR85" s="4"/>
      <c r="KS85" s="4">
        <v>4350</v>
      </c>
      <c r="KT85" s="4"/>
      <c r="KU85" s="4"/>
      <c r="KV85" s="4"/>
      <c r="KW85" s="4">
        <v>2350</v>
      </c>
      <c r="KX85" s="4"/>
      <c r="KY85" s="4"/>
      <c r="KZ85" s="4"/>
      <c r="LA85" s="4"/>
      <c r="LB85" s="4"/>
      <c r="LC85" s="4">
        <v>9000</v>
      </c>
      <c r="LD85" s="4"/>
      <c r="LE85" s="4"/>
      <c r="LF85" s="4"/>
      <c r="LG85" s="4">
        <v>750</v>
      </c>
      <c r="LH85" s="4"/>
      <c r="LI85" s="4"/>
      <c r="LJ85" s="4"/>
      <c r="LK85" s="4"/>
      <c r="LL85" s="4"/>
      <c r="LM85" s="4"/>
    </row>
    <row r="86">
      <c r="A86" s="3" t="s">
        <v>136</v>
      </c>
      <c r="B86" s="3" t="s">
        <v>158</v>
      </c>
      <c r="C86" s="3" t="s">
        <v>138</v>
      </c>
      <c r="D86" s="3" t="s">
        <v>139</v>
      </c>
      <c r="E86" s="3" t="s">
        <v>159</v>
      </c>
      <c r="F86" s="3" t="s">
        <v>159</v>
      </c>
      <c r="G86" s="3" t="s">
        <v>159</v>
      </c>
      <c r="H86" s="3" t="s">
        <v>159</v>
      </c>
      <c r="I86" s="3" t="s">
        <v>245</v>
      </c>
      <c r="J86" s="3" t="s">
        <v>259</v>
      </c>
      <c r="K86" s="4">
        <v>1808</v>
      </c>
      <c r="L86" s="4">
        <f>=ROUNDDOWN(5.12181303116147,0)</f>
      </c>
      <c r="M86" s="4">
        <v>10220</v>
      </c>
      <c r="N86" s="5">
        <v>0.9493</v>
      </c>
      <c r="O86" s="4"/>
      <c r="P86" s="4">
        <f>=ROUNDDOWN({0},0)</f>
      </c>
      <c r="Q86" s="4"/>
      <c r="R86" s="5"/>
      <c r="S86" s="4">
        <v>3466</v>
      </c>
      <c r="T86" s="6">
        <v>69225.96</v>
      </c>
      <c r="U86" s="4">
        <v>1536</v>
      </c>
      <c r="V86" s="6">
        <v>32927.78</v>
      </c>
      <c r="W86" s="5">
        <v>1.2565</v>
      </c>
      <c r="X86" s="5">
        <v>1.1024</v>
      </c>
      <c r="Y86" s="4">
        <v>239</v>
      </c>
      <c r="Z86" s="6">
        <v>4853.47</v>
      </c>
      <c r="AA86" s="4">
        <v>167</v>
      </c>
      <c r="AB86" s="6">
        <v>3406.76</v>
      </c>
      <c r="AC86" s="5">
        <v>0.4311</v>
      </c>
      <c r="AD86" s="5">
        <v>0.4247</v>
      </c>
      <c r="AE86" s="4">
        <v>152</v>
      </c>
      <c r="AF86" s="6">
        <v>3258.91</v>
      </c>
      <c r="AG86" s="4">
        <v>24</v>
      </c>
      <c r="AH86" s="6">
        <v>505.81</v>
      </c>
      <c r="AI86" s="5">
        <v>5.3333</v>
      </c>
      <c r="AJ86" s="5">
        <v>5.443</v>
      </c>
      <c r="AK86" s="4">
        <v>1495</v>
      </c>
      <c r="AL86" s="6">
        <v>28855.01</v>
      </c>
      <c r="AM86" s="4"/>
      <c r="AN86" s="6"/>
      <c r="AO86" s="5"/>
      <c r="AP86" s="5"/>
      <c r="AQ86" s="4">
        <v>582</v>
      </c>
      <c r="AR86" s="6">
        <v>13013.53</v>
      </c>
      <c r="AS86" s="4">
        <v>460</v>
      </c>
      <c r="AT86" s="6">
        <v>10950.1</v>
      </c>
      <c r="AU86" s="5">
        <v>0.2652</v>
      </c>
      <c r="AV86" s="5">
        <v>0.1884</v>
      </c>
      <c r="AW86" s="4">
        <v>153</v>
      </c>
      <c r="AX86" s="6">
        <v>3029.53</v>
      </c>
      <c r="AY86" s="4">
        <v>181</v>
      </c>
      <c r="AZ86" s="6">
        <v>3622.65</v>
      </c>
      <c r="BA86" s="5">
        <v>-0.1547</v>
      </c>
      <c r="BB86" s="5">
        <v>-0.1637</v>
      </c>
      <c r="BC86" s="4">
        <v>443</v>
      </c>
      <c r="BD86" s="6">
        <v>8356.7</v>
      </c>
      <c r="BE86" s="4">
        <v>167</v>
      </c>
      <c r="BF86" s="6">
        <v>3263.44</v>
      </c>
      <c r="BG86" s="5">
        <v>1.6527</v>
      </c>
      <c r="BH86" s="5">
        <v>1.5607</v>
      </c>
      <c r="BI86" s="4">
        <v>69</v>
      </c>
      <c r="BJ86" s="6">
        <v>1291.84</v>
      </c>
      <c r="BK86" s="4">
        <v>95</v>
      </c>
      <c r="BL86" s="6">
        <v>1906.39</v>
      </c>
      <c r="BM86" s="5">
        <v>-0.2737</v>
      </c>
      <c r="BN86" s="5">
        <v>-0.3224</v>
      </c>
      <c r="BO86" s="4">
        <v>207</v>
      </c>
      <c r="BP86" s="6">
        <v>3832.73</v>
      </c>
      <c r="BQ86" s="4">
        <v>202</v>
      </c>
      <c r="BR86" s="6">
        <v>4018.52</v>
      </c>
      <c r="BS86" s="5">
        <v>0.0248</v>
      </c>
      <c r="BT86" s="5">
        <v>-0.0462</v>
      </c>
      <c r="BU86" s="4">
        <v>39</v>
      </c>
      <c r="BV86" s="6">
        <v>832.89</v>
      </c>
      <c r="BW86" s="4">
        <v>66</v>
      </c>
      <c r="BX86" s="6">
        <v>1406.01</v>
      </c>
      <c r="BY86" s="5">
        <v>-0.4091</v>
      </c>
      <c r="BZ86" s="5">
        <v>-0.4076</v>
      </c>
      <c r="CA86" s="4">
        <v>37</v>
      </c>
      <c r="CB86" s="6">
        <v>793.96</v>
      </c>
      <c r="CC86" s="4">
        <v>36</v>
      </c>
      <c r="CD86" s="6">
        <v>796.52</v>
      </c>
      <c r="CE86" s="5">
        <v>0.0278</v>
      </c>
      <c r="CF86" s="5">
        <v>-0.0032</v>
      </c>
      <c r="CG86" s="4">
        <v>3</v>
      </c>
      <c r="CH86" s="6">
        <v>69.94</v>
      </c>
      <c r="CI86" s="4">
        <v>6</v>
      </c>
      <c r="CJ86" s="6">
        <v>152.28</v>
      </c>
      <c r="CK86" s="5">
        <v>-0.5</v>
      </c>
      <c r="CL86" s="5">
        <v>-0.5407</v>
      </c>
      <c r="CM86" s="4"/>
      <c r="CN86" s="6"/>
      <c r="CO86" s="4"/>
      <c r="CP86" s="6"/>
      <c r="CQ86" s="5"/>
      <c r="CR86" s="5"/>
      <c r="CS86" s="4">
        <v>26</v>
      </c>
      <c r="CT86" s="6">
        <v>536.56</v>
      </c>
      <c r="CU86" s="4">
        <v>70</v>
      </c>
      <c r="CV86" s="6">
        <v>1482.8</v>
      </c>
      <c r="CW86" s="5">
        <v>-0.6286</v>
      </c>
      <c r="CX86" s="5">
        <v>-0.6381</v>
      </c>
      <c r="CY86" s="4">
        <v>8</v>
      </c>
      <c r="CZ86" s="6">
        <v>181.44</v>
      </c>
      <c r="DA86" s="4">
        <v>11</v>
      </c>
      <c r="DB86" s="6">
        <v>249.48</v>
      </c>
      <c r="DC86" s="5">
        <v>-0.2727</v>
      </c>
      <c r="DD86" s="5">
        <v>-0.2727</v>
      </c>
      <c r="DE86" s="4">
        <v>9</v>
      </c>
      <c r="DF86" s="6">
        <v>199.56</v>
      </c>
      <c r="DG86" s="4">
        <v>26</v>
      </c>
      <c r="DH86" s="6">
        <v>560.44</v>
      </c>
      <c r="DI86" s="5">
        <v>-0.6538</v>
      </c>
      <c r="DJ86" s="5">
        <v>-0.6439</v>
      </c>
      <c r="DK86" s="4">
        <v>4</v>
      </c>
      <c r="DL86" s="6">
        <v>119.89</v>
      </c>
      <c r="DM86" s="4">
        <v>4</v>
      </c>
      <c r="DN86" s="6">
        <v>161.96</v>
      </c>
      <c r="DO86" s="5"/>
      <c r="DP86" s="5">
        <v>-0.2598</v>
      </c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>
        <v>1</v>
      </c>
      <c r="EF86" s="6">
        <v>22.58</v>
      </c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>
        <v>19</v>
      </c>
      <c r="FV86" s="6">
        <v>402.09</v>
      </c>
      <c r="FW86" s="5"/>
      <c r="FX86" s="5"/>
      <c r="FY86" s="4"/>
      <c r="FZ86" s="6"/>
      <c r="GA86" s="4">
        <v>1</v>
      </c>
      <c r="GB86" s="6">
        <v>19.95</v>
      </c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/>
      <c r="IB86" s="6"/>
      <c r="IC86" s="4"/>
      <c r="ID86" s="6"/>
      <c r="IE86" s="5"/>
      <c r="IF86" s="5"/>
      <c r="IG86" s="4"/>
      <c r="IH86" s="6"/>
      <c r="II86" s="4"/>
      <c r="IJ86" s="6"/>
      <c r="IK86" s="5"/>
      <c r="IL86" s="5"/>
      <c r="IM86" s="4"/>
      <c r="IN86" s="6"/>
      <c r="IO86" s="4"/>
      <c r="IP86" s="6"/>
      <c r="IQ86" s="5"/>
      <c r="IR86" s="5"/>
      <c r="IS86" s="4"/>
      <c r="IT86" s="6"/>
      <c r="IU86" s="4"/>
      <c r="IV86" s="6"/>
      <c r="IW86" s="5"/>
      <c r="IX86" s="5"/>
      <c r="IY86" s="4"/>
      <c r="IZ86" s="6"/>
      <c r="JA86" s="4"/>
      <c r="JB86" s="6"/>
      <c r="JC86" s="5"/>
      <c r="JD86" s="5"/>
      <c r="JE86" s="4"/>
      <c r="JF86" s="6"/>
      <c r="JG86" s="4"/>
      <c r="JH86" s="6"/>
      <c r="JI86" s="5"/>
      <c r="JJ86" s="5"/>
      <c r="JK86" s="4">
        <v>1096</v>
      </c>
      <c r="JL86" s="4"/>
      <c r="JM86" s="4"/>
      <c r="JN86" s="4"/>
      <c r="JO86" s="4">
        <v>602</v>
      </c>
      <c r="JP86" s="4"/>
      <c r="JQ86" s="4"/>
      <c r="JR86" s="4">
        <v>110</v>
      </c>
      <c r="JS86" s="4"/>
      <c r="JT86" s="4"/>
      <c r="JU86" s="4"/>
      <c r="JV86" s="4"/>
      <c r="JW86" s="4"/>
      <c r="JX86" s="4"/>
      <c r="JY86" s="4"/>
      <c r="JZ86" s="4"/>
      <c r="KA86" s="4">
        <v>490</v>
      </c>
      <c r="KB86" s="4"/>
      <c r="KC86" s="4"/>
      <c r="KD86" s="4"/>
      <c r="KE86" s="4">
        <v>110</v>
      </c>
      <c r="KF86" s="4"/>
      <c r="KG86" s="4">
        <v>200</v>
      </c>
      <c r="KH86" s="4"/>
      <c r="KI86" s="4"/>
      <c r="KJ86" s="4">
        <v>920</v>
      </c>
      <c r="KK86" s="4"/>
      <c r="KL86" s="4"/>
      <c r="KM86" s="4"/>
      <c r="KN86" s="4"/>
      <c r="KO86" s="4"/>
      <c r="KP86" s="4"/>
      <c r="KQ86" s="4"/>
      <c r="KR86" s="4"/>
      <c r="KS86" s="4">
        <v>2450</v>
      </c>
      <c r="KT86" s="4"/>
      <c r="KU86" s="4"/>
      <c r="KV86" s="4"/>
      <c r="KW86" s="4">
        <v>1000</v>
      </c>
      <c r="KX86" s="4"/>
      <c r="KY86" s="4"/>
      <c r="KZ86" s="4"/>
      <c r="LA86" s="4"/>
      <c r="LB86" s="4"/>
      <c r="LC86" s="4">
        <v>4870</v>
      </c>
      <c r="LD86" s="4"/>
      <c r="LE86" s="4"/>
      <c r="LF86" s="4"/>
      <c r="LG86" s="4">
        <v>180</v>
      </c>
      <c r="LH86" s="4"/>
      <c r="LI86" s="4"/>
      <c r="LJ86" s="4"/>
      <c r="LK86" s="4"/>
      <c r="LL86" s="4"/>
      <c r="LM86" s="4"/>
    </row>
    <row r="87">
      <c r="A87" s="3" t="s">
        <v>136</v>
      </c>
      <c r="B87" s="3" t="s">
        <v>158</v>
      </c>
      <c r="C87" s="3" t="s">
        <v>138</v>
      </c>
      <c r="D87" s="3" t="s">
        <v>139</v>
      </c>
      <c r="E87" s="3" t="s">
        <v>159</v>
      </c>
      <c r="F87" s="3" t="s">
        <v>159</v>
      </c>
      <c r="G87" s="3" t="s">
        <v>159</v>
      </c>
      <c r="H87" s="3" t="s">
        <v>159</v>
      </c>
      <c r="I87" s="3" t="s">
        <v>229</v>
      </c>
      <c r="J87" s="3" t="s">
        <v>242</v>
      </c>
      <c r="K87" s="4">
        <v>996</v>
      </c>
      <c r="L87" s="4">
        <f>=ROUNDDOWN(3.39931740614334,0)</f>
      </c>
      <c r="M87" s="4">
        <v>7960</v>
      </c>
      <c r="N87" s="5">
        <v>0.9891</v>
      </c>
      <c r="O87" s="4"/>
      <c r="P87" s="4">
        <f>=ROUNDDOWN({0},0)</f>
      </c>
      <c r="Q87" s="4"/>
      <c r="R87" s="5"/>
      <c r="S87" s="4">
        <v>2959</v>
      </c>
      <c r="T87" s="6">
        <v>58732.7</v>
      </c>
      <c r="U87" s="4">
        <v>1812</v>
      </c>
      <c r="V87" s="6">
        <v>36692.44</v>
      </c>
      <c r="W87" s="5">
        <v>0.633</v>
      </c>
      <c r="X87" s="5">
        <v>0.6007</v>
      </c>
      <c r="Y87" s="4">
        <v>205</v>
      </c>
      <c r="Z87" s="6">
        <v>4237.95</v>
      </c>
      <c r="AA87" s="4">
        <v>301</v>
      </c>
      <c r="AB87" s="6">
        <v>6228.73</v>
      </c>
      <c r="AC87" s="5">
        <v>-0.3189</v>
      </c>
      <c r="AD87" s="5">
        <v>-0.3196</v>
      </c>
      <c r="AE87" s="4">
        <v>195</v>
      </c>
      <c r="AF87" s="6">
        <v>4143.03</v>
      </c>
      <c r="AG87" s="4">
        <v>28</v>
      </c>
      <c r="AH87" s="6">
        <v>610.2</v>
      </c>
      <c r="AI87" s="5">
        <v>5.9643</v>
      </c>
      <c r="AJ87" s="5">
        <v>5.7896</v>
      </c>
      <c r="AK87" s="4">
        <v>1668</v>
      </c>
      <c r="AL87" s="6">
        <v>32514.07</v>
      </c>
      <c r="AM87" s="4"/>
      <c r="AN87" s="6"/>
      <c r="AO87" s="5"/>
      <c r="AP87" s="5"/>
      <c r="AQ87" s="4">
        <v>248</v>
      </c>
      <c r="AR87" s="6">
        <v>5221.7</v>
      </c>
      <c r="AS87" s="4">
        <v>201</v>
      </c>
      <c r="AT87" s="6">
        <v>4247.65</v>
      </c>
      <c r="AU87" s="5">
        <v>0.2338</v>
      </c>
      <c r="AV87" s="5">
        <v>0.2293</v>
      </c>
      <c r="AW87" s="4">
        <v>91</v>
      </c>
      <c r="AX87" s="6">
        <v>1839.07</v>
      </c>
      <c r="AY87" s="4">
        <v>196</v>
      </c>
      <c r="AZ87" s="6">
        <v>3897.15</v>
      </c>
      <c r="BA87" s="5">
        <v>-0.5357</v>
      </c>
      <c r="BB87" s="5">
        <v>-0.5281</v>
      </c>
      <c r="BC87" s="4">
        <v>246</v>
      </c>
      <c r="BD87" s="6">
        <v>4705.22</v>
      </c>
      <c r="BE87" s="4">
        <v>468</v>
      </c>
      <c r="BF87" s="6">
        <v>8938.74</v>
      </c>
      <c r="BG87" s="5">
        <v>-0.4744</v>
      </c>
      <c r="BH87" s="5">
        <v>-0.4736</v>
      </c>
      <c r="BI87" s="4">
        <v>65</v>
      </c>
      <c r="BJ87" s="6">
        <v>1241.2</v>
      </c>
      <c r="BK87" s="4">
        <v>143</v>
      </c>
      <c r="BL87" s="6">
        <v>2920.44</v>
      </c>
      <c r="BM87" s="5">
        <v>-0.5455</v>
      </c>
      <c r="BN87" s="5">
        <v>-0.575</v>
      </c>
      <c r="BO87" s="4">
        <v>139</v>
      </c>
      <c r="BP87" s="6">
        <v>2603.29</v>
      </c>
      <c r="BQ87" s="4">
        <v>338</v>
      </c>
      <c r="BR87" s="6">
        <v>6734.63</v>
      </c>
      <c r="BS87" s="5">
        <v>-0.5888</v>
      </c>
      <c r="BT87" s="5">
        <v>-0.6134</v>
      </c>
      <c r="BU87" s="4">
        <v>30</v>
      </c>
      <c r="BV87" s="6">
        <v>609.63</v>
      </c>
      <c r="BW87" s="4">
        <v>52</v>
      </c>
      <c r="BX87" s="6">
        <v>1094.16</v>
      </c>
      <c r="BY87" s="5">
        <v>-0.4231</v>
      </c>
      <c r="BZ87" s="5">
        <v>-0.4428</v>
      </c>
      <c r="CA87" s="4">
        <v>8</v>
      </c>
      <c r="CB87" s="6">
        <v>214.34</v>
      </c>
      <c r="CC87" s="4">
        <v>4</v>
      </c>
      <c r="CD87" s="6">
        <v>108.68</v>
      </c>
      <c r="CE87" s="5">
        <v>1</v>
      </c>
      <c r="CF87" s="5">
        <v>0.9722</v>
      </c>
      <c r="CG87" s="4">
        <v>5</v>
      </c>
      <c r="CH87" s="6">
        <v>96.25</v>
      </c>
      <c r="CI87" s="4">
        <v>6</v>
      </c>
      <c r="CJ87" s="6">
        <v>125.4</v>
      </c>
      <c r="CK87" s="5">
        <v>-0.1667</v>
      </c>
      <c r="CL87" s="5">
        <v>-0.2325</v>
      </c>
      <c r="CM87" s="4"/>
      <c r="CN87" s="6"/>
      <c r="CO87" s="4"/>
      <c r="CP87" s="6"/>
      <c r="CQ87" s="5"/>
      <c r="CR87" s="5"/>
      <c r="CS87" s="4">
        <v>25</v>
      </c>
      <c r="CT87" s="6">
        <v>514.56</v>
      </c>
      <c r="CU87" s="4"/>
      <c r="CV87" s="6"/>
      <c r="CW87" s="5"/>
      <c r="CX87" s="5"/>
      <c r="CY87" s="4">
        <v>7</v>
      </c>
      <c r="CZ87" s="6">
        <v>141.76</v>
      </c>
      <c r="DA87" s="4">
        <v>10</v>
      </c>
      <c r="DB87" s="6">
        <v>199.52</v>
      </c>
      <c r="DC87" s="5">
        <v>-0.3</v>
      </c>
      <c r="DD87" s="5">
        <v>-0.2895</v>
      </c>
      <c r="DE87" s="4">
        <v>11</v>
      </c>
      <c r="DF87" s="6">
        <v>239.14</v>
      </c>
      <c r="DG87" s="4">
        <v>20</v>
      </c>
      <c r="DH87" s="6">
        <v>416.62</v>
      </c>
      <c r="DI87" s="5">
        <v>-0.45</v>
      </c>
      <c r="DJ87" s="5">
        <v>-0.426</v>
      </c>
      <c r="DK87" s="4">
        <v>6</v>
      </c>
      <c r="DL87" s="6">
        <v>193.77</v>
      </c>
      <c r="DM87" s="4">
        <v>11</v>
      </c>
      <c r="DN87" s="6">
        <v>423.59</v>
      </c>
      <c r="DO87" s="5">
        <v>-0.4545</v>
      </c>
      <c r="DP87" s="5">
        <v>-0.5426</v>
      </c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>
        <v>9</v>
      </c>
      <c r="EJ87" s="6">
        <v>194.02</v>
      </c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>
        <v>1</v>
      </c>
      <c r="EV87" s="6">
        <v>23.7</v>
      </c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>
        <v>30</v>
      </c>
      <c r="FV87" s="6">
        <v>664.5</v>
      </c>
      <c r="FW87" s="5"/>
      <c r="FX87" s="5"/>
      <c r="FY87" s="4"/>
      <c r="FZ87" s="6"/>
      <c r="GA87" s="4">
        <v>4</v>
      </c>
      <c r="GB87" s="6">
        <v>82.43</v>
      </c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/>
      <c r="IB87" s="6"/>
      <c r="IC87" s="4"/>
      <c r="ID87" s="6"/>
      <c r="IE87" s="5"/>
      <c r="IF87" s="5"/>
      <c r="IG87" s="4"/>
      <c r="IH87" s="6"/>
      <c r="II87" s="4"/>
      <c r="IJ87" s="6"/>
      <c r="IK87" s="5"/>
      <c r="IL87" s="5"/>
      <c r="IM87" s="4"/>
      <c r="IN87" s="6"/>
      <c r="IO87" s="4"/>
      <c r="IP87" s="6"/>
      <c r="IQ87" s="5"/>
      <c r="IR87" s="5"/>
      <c r="IS87" s="4"/>
      <c r="IT87" s="6"/>
      <c r="IU87" s="4"/>
      <c r="IV87" s="6"/>
      <c r="IW87" s="5"/>
      <c r="IX87" s="5"/>
      <c r="IY87" s="4"/>
      <c r="IZ87" s="6"/>
      <c r="JA87" s="4"/>
      <c r="JB87" s="6"/>
      <c r="JC87" s="5"/>
      <c r="JD87" s="5"/>
      <c r="JE87" s="4"/>
      <c r="JF87" s="6"/>
      <c r="JG87" s="4"/>
      <c r="JH87" s="6"/>
      <c r="JI87" s="5"/>
      <c r="JJ87" s="5"/>
      <c r="JK87" s="4">
        <v>634</v>
      </c>
      <c r="JL87" s="4"/>
      <c r="JM87" s="4"/>
      <c r="JN87" s="4"/>
      <c r="JO87" s="4">
        <v>362</v>
      </c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>
        <v>500</v>
      </c>
      <c r="KH87" s="4"/>
      <c r="KI87" s="4"/>
      <c r="KJ87" s="4">
        <v>700</v>
      </c>
      <c r="KK87" s="4"/>
      <c r="KL87" s="4">
        <v>250</v>
      </c>
      <c r="KM87" s="4"/>
      <c r="KN87" s="4"/>
      <c r="KO87" s="4"/>
      <c r="KP87" s="4"/>
      <c r="KQ87" s="4"/>
      <c r="KR87" s="4"/>
      <c r="KS87" s="4">
        <v>1960</v>
      </c>
      <c r="KT87" s="4"/>
      <c r="KU87" s="4"/>
      <c r="KV87" s="4"/>
      <c r="KW87" s="4">
        <v>700</v>
      </c>
      <c r="KX87" s="4"/>
      <c r="KY87" s="4"/>
      <c r="KZ87" s="4"/>
      <c r="LA87" s="4"/>
      <c r="LB87" s="4"/>
      <c r="LC87" s="4">
        <v>3850</v>
      </c>
      <c r="LD87" s="4"/>
      <c r="LE87" s="4"/>
      <c r="LF87" s="4"/>
      <c r="LG87" s="4"/>
      <c r="LH87" s="4"/>
      <c r="LI87" s="4"/>
      <c r="LJ87" s="4"/>
      <c r="LK87" s="4"/>
      <c r="LL87" s="4"/>
      <c r="LM87" s="4"/>
    </row>
    <row r="88">
      <c r="A88" s="3" t="s">
        <v>136</v>
      </c>
      <c r="B88" s="3" t="s">
        <v>158</v>
      </c>
      <c r="C88" s="3" t="s">
        <v>138</v>
      </c>
      <c r="D88" s="3" t="s">
        <v>139</v>
      </c>
      <c r="E88" s="3" t="s">
        <v>159</v>
      </c>
      <c r="F88" s="3" t="s">
        <v>159</v>
      </c>
      <c r="G88" s="3" t="s">
        <v>159</v>
      </c>
      <c r="H88" s="3" t="s">
        <v>159</v>
      </c>
      <c r="I88" s="3" t="s">
        <v>232</v>
      </c>
      <c r="J88" s="3" t="s">
        <v>241</v>
      </c>
      <c r="K88" s="4">
        <v>522</v>
      </c>
      <c r="L88" s="4">
        <f>=ROUNDDOWN(2.82009724473258,0)</f>
      </c>
      <c r="M88" s="4">
        <v>950</v>
      </c>
      <c r="N88" s="5"/>
      <c r="O88" s="4"/>
      <c r="P88" s="4">
        <f>=ROUNDDOWN({0},0)</f>
      </c>
      <c r="Q88" s="4"/>
      <c r="R88" s="5"/>
      <c r="S88" s="4">
        <v>2626</v>
      </c>
      <c r="T88" s="6">
        <v>50897.09</v>
      </c>
      <c r="U88" s="4">
        <v>915</v>
      </c>
      <c r="V88" s="6">
        <v>18433.25</v>
      </c>
      <c r="W88" s="5">
        <v>1.8699</v>
      </c>
      <c r="X88" s="5">
        <v>1.7612</v>
      </c>
      <c r="Y88" s="4">
        <v>124</v>
      </c>
      <c r="Z88" s="6">
        <v>2575.62</v>
      </c>
      <c r="AA88" s="4">
        <v>114</v>
      </c>
      <c r="AB88" s="6">
        <v>2369.02</v>
      </c>
      <c r="AC88" s="5">
        <v>0.0877</v>
      </c>
      <c r="AD88" s="5">
        <v>0.0872</v>
      </c>
      <c r="AE88" s="4">
        <v>67</v>
      </c>
      <c r="AF88" s="6">
        <v>1442.5</v>
      </c>
      <c r="AG88" s="4">
        <v>13</v>
      </c>
      <c r="AH88" s="6">
        <v>282.88</v>
      </c>
      <c r="AI88" s="5">
        <v>4.1538</v>
      </c>
      <c r="AJ88" s="5">
        <v>4.0993</v>
      </c>
      <c r="AK88" s="4">
        <v>1836</v>
      </c>
      <c r="AL88" s="6">
        <v>35149.65</v>
      </c>
      <c r="AM88" s="4"/>
      <c r="AN88" s="6"/>
      <c r="AO88" s="5"/>
      <c r="AP88" s="5"/>
      <c r="AQ88" s="4">
        <v>158</v>
      </c>
      <c r="AR88" s="6">
        <v>2979.58</v>
      </c>
      <c r="AS88" s="4">
        <v>125</v>
      </c>
      <c r="AT88" s="6">
        <v>2373.5</v>
      </c>
      <c r="AU88" s="5">
        <v>0.264</v>
      </c>
      <c r="AV88" s="5">
        <v>0.2554</v>
      </c>
      <c r="AW88" s="4">
        <v>104</v>
      </c>
      <c r="AX88" s="6">
        <v>2085.99</v>
      </c>
      <c r="AY88" s="4">
        <v>115</v>
      </c>
      <c r="AZ88" s="6">
        <v>2289.15</v>
      </c>
      <c r="BA88" s="5">
        <v>-0.0957</v>
      </c>
      <c r="BB88" s="5">
        <v>-0.0887</v>
      </c>
      <c r="BC88" s="4">
        <v>92</v>
      </c>
      <c r="BD88" s="6">
        <v>1788</v>
      </c>
      <c r="BE88" s="4">
        <v>150</v>
      </c>
      <c r="BF88" s="6">
        <v>2840.28</v>
      </c>
      <c r="BG88" s="5">
        <v>-0.3867</v>
      </c>
      <c r="BH88" s="5">
        <v>-0.3705</v>
      </c>
      <c r="BI88" s="4">
        <v>66</v>
      </c>
      <c r="BJ88" s="6">
        <v>1254.2</v>
      </c>
      <c r="BK88" s="4">
        <v>113</v>
      </c>
      <c r="BL88" s="6">
        <v>2279.59</v>
      </c>
      <c r="BM88" s="5">
        <v>-0.4159</v>
      </c>
      <c r="BN88" s="5">
        <v>-0.4498</v>
      </c>
      <c r="BO88" s="4">
        <v>71</v>
      </c>
      <c r="BP88" s="6">
        <v>1353.75</v>
      </c>
      <c r="BQ88" s="4">
        <v>90</v>
      </c>
      <c r="BR88" s="6">
        <v>1842.59</v>
      </c>
      <c r="BS88" s="5">
        <v>-0.2111</v>
      </c>
      <c r="BT88" s="5">
        <v>-0.2653</v>
      </c>
      <c r="BU88" s="4">
        <v>21</v>
      </c>
      <c r="BV88" s="6">
        <v>434.76</v>
      </c>
      <c r="BW88" s="4">
        <v>33</v>
      </c>
      <c r="BX88" s="6">
        <v>704.1</v>
      </c>
      <c r="BY88" s="5">
        <v>-0.3636</v>
      </c>
      <c r="BZ88" s="5">
        <v>-0.3825</v>
      </c>
      <c r="CA88" s="4">
        <v>3</v>
      </c>
      <c r="CB88" s="6">
        <v>75.98</v>
      </c>
      <c r="CC88" s="4">
        <v>7</v>
      </c>
      <c r="CD88" s="6">
        <v>142.22</v>
      </c>
      <c r="CE88" s="5">
        <v>-0.5714</v>
      </c>
      <c r="CF88" s="5">
        <v>-0.4658</v>
      </c>
      <c r="CG88" s="4">
        <v>5</v>
      </c>
      <c r="CH88" s="6">
        <v>92.65</v>
      </c>
      <c r="CI88" s="4">
        <v>3</v>
      </c>
      <c r="CJ88" s="6">
        <v>64.86</v>
      </c>
      <c r="CK88" s="5">
        <v>0.6667</v>
      </c>
      <c r="CL88" s="5">
        <v>0.4285</v>
      </c>
      <c r="CM88" s="4"/>
      <c r="CN88" s="6"/>
      <c r="CO88" s="4"/>
      <c r="CP88" s="6"/>
      <c r="CQ88" s="5"/>
      <c r="CR88" s="5"/>
      <c r="CS88" s="4">
        <v>46</v>
      </c>
      <c r="CT88" s="6">
        <v>967.16</v>
      </c>
      <c r="CU88" s="4">
        <v>84</v>
      </c>
      <c r="CV88" s="6">
        <v>1785.84</v>
      </c>
      <c r="CW88" s="5">
        <v>-0.4524</v>
      </c>
      <c r="CX88" s="5">
        <v>-0.4584</v>
      </c>
      <c r="CY88" s="4">
        <v>20</v>
      </c>
      <c r="CZ88" s="6">
        <v>398.34</v>
      </c>
      <c r="DA88" s="4">
        <v>40</v>
      </c>
      <c r="DB88" s="6">
        <v>782.23</v>
      </c>
      <c r="DC88" s="5">
        <v>-0.5</v>
      </c>
      <c r="DD88" s="5">
        <v>-0.4908</v>
      </c>
      <c r="DE88" s="4">
        <v>10</v>
      </c>
      <c r="DF88" s="6">
        <v>209.06</v>
      </c>
      <c r="DG88" s="4">
        <v>18</v>
      </c>
      <c r="DH88" s="6">
        <v>388.8</v>
      </c>
      <c r="DI88" s="5">
        <v>-0.4444</v>
      </c>
      <c r="DJ88" s="5">
        <v>-0.4623</v>
      </c>
      <c r="DK88" s="4">
        <v>2</v>
      </c>
      <c r="DL88" s="6">
        <v>69.9</v>
      </c>
      <c r="DM88" s="4">
        <v>5</v>
      </c>
      <c r="DN88" s="6">
        <v>190.65</v>
      </c>
      <c r="DO88" s="5">
        <v>-0.6</v>
      </c>
      <c r="DP88" s="5">
        <v>-0.6334</v>
      </c>
      <c r="DQ88" s="4"/>
      <c r="DR88" s="6"/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>
        <v>1</v>
      </c>
      <c r="ED88" s="6">
        <v>19.95</v>
      </c>
      <c r="EE88" s="4">
        <v>1</v>
      </c>
      <c r="EF88" s="6">
        <v>22.58</v>
      </c>
      <c r="EG88" s="5"/>
      <c r="EH88" s="5">
        <v>-0.1165</v>
      </c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>
        <v>4</v>
      </c>
      <c r="FV88" s="6">
        <v>74.96</v>
      </c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/>
      <c r="IB88" s="6"/>
      <c r="IC88" s="4"/>
      <c r="ID88" s="6"/>
      <c r="IE88" s="5"/>
      <c r="IF88" s="5"/>
      <c r="IG88" s="4"/>
      <c r="IH88" s="6"/>
      <c r="II88" s="4"/>
      <c r="IJ88" s="6"/>
      <c r="IK88" s="5"/>
      <c r="IL88" s="5"/>
      <c r="IM88" s="4"/>
      <c r="IN88" s="6"/>
      <c r="IO88" s="4"/>
      <c r="IP88" s="6"/>
      <c r="IQ88" s="5"/>
      <c r="IR88" s="5"/>
      <c r="IS88" s="4"/>
      <c r="IT88" s="6"/>
      <c r="IU88" s="4"/>
      <c r="IV88" s="6"/>
      <c r="IW88" s="5"/>
      <c r="IX88" s="5"/>
      <c r="IY88" s="4"/>
      <c r="IZ88" s="6"/>
      <c r="JA88" s="4"/>
      <c r="JB88" s="6"/>
      <c r="JC88" s="5"/>
      <c r="JD88" s="5"/>
      <c r="JE88" s="4"/>
      <c r="JF88" s="6"/>
      <c r="JG88" s="4"/>
      <c r="JH88" s="6"/>
      <c r="JI88" s="5"/>
      <c r="JJ88" s="5"/>
      <c r="JK88" s="4">
        <v>282</v>
      </c>
      <c r="JL88" s="4"/>
      <c r="JM88" s="4"/>
      <c r="JN88" s="4"/>
      <c r="JO88" s="4">
        <v>220</v>
      </c>
      <c r="JP88" s="4"/>
      <c r="JQ88" s="4"/>
      <c r="JR88" s="4">
        <v>20</v>
      </c>
      <c r="JS88" s="4"/>
      <c r="JT88" s="4"/>
      <c r="JU88" s="4"/>
      <c r="JV88" s="4"/>
      <c r="JW88" s="4"/>
      <c r="JX88" s="4"/>
      <c r="JY88" s="4"/>
      <c r="JZ88" s="4"/>
      <c r="KA88" s="4">
        <v>70</v>
      </c>
      <c r="KB88" s="4"/>
      <c r="KC88" s="4"/>
      <c r="KD88" s="4"/>
      <c r="KE88" s="4"/>
      <c r="KF88" s="4"/>
      <c r="KG88" s="4">
        <v>130</v>
      </c>
      <c r="KH88" s="4"/>
      <c r="KI88" s="4"/>
      <c r="KJ88" s="4">
        <v>750</v>
      </c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</row>
    <row r="89">
      <c r="A89" s="3" t="s">
        <v>136</v>
      </c>
      <c r="B89" s="3" t="s">
        <v>158</v>
      </c>
      <c r="C89" s="3" t="s">
        <v>138</v>
      </c>
      <c r="D89" s="3" t="s">
        <v>139</v>
      </c>
      <c r="E89" s="3" t="s">
        <v>159</v>
      </c>
      <c r="F89" s="3" t="s">
        <v>159</v>
      </c>
      <c r="G89" s="3" t="s">
        <v>159</v>
      </c>
      <c r="H89" s="3" t="s">
        <v>159</v>
      </c>
      <c r="I89" s="3" t="s">
        <v>233</v>
      </c>
      <c r="J89" s="3" t="s">
        <v>241</v>
      </c>
      <c r="K89" s="4">
        <v>893</v>
      </c>
      <c r="L89" s="4">
        <f>=ROUNDDOWN(6.02970965563808,0)</f>
      </c>
      <c r="M89" s="4">
        <v>500</v>
      </c>
      <c r="N89" s="5"/>
      <c r="O89" s="4"/>
      <c r="P89" s="4">
        <f>=ROUNDDOWN({0},0)</f>
      </c>
      <c r="Q89" s="4"/>
      <c r="R89" s="5"/>
      <c r="S89" s="4">
        <v>2159</v>
      </c>
      <c r="T89" s="6">
        <v>44729.01</v>
      </c>
      <c r="U89" s="4">
        <v>1296</v>
      </c>
      <c r="V89" s="6">
        <v>26615.89</v>
      </c>
      <c r="W89" s="5">
        <v>0.6659</v>
      </c>
      <c r="X89" s="5">
        <v>0.6805</v>
      </c>
      <c r="Y89" s="4">
        <v>108</v>
      </c>
      <c r="Z89" s="6">
        <v>2248.24</v>
      </c>
      <c r="AA89" s="4">
        <v>265</v>
      </c>
      <c r="AB89" s="6">
        <v>5504.05</v>
      </c>
      <c r="AC89" s="5">
        <v>-0.5925</v>
      </c>
      <c r="AD89" s="5">
        <v>-0.5915</v>
      </c>
      <c r="AE89" s="4">
        <v>58</v>
      </c>
      <c r="AF89" s="6">
        <v>1257.5</v>
      </c>
      <c r="AG89" s="4">
        <v>13</v>
      </c>
      <c r="AH89" s="6">
        <v>290.34</v>
      </c>
      <c r="AI89" s="5">
        <v>3.4615</v>
      </c>
      <c r="AJ89" s="5">
        <v>3.3311</v>
      </c>
      <c r="AK89" s="4">
        <v>1451</v>
      </c>
      <c r="AL89" s="6">
        <v>30540.09</v>
      </c>
      <c r="AM89" s="4"/>
      <c r="AN89" s="6"/>
      <c r="AO89" s="5"/>
      <c r="AP89" s="5"/>
      <c r="AQ89" s="4">
        <v>55</v>
      </c>
      <c r="AR89" s="6">
        <v>1023.17</v>
      </c>
      <c r="AS89" s="4">
        <v>120</v>
      </c>
      <c r="AT89" s="6">
        <v>2288.96</v>
      </c>
      <c r="AU89" s="5">
        <v>-0.5417</v>
      </c>
      <c r="AV89" s="5">
        <v>-0.553</v>
      </c>
      <c r="AW89" s="4">
        <v>130</v>
      </c>
      <c r="AX89" s="6">
        <v>2609.48</v>
      </c>
      <c r="AY89" s="4">
        <v>155</v>
      </c>
      <c r="AZ89" s="6">
        <v>3105.55</v>
      </c>
      <c r="BA89" s="5">
        <v>-0.1613</v>
      </c>
      <c r="BB89" s="5">
        <v>-0.1597</v>
      </c>
      <c r="BC89" s="4">
        <v>67</v>
      </c>
      <c r="BD89" s="6">
        <v>1267.98</v>
      </c>
      <c r="BE89" s="4">
        <v>174</v>
      </c>
      <c r="BF89" s="6">
        <v>3395.34</v>
      </c>
      <c r="BG89" s="5">
        <v>-0.6149</v>
      </c>
      <c r="BH89" s="5">
        <v>-0.6266</v>
      </c>
      <c r="BI89" s="4">
        <v>76</v>
      </c>
      <c r="BJ89" s="6">
        <v>1412.56</v>
      </c>
      <c r="BK89" s="4">
        <v>140</v>
      </c>
      <c r="BL89" s="6">
        <v>2852.78</v>
      </c>
      <c r="BM89" s="5">
        <v>-0.4571</v>
      </c>
      <c r="BN89" s="5">
        <v>-0.5048</v>
      </c>
      <c r="BO89" s="4">
        <v>68</v>
      </c>
      <c r="BP89" s="6">
        <v>1255.57</v>
      </c>
      <c r="BQ89" s="4">
        <v>108</v>
      </c>
      <c r="BR89" s="6">
        <v>2211.76</v>
      </c>
      <c r="BS89" s="5">
        <v>-0.3704</v>
      </c>
      <c r="BT89" s="5">
        <v>-0.4323</v>
      </c>
      <c r="BU89" s="4">
        <v>21</v>
      </c>
      <c r="BV89" s="6">
        <v>437.64</v>
      </c>
      <c r="BW89" s="4">
        <v>63</v>
      </c>
      <c r="BX89" s="6">
        <v>1360.05</v>
      </c>
      <c r="BY89" s="5">
        <v>-0.6667</v>
      </c>
      <c r="BZ89" s="5">
        <v>-0.6782</v>
      </c>
      <c r="CA89" s="4">
        <v>6</v>
      </c>
      <c r="CB89" s="6">
        <v>149.88</v>
      </c>
      <c r="CC89" s="4">
        <v>7</v>
      </c>
      <c r="CD89" s="6">
        <v>151.52</v>
      </c>
      <c r="CE89" s="5">
        <v>-0.1429</v>
      </c>
      <c r="CF89" s="5">
        <v>-0.0108</v>
      </c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>
        <v>52</v>
      </c>
      <c r="CT89" s="6">
        <v>1096.52</v>
      </c>
      <c r="CU89" s="4">
        <v>137</v>
      </c>
      <c r="CV89" s="6">
        <v>2884.72</v>
      </c>
      <c r="CW89" s="5">
        <v>-0.6204</v>
      </c>
      <c r="CX89" s="5">
        <v>-0.6199</v>
      </c>
      <c r="CY89" s="4">
        <v>40</v>
      </c>
      <c r="CZ89" s="6">
        <v>830.79</v>
      </c>
      <c r="DA89" s="4">
        <v>65</v>
      </c>
      <c r="DB89" s="6">
        <v>1329.87</v>
      </c>
      <c r="DC89" s="5">
        <v>-0.3846</v>
      </c>
      <c r="DD89" s="5">
        <v>-0.3753</v>
      </c>
      <c r="DE89" s="4">
        <v>15</v>
      </c>
      <c r="DF89" s="6">
        <v>320.58</v>
      </c>
      <c r="DG89" s="4">
        <v>9</v>
      </c>
      <c r="DH89" s="6">
        <v>191.46</v>
      </c>
      <c r="DI89" s="5">
        <v>0.6667</v>
      </c>
      <c r="DJ89" s="5">
        <v>0.6744</v>
      </c>
      <c r="DK89" s="4"/>
      <c r="DL89" s="6"/>
      <c r="DM89" s="4">
        <v>10</v>
      </c>
      <c r="DN89" s="6">
        <v>386.8</v>
      </c>
      <c r="DO89" s="5"/>
      <c r="DP89" s="5"/>
      <c r="DQ89" s="4">
        <v>10</v>
      </c>
      <c r="DR89" s="6">
        <v>233.85</v>
      </c>
      <c r="DS89" s="4">
        <v>13</v>
      </c>
      <c r="DT89" s="6">
        <v>305.51</v>
      </c>
      <c r="DU89" s="5">
        <v>-0.2308</v>
      </c>
      <c r="DV89" s="5">
        <v>-0.2346</v>
      </c>
      <c r="DW89" s="4"/>
      <c r="DX89" s="6"/>
      <c r="DY89" s="4"/>
      <c r="DZ89" s="6"/>
      <c r="EA89" s="5"/>
      <c r="EB89" s="5"/>
      <c r="EC89" s="4">
        <v>2</v>
      </c>
      <c r="ED89" s="6">
        <v>45.16</v>
      </c>
      <c r="EE89" s="4">
        <v>1</v>
      </c>
      <c r="EF89" s="6">
        <v>22.58</v>
      </c>
      <c r="EG89" s="5">
        <v>1</v>
      </c>
      <c r="EH89" s="5">
        <v>1</v>
      </c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>
        <v>12</v>
      </c>
      <c r="FV89" s="6">
        <v>252.16</v>
      </c>
      <c r="FW89" s="5"/>
      <c r="FX89" s="5"/>
      <c r="FY89" s="4"/>
      <c r="FZ89" s="6"/>
      <c r="GA89" s="4">
        <v>4</v>
      </c>
      <c r="GB89" s="6">
        <v>82.44</v>
      </c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/>
      <c r="IB89" s="6"/>
      <c r="IC89" s="4"/>
      <c r="ID89" s="6"/>
      <c r="IE89" s="5"/>
      <c r="IF89" s="5"/>
      <c r="IG89" s="4"/>
      <c r="IH89" s="6"/>
      <c r="II89" s="4"/>
      <c r="IJ89" s="6"/>
      <c r="IK89" s="5"/>
      <c r="IL89" s="5"/>
      <c r="IM89" s="4"/>
      <c r="IN89" s="6"/>
      <c r="IO89" s="4"/>
      <c r="IP89" s="6"/>
      <c r="IQ89" s="5"/>
      <c r="IR89" s="5"/>
      <c r="IS89" s="4"/>
      <c r="IT89" s="6"/>
      <c r="IU89" s="4"/>
      <c r="IV89" s="6"/>
      <c r="IW89" s="5"/>
      <c r="IX89" s="5"/>
      <c r="IY89" s="4"/>
      <c r="IZ89" s="6"/>
      <c r="JA89" s="4"/>
      <c r="JB89" s="6"/>
      <c r="JC89" s="5"/>
      <c r="JD89" s="5"/>
      <c r="JE89" s="4"/>
      <c r="JF89" s="6"/>
      <c r="JG89" s="4"/>
      <c r="JH89" s="6"/>
      <c r="JI89" s="5"/>
      <c r="JJ89" s="5"/>
      <c r="JK89" s="4">
        <v>893</v>
      </c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>
        <v>500</v>
      </c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</row>
    <row r="90">
      <c r="A90" s="3" t="s">
        <v>136</v>
      </c>
      <c r="B90" s="3" t="s">
        <v>158</v>
      </c>
      <c r="C90" s="3" t="s">
        <v>138</v>
      </c>
      <c r="D90" s="3" t="s">
        <v>139</v>
      </c>
      <c r="E90" s="3" t="s">
        <v>159</v>
      </c>
      <c r="F90" s="3" t="s">
        <v>159</v>
      </c>
      <c r="G90" s="3" t="s">
        <v>159</v>
      </c>
      <c r="H90" s="3" t="s">
        <v>159</v>
      </c>
      <c r="I90" s="3" t="s">
        <v>260</v>
      </c>
      <c r="J90" s="3" t="s">
        <v>241</v>
      </c>
      <c r="K90" s="4">
        <v>850</v>
      </c>
      <c r="L90" s="4">
        <f>=ROUNDDOWN(4.92468134414832,0)</f>
      </c>
      <c r="M90" s="4">
        <v>750</v>
      </c>
      <c r="N90" s="5"/>
      <c r="O90" s="4"/>
      <c r="P90" s="4">
        <f>=ROUNDDOWN({0},0)</f>
      </c>
      <c r="Q90" s="4"/>
      <c r="R90" s="5"/>
      <c r="S90" s="4">
        <v>2277</v>
      </c>
      <c r="T90" s="6">
        <v>43091.38</v>
      </c>
      <c r="U90" s="4">
        <v>1053</v>
      </c>
      <c r="V90" s="6">
        <v>21450.38</v>
      </c>
      <c r="W90" s="5">
        <v>1.1624</v>
      </c>
      <c r="X90" s="5">
        <v>1.0089</v>
      </c>
      <c r="Y90" s="4">
        <v>102</v>
      </c>
      <c r="Z90" s="6">
        <v>2124.81</v>
      </c>
      <c r="AA90" s="4">
        <v>247</v>
      </c>
      <c r="AB90" s="6">
        <v>5101.96</v>
      </c>
      <c r="AC90" s="5">
        <v>-0.587</v>
      </c>
      <c r="AD90" s="5">
        <v>-0.5835</v>
      </c>
      <c r="AE90" s="4">
        <v>56</v>
      </c>
      <c r="AF90" s="6">
        <v>1208.56</v>
      </c>
      <c r="AG90" s="4">
        <v>10</v>
      </c>
      <c r="AH90" s="6">
        <v>207.4</v>
      </c>
      <c r="AI90" s="5">
        <v>4.6</v>
      </c>
      <c r="AJ90" s="5">
        <v>4.8272</v>
      </c>
      <c r="AK90" s="4">
        <v>1698</v>
      </c>
      <c r="AL90" s="6">
        <v>31309.14</v>
      </c>
      <c r="AM90" s="4"/>
      <c r="AN90" s="6"/>
      <c r="AO90" s="5"/>
      <c r="AP90" s="5"/>
      <c r="AQ90" s="4">
        <v>71</v>
      </c>
      <c r="AR90" s="6">
        <v>1391.57</v>
      </c>
      <c r="AS90" s="4">
        <v>117</v>
      </c>
      <c r="AT90" s="6">
        <v>2271.61</v>
      </c>
      <c r="AU90" s="5">
        <v>-0.3932</v>
      </c>
      <c r="AV90" s="5">
        <v>-0.3874</v>
      </c>
      <c r="AW90" s="4">
        <v>105</v>
      </c>
      <c r="AX90" s="6">
        <v>2127.29</v>
      </c>
      <c r="AY90" s="4">
        <v>133</v>
      </c>
      <c r="AZ90" s="6">
        <v>2650.48</v>
      </c>
      <c r="BA90" s="5">
        <v>-0.2105</v>
      </c>
      <c r="BB90" s="5">
        <v>-0.1974</v>
      </c>
      <c r="BC90" s="4">
        <v>53</v>
      </c>
      <c r="BD90" s="6">
        <v>1017.6</v>
      </c>
      <c r="BE90" s="4">
        <v>135</v>
      </c>
      <c r="BF90" s="6">
        <v>2628.12</v>
      </c>
      <c r="BG90" s="5">
        <v>-0.6074</v>
      </c>
      <c r="BH90" s="5">
        <v>-0.6128</v>
      </c>
      <c r="BI90" s="4">
        <v>44</v>
      </c>
      <c r="BJ90" s="6">
        <v>826.56</v>
      </c>
      <c r="BK90" s="4">
        <v>96</v>
      </c>
      <c r="BL90" s="6">
        <v>1927.42</v>
      </c>
      <c r="BM90" s="5">
        <v>-0.5417</v>
      </c>
      <c r="BN90" s="5">
        <v>-0.5712</v>
      </c>
      <c r="BO90" s="4">
        <v>46</v>
      </c>
      <c r="BP90" s="6">
        <v>856.16</v>
      </c>
      <c r="BQ90" s="4">
        <v>61</v>
      </c>
      <c r="BR90" s="6">
        <v>1211.66</v>
      </c>
      <c r="BS90" s="5">
        <v>-0.2459</v>
      </c>
      <c r="BT90" s="5">
        <v>-0.2934</v>
      </c>
      <c r="BU90" s="4">
        <v>17</v>
      </c>
      <c r="BV90" s="6">
        <v>374.4</v>
      </c>
      <c r="BW90" s="4">
        <v>53</v>
      </c>
      <c r="BX90" s="6">
        <v>1120.89</v>
      </c>
      <c r="BY90" s="5">
        <v>-0.6792</v>
      </c>
      <c r="BZ90" s="5">
        <v>-0.666</v>
      </c>
      <c r="CA90" s="4">
        <v>7</v>
      </c>
      <c r="CB90" s="6">
        <v>140.58</v>
      </c>
      <c r="CC90" s="4">
        <v>11</v>
      </c>
      <c r="CD90" s="6">
        <v>219.36</v>
      </c>
      <c r="CE90" s="5">
        <v>-0.3636</v>
      </c>
      <c r="CF90" s="5">
        <v>-0.3591</v>
      </c>
      <c r="CG90" s="4"/>
      <c r="CH90" s="6"/>
      <c r="CI90" s="4">
        <v>4</v>
      </c>
      <c r="CJ90" s="6">
        <v>86.48</v>
      </c>
      <c r="CK90" s="5"/>
      <c r="CL90" s="5"/>
      <c r="CM90" s="4"/>
      <c r="CN90" s="6"/>
      <c r="CO90" s="4"/>
      <c r="CP90" s="6"/>
      <c r="CQ90" s="5"/>
      <c r="CR90" s="5"/>
      <c r="CS90" s="4">
        <v>37</v>
      </c>
      <c r="CT90" s="6">
        <v>778.52</v>
      </c>
      <c r="CU90" s="4">
        <v>95</v>
      </c>
      <c r="CV90" s="6">
        <v>1979.2</v>
      </c>
      <c r="CW90" s="5">
        <v>-0.6105</v>
      </c>
      <c r="CX90" s="5">
        <v>-0.6066</v>
      </c>
      <c r="CY90" s="4">
        <v>18</v>
      </c>
      <c r="CZ90" s="6">
        <v>373.31</v>
      </c>
      <c r="DA90" s="4">
        <v>50</v>
      </c>
      <c r="DB90" s="6">
        <v>1044.18</v>
      </c>
      <c r="DC90" s="5">
        <v>-0.64</v>
      </c>
      <c r="DD90" s="5">
        <v>-0.6425</v>
      </c>
      <c r="DE90" s="4">
        <v>10</v>
      </c>
      <c r="DF90" s="6">
        <v>225.98</v>
      </c>
      <c r="DG90" s="4">
        <v>13</v>
      </c>
      <c r="DH90" s="6">
        <v>269.18</v>
      </c>
      <c r="DI90" s="5">
        <v>-0.2308</v>
      </c>
      <c r="DJ90" s="5">
        <v>-0.1605</v>
      </c>
      <c r="DK90" s="4">
        <v>3</v>
      </c>
      <c r="DL90" s="6">
        <v>120.37</v>
      </c>
      <c r="DM90" s="4">
        <v>9</v>
      </c>
      <c r="DN90" s="6">
        <v>328.11</v>
      </c>
      <c r="DO90" s="5">
        <v>-0.6667</v>
      </c>
      <c r="DP90" s="5">
        <v>-0.6331</v>
      </c>
      <c r="DQ90" s="4">
        <v>10</v>
      </c>
      <c r="DR90" s="6">
        <v>216.53</v>
      </c>
      <c r="DS90" s="4">
        <v>9</v>
      </c>
      <c r="DT90" s="6">
        <v>203.29</v>
      </c>
      <c r="DU90" s="5">
        <v>0.1111</v>
      </c>
      <c r="DV90" s="5">
        <v>0.0651</v>
      </c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>
        <v>10</v>
      </c>
      <c r="FV90" s="6">
        <v>201.04</v>
      </c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/>
      <c r="IB90" s="6"/>
      <c r="IC90" s="4"/>
      <c r="ID90" s="6"/>
      <c r="IE90" s="5"/>
      <c r="IF90" s="5"/>
      <c r="IG90" s="4"/>
      <c r="IH90" s="6"/>
      <c r="II90" s="4"/>
      <c r="IJ90" s="6"/>
      <c r="IK90" s="5"/>
      <c r="IL90" s="5"/>
      <c r="IM90" s="4"/>
      <c r="IN90" s="6"/>
      <c r="IO90" s="4"/>
      <c r="IP90" s="6"/>
      <c r="IQ90" s="5"/>
      <c r="IR90" s="5"/>
      <c r="IS90" s="4"/>
      <c r="IT90" s="6"/>
      <c r="IU90" s="4"/>
      <c r="IV90" s="6"/>
      <c r="IW90" s="5"/>
      <c r="IX90" s="5"/>
      <c r="IY90" s="4"/>
      <c r="IZ90" s="6"/>
      <c r="JA90" s="4"/>
      <c r="JB90" s="6"/>
      <c r="JC90" s="5"/>
      <c r="JD90" s="5"/>
      <c r="JE90" s="4"/>
      <c r="JF90" s="6"/>
      <c r="JG90" s="4"/>
      <c r="JH90" s="6"/>
      <c r="JI90" s="5"/>
      <c r="JJ90" s="5"/>
      <c r="JK90" s="4">
        <v>163</v>
      </c>
      <c r="JL90" s="4"/>
      <c r="JM90" s="4"/>
      <c r="JN90" s="4"/>
      <c r="JO90" s="4">
        <v>567</v>
      </c>
      <c r="JP90" s="4"/>
      <c r="JQ90" s="4"/>
      <c r="JR90" s="4">
        <v>120</v>
      </c>
      <c r="JS90" s="4"/>
      <c r="JT90" s="4"/>
      <c r="JU90" s="4"/>
      <c r="JV90" s="4"/>
      <c r="JW90" s="4"/>
      <c r="JX90" s="4"/>
      <c r="JY90" s="4"/>
      <c r="JZ90" s="4"/>
      <c r="KA90" s="4">
        <v>80</v>
      </c>
      <c r="KB90" s="4"/>
      <c r="KC90" s="4"/>
      <c r="KD90" s="4"/>
      <c r="KE90" s="4">
        <v>120</v>
      </c>
      <c r="KF90" s="4"/>
      <c r="KG90" s="4">
        <v>180</v>
      </c>
      <c r="KH90" s="4"/>
      <c r="KI90" s="4"/>
      <c r="KJ90" s="4">
        <v>370</v>
      </c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</row>
    <row r="91">
      <c r="A91" s="3" t="s">
        <v>136</v>
      </c>
      <c r="B91" s="3" t="s">
        <v>158</v>
      </c>
      <c r="C91" s="3" t="s">
        <v>138</v>
      </c>
      <c r="D91" s="3" t="s">
        <v>139</v>
      </c>
      <c r="E91" s="3" t="s">
        <v>159</v>
      </c>
      <c r="F91" s="3" t="s">
        <v>159</v>
      </c>
      <c r="G91" s="3" t="s">
        <v>159</v>
      </c>
      <c r="H91" s="3" t="s">
        <v>159</v>
      </c>
      <c r="I91" s="3" t="s">
        <v>261</v>
      </c>
      <c r="J91" s="3" t="s">
        <v>241</v>
      </c>
      <c r="K91" s="4">
        <v>666</v>
      </c>
      <c r="L91" s="4">
        <f>=ROUNDDOWN(3.78409090909091,0)</f>
      </c>
      <c r="M91" s="4">
        <v>720</v>
      </c>
      <c r="N91" s="5"/>
      <c r="O91" s="4"/>
      <c r="P91" s="4">
        <f>=ROUNDDOWN({0},0)</f>
      </c>
      <c r="Q91" s="4"/>
      <c r="R91" s="5"/>
      <c r="S91" s="4">
        <v>2094</v>
      </c>
      <c r="T91" s="6">
        <v>41591.55</v>
      </c>
      <c r="U91" s="4">
        <v>950</v>
      </c>
      <c r="V91" s="6">
        <v>19329.35</v>
      </c>
      <c r="W91" s="5">
        <v>1.2042</v>
      </c>
      <c r="X91" s="5">
        <v>1.1517</v>
      </c>
      <c r="Y91" s="4">
        <v>139</v>
      </c>
      <c r="Z91" s="6">
        <v>2927.92</v>
      </c>
      <c r="AA91" s="4">
        <v>133</v>
      </c>
      <c r="AB91" s="6">
        <v>2770.04</v>
      </c>
      <c r="AC91" s="5">
        <v>0.0451</v>
      </c>
      <c r="AD91" s="5">
        <v>0.057</v>
      </c>
      <c r="AE91" s="4">
        <v>77</v>
      </c>
      <c r="AF91" s="6">
        <v>1703.42</v>
      </c>
      <c r="AG91" s="4">
        <v>22</v>
      </c>
      <c r="AH91" s="6">
        <v>471.67</v>
      </c>
      <c r="AI91" s="5">
        <v>2.5</v>
      </c>
      <c r="AJ91" s="5">
        <v>2.6115</v>
      </c>
      <c r="AK91" s="4">
        <v>1415</v>
      </c>
      <c r="AL91" s="6">
        <v>27598.7</v>
      </c>
      <c r="AM91" s="4"/>
      <c r="AN91" s="6"/>
      <c r="AO91" s="5"/>
      <c r="AP91" s="5"/>
      <c r="AQ91" s="4">
        <v>88</v>
      </c>
      <c r="AR91" s="6">
        <v>1758.26</v>
      </c>
      <c r="AS91" s="4">
        <v>239</v>
      </c>
      <c r="AT91" s="6">
        <v>4507.63</v>
      </c>
      <c r="AU91" s="5">
        <v>-0.6318</v>
      </c>
      <c r="AV91" s="5">
        <v>-0.6099</v>
      </c>
      <c r="AW91" s="4">
        <v>82</v>
      </c>
      <c r="AX91" s="6">
        <v>1680.1</v>
      </c>
      <c r="AY91" s="4">
        <v>94</v>
      </c>
      <c r="AZ91" s="6">
        <v>1923.1</v>
      </c>
      <c r="BA91" s="5">
        <v>-0.1277</v>
      </c>
      <c r="BB91" s="5">
        <v>-0.1264</v>
      </c>
      <c r="BC91" s="4">
        <v>132</v>
      </c>
      <c r="BD91" s="6">
        <v>2593.32</v>
      </c>
      <c r="BE91" s="4">
        <v>126</v>
      </c>
      <c r="BF91" s="6">
        <v>2393.34</v>
      </c>
      <c r="BG91" s="5">
        <v>0.0476</v>
      </c>
      <c r="BH91" s="5">
        <v>0.0836</v>
      </c>
      <c r="BI91" s="4">
        <v>31</v>
      </c>
      <c r="BJ91" s="6">
        <v>611</v>
      </c>
      <c r="BK91" s="4">
        <v>57</v>
      </c>
      <c r="BL91" s="6">
        <v>1164.98</v>
      </c>
      <c r="BM91" s="5">
        <v>-0.4561</v>
      </c>
      <c r="BN91" s="5">
        <v>-0.4755</v>
      </c>
      <c r="BO91" s="4">
        <v>59</v>
      </c>
      <c r="BP91" s="6">
        <v>1118.07</v>
      </c>
      <c r="BQ91" s="4">
        <v>94</v>
      </c>
      <c r="BR91" s="6">
        <v>1932.4</v>
      </c>
      <c r="BS91" s="5">
        <v>-0.3723</v>
      </c>
      <c r="BT91" s="5">
        <v>-0.4214</v>
      </c>
      <c r="BU91" s="4">
        <v>22</v>
      </c>
      <c r="BV91" s="6">
        <v>487.41</v>
      </c>
      <c r="BW91" s="4">
        <v>23</v>
      </c>
      <c r="BX91" s="6">
        <v>497.43</v>
      </c>
      <c r="BY91" s="5">
        <v>-0.0435</v>
      </c>
      <c r="BZ91" s="5">
        <v>-0.0201</v>
      </c>
      <c r="CA91" s="4">
        <v>6</v>
      </c>
      <c r="CB91" s="6">
        <v>144.18</v>
      </c>
      <c r="CC91" s="4">
        <v>4</v>
      </c>
      <c r="CD91" s="6">
        <v>87.65</v>
      </c>
      <c r="CE91" s="5">
        <v>0.5</v>
      </c>
      <c r="CF91" s="5">
        <v>0.645</v>
      </c>
      <c r="CG91" s="4"/>
      <c r="CH91" s="6"/>
      <c r="CI91" s="4">
        <v>25</v>
      </c>
      <c r="CJ91" s="6">
        <v>466.34</v>
      </c>
      <c r="CK91" s="5"/>
      <c r="CL91" s="5"/>
      <c r="CM91" s="4"/>
      <c r="CN91" s="6"/>
      <c r="CO91" s="4"/>
      <c r="CP91" s="6"/>
      <c r="CQ91" s="5"/>
      <c r="CR91" s="5"/>
      <c r="CS91" s="4">
        <v>19</v>
      </c>
      <c r="CT91" s="6">
        <v>399.44</v>
      </c>
      <c r="CU91" s="4">
        <v>68</v>
      </c>
      <c r="CV91" s="6">
        <v>1456.48</v>
      </c>
      <c r="CW91" s="5">
        <v>-0.7206</v>
      </c>
      <c r="CX91" s="5">
        <v>-0.7257</v>
      </c>
      <c r="CY91" s="4"/>
      <c r="CZ91" s="6"/>
      <c r="DA91" s="4">
        <v>4</v>
      </c>
      <c r="DB91" s="6">
        <v>90.72</v>
      </c>
      <c r="DC91" s="5"/>
      <c r="DD91" s="5"/>
      <c r="DE91" s="4">
        <v>13</v>
      </c>
      <c r="DF91" s="6">
        <v>290.54</v>
      </c>
      <c r="DG91" s="4">
        <v>16</v>
      </c>
      <c r="DH91" s="6">
        <v>350.66</v>
      </c>
      <c r="DI91" s="5">
        <v>-0.1875</v>
      </c>
      <c r="DJ91" s="5">
        <v>-0.1714</v>
      </c>
      <c r="DK91" s="4">
        <v>1</v>
      </c>
      <c r="DL91" s="6">
        <v>39.55</v>
      </c>
      <c r="DM91" s="4">
        <v>13</v>
      </c>
      <c r="DN91" s="6">
        <v>484.87</v>
      </c>
      <c r="DO91" s="5">
        <v>-0.9231</v>
      </c>
      <c r="DP91" s="5">
        <v>-0.9184</v>
      </c>
      <c r="DQ91" s="4">
        <v>10</v>
      </c>
      <c r="DR91" s="6">
        <v>239.64</v>
      </c>
      <c r="DS91" s="4">
        <v>19</v>
      </c>
      <c r="DT91" s="6">
        <v>445.82</v>
      </c>
      <c r="DU91" s="5">
        <v>-0.4737</v>
      </c>
      <c r="DV91" s="5">
        <v>-0.4625</v>
      </c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>
        <v>13</v>
      </c>
      <c r="FV91" s="6">
        <v>286.22</v>
      </c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/>
      <c r="IB91" s="6"/>
      <c r="IC91" s="4"/>
      <c r="ID91" s="6"/>
      <c r="IE91" s="5"/>
      <c r="IF91" s="5"/>
      <c r="IG91" s="4"/>
      <c r="IH91" s="6"/>
      <c r="II91" s="4"/>
      <c r="IJ91" s="6"/>
      <c r="IK91" s="5"/>
      <c r="IL91" s="5"/>
      <c r="IM91" s="4"/>
      <c r="IN91" s="6"/>
      <c r="IO91" s="4"/>
      <c r="IP91" s="6"/>
      <c r="IQ91" s="5"/>
      <c r="IR91" s="5"/>
      <c r="IS91" s="4"/>
      <c r="IT91" s="6"/>
      <c r="IU91" s="4"/>
      <c r="IV91" s="6"/>
      <c r="IW91" s="5"/>
      <c r="IX91" s="5"/>
      <c r="IY91" s="4"/>
      <c r="IZ91" s="6"/>
      <c r="JA91" s="4"/>
      <c r="JB91" s="6"/>
      <c r="JC91" s="5"/>
      <c r="JD91" s="5"/>
      <c r="JE91" s="4"/>
      <c r="JF91" s="6"/>
      <c r="JG91" s="4"/>
      <c r="JH91" s="6"/>
      <c r="JI91" s="5"/>
      <c r="JJ91" s="5"/>
      <c r="JK91" s="4">
        <v>167</v>
      </c>
      <c r="JL91" s="4"/>
      <c r="JM91" s="4"/>
      <c r="JN91" s="4"/>
      <c r="JO91" s="4">
        <v>257</v>
      </c>
      <c r="JP91" s="4"/>
      <c r="JQ91" s="4"/>
      <c r="JR91" s="4">
        <v>242</v>
      </c>
      <c r="JS91" s="4"/>
      <c r="JT91" s="4"/>
      <c r="JU91" s="4"/>
      <c r="JV91" s="4"/>
      <c r="JW91" s="4"/>
      <c r="JX91" s="4"/>
      <c r="JY91" s="4"/>
      <c r="JZ91" s="4"/>
      <c r="KA91" s="4">
        <v>242</v>
      </c>
      <c r="KB91" s="4"/>
      <c r="KC91" s="4"/>
      <c r="KD91" s="4"/>
      <c r="KE91" s="4"/>
      <c r="KF91" s="4"/>
      <c r="KG91" s="4">
        <v>160</v>
      </c>
      <c r="KH91" s="4"/>
      <c r="KI91" s="4"/>
      <c r="KJ91" s="4">
        <v>260</v>
      </c>
      <c r="KK91" s="4"/>
      <c r="KL91" s="4"/>
      <c r="KM91" s="4"/>
      <c r="KN91" s="4"/>
      <c r="KO91" s="4"/>
      <c r="KP91" s="4"/>
      <c r="KQ91" s="4"/>
      <c r="KR91" s="4">
        <v>58</v>
      </c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</row>
    <row r="92">
      <c r="A92" s="3" t="s">
        <v>136</v>
      </c>
      <c r="B92" s="3" t="s">
        <v>158</v>
      </c>
      <c r="C92" s="3" t="s">
        <v>138</v>
      </c>
      <c r="D92" s="3" t="s">
        <v>139</v>
      </c>
      <c r="E92" s="3" t="s">
        <v>159</v>
      </c>
      <c r="F92" s="3" t="s">
        <v>159</v>
      </c>
      <c r="G92" s="3" t="s">
        <v>159</v>
      </c>
      <c r="H92" s="3" t="s">
        <v>159</v>
      </c>
      <c r="I92" s="3" t="s">
        <v>235</v>
      </c>
      <c r="J92" s="3" t="s">
        <v>226</v>
      </c>
      <c r="K92" s="4">
        <v>324</v>
      </c>
      <c r="L92" s="4">
        <f>=ROUNDDOWN(0.885245901639344,0)</f>
      </c>
      <c r="M92" s="4">
        <v>9710</v>
      </c>
      <c r="N92" s="5">
        <v>0.7122</v>
      </c>
      <c r="O92" s="4"/>
      <c r="P92" s="4">
        <f>=ROUNDDOWN({0},0)</f>
      </c>
      <c r="Q92" s="4"/>
      <c r="R92" s="5"/>
      <c r="S92" s="4">
        <v>2694</v>
      </c>
      <c r="T92" s="6">
        <v>41141.91</v>
      </c>
      <c r="U92" s="4">
        <v>989</v>
      </c>
      <c r="V92" s="6">
        <v>20649.63</v>
      </c>
      <c r="W92" s="5">
        <v>1.724</v>
      </c>
      <c r="X92" s="5">
        <v>0.9924</v>
      </c>
      <c r="Y92" s="4">
        <v>149</v>
      </c>
      <c r="Z92" s="6">
        <v>3102.72</v>
      </c>
      <c r="AA92" s="4">
        <v>181</v>
      </c>
      <c r="AB92" s="6">
        <v>3831.68</v>
      </c>
      <c r="AC92" s="5">
        <v>-0.1768</v>
      </c>
      <c r="AD92" s="5">
        <v>-0.1902</v>
      </c>
      <c r="AE92" s="4">
        <v>98</v>
      </c>
      <c r="AF92" s="6">
        <v>2106.04</v>
      </c>
      <c r="AG92" s="4">
        <v>27</v>
      </c>
      <c r="AH92" s="6">
        <v>595.5</v>
      </c>
      <c r="AI92" s="5">
        <v>2.6296</v>
      </c>
      <c r="AJ92" s="5">
        <v>2.5366</v>
      </c>
      <c r="AK92" s="4">
        <v>1868</v>
      </c>
      <c r="AL92" s="6">
        <v>24340.09</v>
      </c>
      <c r="AM92" s="4"/>
      <c r="AN92" s="6"/>
      <c r="AO92" s="5"/>
      <c r="AP92" s="5"/>
      <c r="AQ92" s="4">
        <v>92</v>
      </c>
      <c r="AR92" s="6">
        <v>1947.55</v>
      </c>
      <c r="AS92" s="4">
        <v>121</v>
      </c>
      <c r="AT92" s="6">
        <v>2669.15</v>
      </c>
      <c r="AU92" s="5">
        <v>-0.2397</v>
      </c>
      <c r="AV92" s="5">
        <v>-0.2703</v>
      </c>
      <c r="AW92" s="4">
        <v>114</v>
      </c>
      <c r="AX92" s="6">
        <v>2323.02</v>
      </c>
      <c r="AY92" s="4">
        <v>130</v>
      </c>
      <c r="AZ92" s="6">
        <v>2625.3</v>
      </c>
      <c r="BA92" s="5">
        <v>-0.1231</v>
      </c>
      <c r="BB92" s="5">
        <v>-0.1151</v>
      </c>
      <c r="BC92" s="4">
        <v>109</v>
      </c>
      <c r="BD92" s="6">
        <v>2131.51</v>
      </c>
      <c r="BE92" s="4">
        <v>192</v>
      </c>
      <c r="BF92" s="6">
        <v>3810.84</v>
      </c>
      <c r="BG92" s="5">
        <v>-0.4323</v>
      </c>
      <c r="BH92" s="5">
        <v>-0.4407</v>
      </c>
      <c r="BI92" s="4">
        <v>101</v>
      </c>
      <c r="BJ92" s="6">
        <v>1904.2</v>
      </c>
      <c r="BK92" s="4">
        <v>117</v>
      </c>
      <c r="BL92" s="6">
        <v>2370.89</v>
      </c>
      <c r="BM92" s="5">
        <v>-0.1368</v>
      </c>
      <c r="BN92" s="5">
        <v>-0.1968</v>
      </c>
      <c r="BO92" s="4">
        <v>94</v>
      </c>
      <c r="BP92" s="6">
        <v>1752.38</v>
      </c>
      <c r="BQ92" s="4">
        <v>127</v>
      </c>
      <c r="BR92" s="6">
        <v>2541.83</v>
      </c>
      <c r="BS92" s="5">
        <v>-0.2598</v>
      </c>
      <c r="BT92" s="5">
        <v>-0.3106</v>
      </c>
      <c r="BU92" s="4">
        <v>14</v>
      </c>
      <c r="BV92" s="6">
        <v>301.59</v>
      </c>
      <c r="BW92" s="4">
        <v>34</v>
      </c>
      <c r="BX92" s="6">
        <v>722.88</v>
      </c>
      <c r="BY92" s="5">
        <v>-0.5882</v>
      </c>
      <c r="BZ92" s="5">
        <v>-0.5828</v>
      </c>
      <c r="CA92" s="4">
        <v>10</v>
      </c>
      <c r="CB92" s="6">
        <v>233.85</v>
      </c>
      <c r="CC92" s="4">
        <v>2</v>
      </c>
      <c r="CD92" s="6">
        <v>42.51</v>
      </c>
      <c r="CE92" s="5">
        <v>4</v>
      </c>
      <c r="CF92" s="5">
        <v>4.5011</v>
      </c>
      <c r="CG92" s="4">
        <v>1</v>
      </c>
      <c r="CH92" s="6">
        <v>20.9</v>
      </c>
      <c r="CI92" s="4">
        <v>9</v>
      </c>
      <c r="CJ92" s="6">
        <v>188.1</v>
      </c>
      <c r="CK92" s="5">
        <v>-0.8889</v>
      </c>
      <c r="CL92" s="5">
        <v>-0.8889</v>
      </c>
      <c r="CM92" s="4"/>
      <c r="CN92" s="6"/>
      <c r="CO92" s="4"/>
      <c r="CP92" s="6"/>
      <c r="CQ92" s="5"/>
      <c r="CR92" s="5"/>
      <c r="CS92" s="4">
        <v>19</v>
      </c>
      <c r="CT92" s="6">
        <v>400.83</v>
      </c>
      <c r="CU92" s="4"/>
      <c r="CV92" s="6"/>
      <c r="CW92" s="5"/>
      <c r="CX92" s="5"/>
      <c r="CY92" s="4">
        <v>7</v>
      </c>
      <c r="CZ92" s="6">
        <v>123.9</v>
      </c>
      <c r="DA92" s="4">
        <v>5</v>
      </c>
      <c r="DB92" s="6">
        <v>105</v>
      </c>
      <c r="DC92" s="5">
        <v>0.4</v>
      </c>
      <c r="DD92" s="5">
        <v>0.18</v>
      </c>
      <c r="DE92" s="4">
        <v>3</v>
      </c>
      <c r="DF92" s="6">
        <v>67.5</v>
      </c>
      <c r="DG92" s="4">
        <v>20</v>
      </c>
      <c r="DH92" s="6">
        <v>434.32</v>
      </c>
      <c r="DI92" s="5">
        <v>-0.85</v>
      </c>
      <c r="DJ92" s="5">
        <v>-0.8446</v>
      </c>
      <c r="DK92" s="4">
        <v>4</v>
      </c>
      <c r="DL92" s="6">
        <v>138.6</v>
      </c>
      <c r="DM92" s="4">
        <v>10</v>
      </c>
      <c r="DN92" s="6">
        <v>399.9</v>
      </c>
      <c r="DO92" s="5">
        <v>-0.6</v>
      </c>
      <c r="DP92" s="5">
        <v>-0.6534</v>
      </c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>
        <v>10</v>
      </c>
      <c r="EJ92" s="6">
        <v>228.74</v>
      </c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>
        <v>1</v>
      </c>
      <c r="EV92" s="6">
        <v>18.49</v>
      </c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>
        <v>12</v>
      </c>
      <c r="FV92" s="6">
        <v>269.2</v>
      </c>
      <c r="FW92" s="5"/>
      <c r="FX92" s="5"/>
      <c r="FY92" s="4"/>
      <c r="FZ92" s="6"/>
      <c r="GA92" s="4">
        <v>2</v>
      </c>
      <c r="GB92" s="6">
        <v>42.53</v>
      </c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6"/>
      <c r="IC92" s="4"/>
      <c r="ID92" s="6"/>
      <c r="IE92" s="5"/>
      <c r="IF92" s="5"/>
      <c r="IG92" s="4"/>
      <c r="IH92" s="6"/>
      <c r="II92" s="4"/>
      <c r="IJ92" s="6"/>
      <c r="IK92" s="5"/>
      <c r="IL92" s="5"/>
      <c r="IM92" s="4"/>
      <c r="IN92" s="6"/>
      <c r="IO92" s="4"/>
      <c r="IP92" s="6"/>
      <c r="IQ92" s="5"/>
      <c r="IR92" s="5"/>
      <c r="IS92" s="4"/>
      <c r="IT92" s="6"/>
      <c r="IU92" s="4"/>
      <c r="IV92" s="6"/>
      <c r="IW92" s="5"/>
      <c r="IX92" s="5"/>
      <c r="IY92" s="4"/>
      <c r="IZ92" s="6"/>
      <c r="JA92" s="4"/>
      <c r="JB92" s="6"/>
      <c r="JC92" s="5"/>
      <c r="JD92" s="5"/>
      <c r="JE92" s="4"/>
      <c r="JF92" s="6"/>
      <c r="JG92" s="4"/>
      <c r="JH92" s="6"/>
      <c r="JI92" s="5"/>
      <c r="JJ92" s="5"/>
      <c r="JK92" s="4"/>
      <c r="JL92" s="4"/>
      <c r="JM92" s="4"/>
      <c r="JN92" s="4"/>
      <c r="JO92" s="4">
        <v>247</v>
      </c>
      <c r="JP92" s="4"/>
      <c r="JQ92" s="4"/>
      <c r="JR92" s="4">
        <v>77</v>
      </c>
      <c r="JS92" s="4"/>
      <c r="JT92" s="4"/>
      <c r="JU92" s="4"/>
      <c r="JV92" s="4"/>
      <c r="JW92" s="4"/>
      <c r="JX92" s="4"/>
      <c r="JY92" s="4"/>
      <c r="JZ92" s="4"/>
      <c r="KA92" s="4">
        <v>97</v>
      </c>
      <c r="KB92" s="4"/>
      <c r="KC92" s="4"/>
      <c r="KD92" s="4"/>
      <c r="KE92" s="4">
        <v>40</v>
      </c>
      <c r="KF92" s="4"/>
      <c r="KG92" s="4">
        <v>830</v>
      </c>
      <c r="KH92" s="4"/>
      <c r="KI92" s="4"/>
      <c r="KJ92" s="4"/>
      <c r="KK92" s="4"/>
      <c r="KL92" s="4">
        <v>990</v>
      </c>
      <c r="KM92" s="4"/>
      <c r="KN92" s="4"/>
      <c r="KO92" s="4"/>
      <c r="KP92" s="4"/>
      <c r="KQ92" s="4"/>
      <c r="KR92" s="4">
        <v>13</v>
      </c>
      <c r="KS92" s="4">
        <v>2150</v>
      </c>
      <c r="KT92" s="4"/>
      <c r="KU92" s="4"/>
      <c r="KV92" s="4"/>
      <c r="KW92" s="4">
        <v>1540</v>
      </c>
      <c r="KX92" s="4"/>
      <c r="KY92" s="4"/>
      <c r="KZ92" s="4"/>
      <c r="LA92" s="4"/>
      <c r="LB92" s="4"/>
      <c r="LC92" s="4">
        <v>2700</v>
      </c>
      <c r="LD92" s="4"/>
      <c r="LE92" s="4"/>
      <c r="LF92" s="4"/>
      <c r="LG92" s="4">
        <v>1350</v>
      </c>
      <c r="LH92" s="4"/>
      <c r="LI92" s="4"/>
      <c r="LJ92" s="4"/>
      <c r="LK92" s="4"/>
      <c r="LL92" s="4"/>
      <c r="LM92" s="4"/>
    </row>
    <row r="93">
      <c r="A93" s="3" t="s">
        <v>136</v>
      </c>
      <c r="B93" s="3" t="s">
        <v>158</v>
      </c>
      <c r="C93" s="3" t="s">
        <v>138</v>
      </c>
      <c r="D93" s="3" t="s">
        <v>139</v>
      </c>
      <c r="E93" s="3" t="s">
        <v>159</v>
      </c>
      <c r="F93" s="3" t="s">
        <v>159</v>
      </c>
      <c r="G93" s="3" t="s">
        <v>159</v>
      </c>
      <c r="H93" s="3" t="s">
        <v>159</v>
      </c>
      <c r="I93" s="3" t="s">
        <v>227</v>
      </c>
      <c r="J93" s="3" t="s">
        <v>243</v>
      </c>
      <c r="K93" s="4">
        <v>1289</v>
      </c>
      <c r="L93" s="4">
        <f>=ROUNDDOWN(6.51010101010101,0)</f>
      </c>
      <c r="M93" s="4">
        <v>5390</v>
      </c>
      <c r="N93" s="5">
        <v>1</v>
      </c>
      <c r="O93" s="4"/>
      <c r="P93" s="4">
        <f>=ROUNDDOWN({0},0)</f>
      </c>
      <c r="Q93" s="4"/>
      <c r="R93" s="5"/>
      <c r="S93" s="4">
        <v>2035</v>
      </c>
      <c r="T93" s="6">
        <v>39456.03</v>
      </c>
      <c r="U93" s="4">
        <v>1038</v>
      </c>
      <c r="V93" s="6">
        <v>21134.03</v>
      </c>
      <c r="W93" s="5">
        <v>0.9605</v>
      </c>
      <c r="X93" s="5">
        <v>0.8669</v>
      </c>
      <c r="Y93" s="4">
        <v>175</v>
      </c>
      <c r="Z93" s="6">
        <v>3599.6</v>
      </c>
      <c r="AA93" s="4">
        <v>206</v>
      </c>
      <c r="AB93" s="6">
        <v>4250.13</v>
      </c>
      <c r="AC93" s="5">
        <v>-0.1505</v>
      </c>
      <c r="AD93" s="5">
        <v>-0.1531</v>
      </c>
      <c r="AE93" s="4">
        <v>112</v>
      </c>
      <c r="AF93" s="6">
        <v>2374.61</v>
      </c>
      <c r="AG93" s="4">
        <v>3</v>
      </c>
      <c r="AH93" s="6">
        <v>65.89</v>
      </c>
      <c r="AI93" s="5">
        <v>36.3333</v>
      </c>
      <c r="AJ93" s="5">
        <v>35.039</v>
      </c>
      <c r="AK93" s="4">
        <v>1128</v>
      </c>
      <c r="AL93" s="6">
        <v>21191.36</v>
      </c>
      <c r="AM93" s="4"/>
      <c r="AN93" s="6"/>
      <c r="AO93" s="5"/>
      <c r="AP93" s="5"/>
      <c r="AQ93" s="4">
        <v>108</v>
      </c>
      <c r="AR93" s="6">
        <v>2257.2</v>
      </c>
      <c r="AS93" s="4">
        <v>210</v>
      </c>
      <c r="AT93" s="6">
        <v>4416.5</v>
      </c>
      <c r="AU93" s="5">
        <v>-0.4857</v>
      </c>
      <c r="AV93" s="5">
        <v>-0.4889</v>
      </c>
      <c r="AW93" s="4">
        <v>85</v>
      </c>
      <c r="AX93" s="6">
        <v>1689.51</v>
      </c>
      <c r="AY93" s="4">
        <v>82</v>
      </c>
      <c r="AZ93" s="6">
        <v>1663.85</v>
      </c>
      <c r="BA93" s="5">
        <v>0.0366</v>
      </c>
      <c r="BB93" s="5">
        <v>0.0154</v>
      </c>
      <c r="BC93" s="4">
        <v>176</v>
      </c>
      <c r="BD93" s="6">
        <v>3357</v>
      </c>
      <c r="BE93" s="4">
        <v>228</v>
      </c>
      <c r="BF93" s="6">
        <v>4376.86</v>
      </c>
      <c r="BG93" s="5">
        <v>-0.2281</v>
      </c>
      <c r="BH93" s="5">
        <v>-0.233</v>
      </c>
      <c r="BI93" s="4">
        <v>51</v>
      </c>
      <c r="BJ93" s="6">
        <v>900.36</v>
      </c>
      <c r="BK93" s="4">
        <v>99</v>
      </c>
      <c r="BL93" s="6">
        <v>1973.78</v>
      </c>
      <c r="BM93" s="5">
        <v>-0.4848</v>
      </c>
      <c r="BN93" s="5">
        <v>-0.5438</v>
      </c>
      <c r="BO93" s="4">
        <v>104</v>
      </c>
      <c r="BP93" s="6">
        <v>1957.19</v>
      </c>
      <c r="BQ93" s="4">
        <v>123</v>
      </c>
      <c r="BR93" s="6">
        <v>2360.17</v>
      </c>
      <c r="BS93" s="5">
        <v>-0.1545</v>
      </c>
      <c r="BT93" s="5">
        <v>-0.1707</v>
      </c>
      <c r="BU93" s="4">
        <v>36</v>
      </c>
      <c r="BV93" s="6">
        <v>743.61</v>
      </c>
      <c r="BW93" s="4">
        <v>42</v>
      </c>
      <c r="BX93" s="6">
        <v>883.23</v>
      </c>
      <c r="BY93" s="5">
        <v>-0.1429</v>
      </c>
      <c r="BZ93" s="5">
        <v>-0.1581</v>
      </c>
      <c r="CA93" s="4">
        <v>12</v>
      </c>
      <c r="CB93" s="6">
        <v>289.7</v>
      </c>
      <c r="CC93" s="4">
        <v>8</v>
      </c>
      <c r="CD93" s="6">
        <v>241.3</v>
      </c>
      <c r="CE93" s="5">
        <v>0.5</v>
      </c>
      <c r="CF93" s="5">
        <v>0.2006</v>
      </c>
      <c r="CG93" s="4">
        <v>2</v>
      </c>
      <c r="CH93" s="6">
        <v>41.8</v>
      </c>
      <c r="CI93" s="4">
        <v>4</v>
      </c>
      <c r="CJ93" s="6">
        <v>83.6</v>
      </c>
      <c r="CK93" s="5">
        <v>-0.5</v>
      </c>
      <c r="CL93" s="5">
        <v>-0.5</v>
      </c>
      <c r="CM93" s="4"/>
      <c r="CN93" s="6"/>
      <c r="CO93" s="4"/>
      <c r="CP93" s="6"/>
      <c r="CQ93" s="5"/>
      <c r="CR93" s="5"/>
      <c r="CS93" s="4">
        <v>13</v>
      </c>
      <c r="CT93" s="6">
        <v>265.66</v>
      </c>
      <c r="CU93" s="4"/>
      <c r="CV93" s="6"/>
      <c r="CW93" s="5"/>
      <c r="CX93" s="5"/>
      <c r="CY93" s="4">
        <v>6</v>
      </c>
      <c r="CZ93" s="6">
        <v>112.14</v>
      </c>
      <c r="DA93" s="4">
        <v>2</v>
      </c>
      <c r="DB93" s="6">
        <v>42</v>
      </c>
      <c r="DC93" s="5">
        <v>2</v>
      </c>
      <c r="DD93" s="5">
        <v>1.67</v>
      </c>
      <c r="DE93" s="4">
        <v>14</v>
      </c>
      <c r="DF93" s="6">
        <v>318.4</v>
      </c>
      <c r="DG93" s="4">
        <v>15</v>
      </c>
      <c r="DH93" s="6">
        <v>335.28</v>
      </c>
      <c r="DI93" s="5">
        <v>-0.0667</v>
      </c>
      <c r="DJ93" s="5">
        <v>-0.0503</v>
      </c>
      <c r="DK93" s="4">
        <v>5</v>
      </c>
      <c r="DL93" s="6">
        <v>184.81</v>
      </c>
      <c r="DM93" s="4">
        <v>5</v>
      </c>
      <c r="DN93" s="6">
        <v>206.35</v>
      </c>
      <c r="DO93" s="5"/>
      <c r="DP93" s="5">
        <v>-0.1044</v>
      </c>
      <c r="DQ93" s="4"/>
      <c r="DR93" s="6"/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>
        <v>8</v>
      </c>
      <c r="EJ93" s="6">
        <v>173.08</v>
      </c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>
        <v>11</v>
      </c>
      <c r="FV93" s="6">
        <v>235.09</v>
      </c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/>
      <c r="IB93" s="6"/>
      <c r="IC93" s="4"/>
      <c r="ID93" s="6"/>
      <c r="IE93" s="5"/>
      <c r="IF93" s="5"/>
      <c r="IG93" s="4"/>
      <c r="IH93" s="6"/>
      <c r="II93" s="4"/>
      <c r="IJ93" s="6"/>
      <c r="IK93" s="5"/>
      <c r="IL93" s="5"/>
      <c r="IM93" s="4"/>
      <c r="IN93" s="6"/>
      <c r="IO93" s="4"/>
      <c r="IP93" s="6"/>
      <c r="IQ93" s="5"/>
      <c r="IR93" s="5"/>
      <c r="IS93" s="4"/>
      <c r="IT93" s="6"/>
      <c r="IU93" s="4"/>
      <c r="IV93" s="6"/>
      <c r="IW93" s="5"/>
      <c r="IX93" s="5"/>
      <c r="IY93" s="4"/>
      <c r="IZ93" s="6"/>
      <c r="JA93" s="4"/>
      <c r="JB93" s="6"/>
      <c r="JC93" s="5"/>
      <c r="JD93" s="5"/>
      <c r="JE93" s="4"/>
      <c r="JF93" s="6"/>
      <c r="JG93" s="4"/>
      <c r="JH93" s="6"/>
      <c r="JI93" s="5"/>
      <c r="JJ93" s="5"/>
      <c r="JK93" s="4">
        <v>816</v>
      </c>
      <c r="JL93" s="4"/>
      <c r="JM93" s="4"/>
      <c r="JN93" s="4"/>
      <c r="JO93" s="4">
        <v>473</v>
      </c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>
        <v>310</v>
      </c>
      <c r="KH93" s="4"/>
      <c r="KI93" s="4"/>
      <c r="KJ93" s="4">
        <v>920</v>
      </c>
      <c r="KK93" s="4"/>
      <c r="KL93" s="4"/>
      <c r="KM93" s="4"/>
      <c r="KN93" s="4"/>
      <c r="KO93" s="4"/>
      <c r="KP93" s="4"/>
      <c r="KQ93" s="4"/>
      <c r="KR93" s="4"/>
      <c r="KS93" s="4">
        <v>1100</v>
      </c>
      <c r="KT93" s="4"/>
      <c r="KU93" s="4"/>
      <c r="KV93" s="4"/>
      <c r="KW93" s="4">
        <v>800</v>
      </c>
      <c r="KX93" s="4"/>
      <c r="KY93" s="4"/>
      <c r="KZ93" s="4"/>
      <c r="LA93" s="4"/>
      <c r="LB93" s="4"/>
      <c r="LC93" s="4">
        <v>1550</v>
      </c>
      <c r="LD93" s="4"/>
      <c r="LE93" s="4"/>
      <c r="LF93" s="4"/>
      <c r="LG93" s="4">
        <v>710</v>
      </c>
      <c r="LH93" s="4"/>
      <c r="LI93" s="4"/>
      <c r="LJ93" s="4"/>
      <c r="LK93" s="4"/>
      <c r="LL93" s="4"/>
      <c r="LM93" s="4"/>
    </row>
    <row r="94">
      <c r="A94" s="3" t="s">
        <v>136</v>
      </c>
      <c r="B94" s="3" t="s">
        <v>158</v>
      </c>
      <c r="C94" s="3" t="s">
        <v>138</v>
      </c>
      <c r="D94" s="3" t="s">
        <v>139</v>
      </c>
      <c r="E94" s="3" t="s">
        <v>159</v>
      </c>
      <c r="F94" s="3" t="s">
        <v>159</v>
      </c>
      <c r="G94" s="3" t="s">
        <v>159</v>
      </c>
      <c r="H94" s="3" t="s">
        <v>159</v>
      </c>
      <c r="I94" s="3" t="s">
        <v>238</v>
      </c>
      <c r="J94" s="3" t="s">
        <v>228</v>
      </c>
      <c r="K94" s="4">
        <v>785</v>
      </c>
      <c r="L94" s="4">
        <f>=ROUNDDOWN(3.2172131147541,0)</f>
      </c>
      <c r="M94" s="4">
        <v>6654</v>
      </c>
      <c r="N94" s="5">
        <v>0.8822</v>
      </c>
      <c r="O94" s="4"/>
      <c r="P94" s="4">
        <f>=ROUNDDOWN({0},0)</f>
      </c>
      <c r="Q94" s="4"/>
      <c r="R94" s="5"/>
      <c r="S94" s="4">
        <v>2034</v>
      </c>
      <c r="T94" s="6">
        <v>37428.92</v>
      </c>
      <c r="U94" s="4">
        <v>1256</v>
      </c>
      <c r="V94" s="6">
        <v>26074.85</v>
      </c>
      <c r="W94" s="5">
        <v>0.6194</v>
      </c>
      <c r="X94" s="5">
        <v>0.4354</v>
      </c>
      <c r="Y94" s="4">
        <v>119</v>
      </c>
      <c r="Z94" s="6">
        <v>2472.32</v>
      </c>
      <c r="AA94" s="4">
        <v>389</v>
      </c>
      <c r="AB94" s="6">
        <v>8169.77</v>
      </c>
      <c r="AC94" s="5">
        <v>-0.6941</v>
      </c>
      <c r="AD94" s="5">
        <v>-0.6974</v>
      </c>
      <c r="AE94" s="4">
        <v>49</v>
      </c>
      <c r="AF94" s="6">
        <v>1052.25</v>
      </c>
      <c r="AG94" s="4">
        <v>9</v>
      </c>
      <c r="AH94" s="6">
        <v>194</v>
      </c>
      <c r="AI94" s="5">
        <v>4.4444</v>
      </c>
      <c r="AJ94" s="5">
        <v>4.424</v>
      </c>
      <c r="AK94" s="4">
        <v>1436</v>
      </c>
      <c r="AL94" s="6">
        <v>25071.82</v>
      </c>
      <c r="AM94" s="4"/>
      <c r="AN94" s="6"/>
      <c r="AO94" s="5"/>
      <c r="AP94" s="5"/>
      <c r="AQ94" s="4">
        <v>80</v>
      </c>
      <c r="AR94" s="6">
        <v>1790.25</v>
      </c>
      <c r="AS94" s="4">
        <v>75</v>
      </c>
      <c r="AT94" s="6">
        <v>1644.5</v>
      </c>
      <c r="AU94" s="5">
        <v>0.0667</v>
      </c>
      <c r="AV94" s="5">
        <v>0.0886</v>
      </c>
      <c r="AW94" s="4">
        <v>88</v>
      </c>
      <c r="AX94" s="6">
        <v>1791.92</v>
      </c>
      <c r="AY94" s="4">
        <v>114</v>
      </c>
      <c r="AZ94" s="6">
        <v>2290.09</v>
      </c>
      <c r="BA94" s="5">
        <v>-0.2281</v>
      </c>
      <c r="BB94" s="5">
        <v>-0.2175</v>
      </c>
      <c r="BC94" s="4">
        <v>75</v>
      </c>
      <c r="BD94" s="6">
        <v>1493.9</v>
      </c>
      <c r="BE94" s="4">
        <v>284</v>
      </c>
      <c r="BF94" s="6">
        <v>5568.07</v>
      </c>
      <c r="BG94" s="5">
        <v>-0.7359</v>
      </c>
      <c r="BH94" s="5">
        <v>-0.7317</v>
      </c>
      <c r="BI94" s="4">
        <v>57</v>
      </c>
      <c r="BJ94" s="6">
        <v>1083.34</v>
      </c>
      <c r="BK94" s="4">
        <v>126</v>
      </c>
      <c r="BL94" s="6">
        <v>2554.94</v>
      </c>
      <c r="BM94" s="5">
        <v>-0.5476</v>
      </c>
      <c r="BN94" s="5">
        <v>-0.576</v>
      </c>
      <c r="BO94" s="4">
        <v>60</v>
      </c>
      <c r="BP94" s="6">
        <v>1125.01</v>
      </c>
      <c r="BQ94" s="4">
        <v>97</v>
      </c>
      <c r="BR94" s="6">
        <v>1961.73</v>
      </c>
      <c r="BS94" s="5">
        <v>-0.3814</v>
      </c>
      <c r="BT94" s="5">
        <v>-0.4265</v>
      </c>
      <c r="BU94" s="4">
        <v>15</v>
      </c>
      <c r="BV94" s="6">
        <v>328.32</v>
      </c>
      <c r="BW94" s="4">
        <v>57</v>
      </c>
      <c r="BX94" s="6">
        <v>1203.72</v>
      </c>
      <c r="BY94" s="5">
        <v>-0.7368</v>
      </c>
      <c r="BZ94" s="5">
        <v>-0.7272</v>
      </c>
      <c r="CA94" s="4">
        <v>6</v>
      </c>
      <c r="CB94" s="6">
        <v>161.88</v>
      </c>
      <c r="CC94" s="4">
        <v>3</v>
      </c>
      <c r="CD94" s="6">
        <v>78.61</v>
      </c>
      <c r="CE94" s="5">
        <v>1</v>
      </c>
      <c r="CF94" s="5">
        <v>1.0593</v>
      </c>
      <c r="CG94" s="4"/>
      <c r="CH94" s="6"/>
      <c r="CI94" s="4">
        <v>1</v>
      </c>
      <c r="CJ94" s="6">
        <v>23.65</v>
      </c>
      <c r="CK94" s="5"/>
      <c r="CL94" s="5"/>
      <c r="CM94" s="4"/>
      <c r="CN94" s="6"/>
      <c r="CO94" s="4"/>
      <c r="CP94" s="6"/>
      <c r="CQ94" s="5"/>
      <c r="CR94" s="5"/>
      <c r="CS94" s="4">
        <v>20</v>
      </c>
      <c r="CT94" s="6">
        <v>421.6</v>
      </c>
      <c r="CU94" s="4"/>
      <c r="CV94" s="6"/>
      <c r="CW94" s="5"/>
      <c r="CX94" s="5"/>
      <c r="CY94" s="4">
        <v>19</v>
      </c>
      <c r="CZ94" s="6">
        <v>375.9</v>
      </c>
      <c r="DA94" s="4">
        <v>35</v>
      </c>
      <c r="DB94" s="6">
        <v>651.84</v>
      </c>
      <c r="DC94" s="5">
        <v>-0.4571</v>
      </c>
      <c r="DD94" s="5">
        <v>-0.4233</v>
      </c>
      <c r="DE94" s="4">
        <v>3</v>
      </c>
      <c r="DF94" s="6">
        <v>67.5</v>
      </c>
      <c r="DG94" s="4">
        <v>16</v>
      </c>
      <c r="DH94" s="6">
        <v>339.62</v>
      </c>
      <c r="DI94" s="5">
        <v>-0.8125</v>
      </c>
      <c r="DJ94" s="5">
        <v>-0.8012</v>
      </c>
      <c r="DK94" s="4">
        <v>3</v>
      </c>
      <c r="DL94" s="6">
        <v>106.37</v>
      </c>
      <c r="DM94" s="4">
        <v>21</v>
      </c>
      <c r="DN94" s="6">
        <v>771.69</v>
      </c>
      <c r="DO94" s="5">
        <v>-0.8571</v>
      </c>
      <c r="DP94" s="5">
        <v>-0.8622</v>
      </c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>
        <v>4</v>
      </c>
      <c r="EJ94" s="6">
        <v>86.54</v>
      </c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>
        <v>25</v>
      </c>
      <c r="FV94" s="6">
        <v>534.93</v>
      </c>
      <c r="FW94" s="5"/>
      <c r="FX94" s="5"/>
      <c r="FY94" s="4"/>
      <c r="FZ94" s="6"/>
      <c r="GA94" s="4">
        <v>4</v>
      </c>
      <c r="GB94" s="6">
        <v>87.69</v>
      </c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/>
      <c r="IB94" s="6"/>
      <c r="IC94" s="4"/>
      <c r="ID94" s="6"/>
      <c r="IE94" s="5"/>
      <c r="IF94" s="5"/>
      <c r="IG94" s="4"/>
      <c r="IH94" s="6"/>
      <c r="II94" s="4"/>
      <c r="IJ94" s="6"/>
      <c r="IK94" s="5"/>
      <c r="IL94" s="5"/>
      <c r="IM94" s="4"/>
      <c r="IN94" s="6"/>
      <c r="IO94" s="4"/>
      <c r="IP94" s="6"/>
      <c r="IQ94" s="5"/>
      <c r="IR94" s="5"/>
      <c r="IS94" s="4"/>
      <c r="IT94" s="6"/>
      <c r="IU94" s="4"/>
      <c r="IV94" s="6"/>
      <c r="IW94" s="5"/>
      <c r="IX94" s="5"/>
      <c r="IY94" s="4"/>
      <c r="IZ94" s="6"/>
      <c r="JA94" s="4"/>
      <c r="JB94" s="6"/>
      <c r="JC94" s="5"/>
      <c r="JD94" s="5"/>
      <c r="JE94" s="4"/>
      <c r="JF94" s="6"/>
      <c r="JG94" s="4"/>
      <c r="JH94" s="6"/>
      <c r="JI94" s="5"/>
      <c r="JJ94" s="5"/>
      <c r="JK94" s="4">
        <v>65</v>
      </c>
      <c r="JL94" s="4"/>
      <c r="JM94" s="4"/>
      <c r="JN94" s="4"/>
      <c r="JO94" s="4">
        <v>406</v>
      </c>
      <c r="JP94" s="4"/>
      <c r="JQ94" s="4"/>
      <c r="JR94" s="4">
        <v>314</v>
      </c>
      <c r="JS94" s="4"/>
      <c r="JT94" s="4"/>
      <c r="JU94" s="4"/>
      <c r="JV94" s="4"/>
      <c r="JW94" s="4"/>
      <c r="JX94" s="4"/>
      <c r="JY94" s="4"/>
      <c r="JZ94" s="4"/>
      <c r="KA94" s="4">
        <v>264</v>
      </c>
      <c r="KB94" s="4"/>
      <c r="KC94" s="4"/>
      <c r="KD94" s="4"/>
      <c r="KE94" s="4">
        <v>50</v>
      </c>
      <c r="KF94" s="4"/>
      <c r="KG94" s="4">
        <v>360</v>
      </c>
      <c r="KH94" s="4"/>
      <c r="KI94" s="4"/>
      <c r="KJ94" s="4"/>
      <c r="KK94" s="4"/>
      <c r="KL94" s="4">
        <v>580</v>
      </c>
      <c r="KM94" s="4"/>
      <c r="KN94" s="4"/>
      <c r="KO94" s="4"/>
      <c r="KP94" s="4"/>
      <c r="KQ94" s="4"/>
      <c r="KR94" s="4"/>
      <c r="KS94" s="4">
        <v>1950</v>
      </c>
      <c r="KT94" s="4"/>
      <c r="KU94" s="4"/>
      <c r="KV94" s="4"/>
      <c r="KW94" s="4">
        <v>550</v>
      </c>
      <c r="KX94" s="4"/>
      <c r="KY94" s="4"/>
      <c r="KZ94" s="4"/>
      <c r="LA94" s="4"/>
      <c r="LB94" s="4"/>
      <c r="LC94" s="4">
        <v>2900</v>
      </c>
      <c r="LD94" s="4"/>
      <c r="LE94" s="4"/>
      <c r="LF94" s="4"/>
      <c r="LG94" s="4"/>
      <c r="LH94" s="4"/>
      <c r="LI94" s="4"/>
      <c r="LJ94" s="4"/>
      <c r="LK94" s="4"/>
      <c r="LL94" s="4"/>
      <c r="LM94" s="4"/>
    </row>
    <row r="95">
      <c r="A95" s="3" t="s">
        <v>136</v>
      </c>
      <c r="B95" s="3" t="s">
        <v>158</v>
      </c>
      <c r="C95" s="3" t="s">
        <v>138</v>
      </c>
      <c r="D95" s="3" t="s">
        <v>139</v>
      </c>
      <c r="E95" s="3" t="s">
        <v>159</v>
      </c>
      <c r="F95" s="3" t="s">
        <v>159</v>
      </c>
      <c r="G95" s="3" t="s">
        <v>159</v>
      </c>
      <c r="H95" s="3" t="s">
        <v>159</v>
      </c>
      <c r="I95" s="3" t="s">
        <v>237</v>
      </c>
      <c r="J95" s="3" t="s">
        <v>241</v>
      </c>
      <c r="K95" s="4">
        <v>2214</v>
      </c>
      <c r="L95" s="4">
        <f>=ROUNDDOWN(26.7391304347826,0)</f>
      </c>
      <c r="M95" s="4">
        <v>170</v>
      </c>
      <c r="N95" s="5"/>
      <c r="O95" s="4"/>
      <c r="P95" s="4">
        <f>=ROUNDDOWN({0},0)</f>
      </c>
      <c r="Q95" s="4"/>
      <c r="R95" s="5"/>
      <c r="S95" s="4">
        <v>1289</v>
      </c>
      <c r="T95" s="6">
        <v>25858.95</v>
      </c>
      <c r="U95" s="4">
        <v>1385</v>
      </c>
      <c r="V95" s="6">
        <v>27887.45</v>
      </c>
      <c r="W95" s="5">
        <v>-0.0693</v>
      </c>
      <c r="X95" s="5">
        <v>-0.0727</v>
      </c>
      <c r="Y95" s="4">
        <v>150</v>
      </c>
      <c r="Z95" s="6">
        <v>3122.85</v>
      </c>
      <c r="AA95" s="4">
        <v>205</v>
      </c>
      <c r="AB95" s="6">
        <v>4235.3</v>
      </c>
      <c r="AC95" s="5">
        <v>-0.2683</v>
      </c>
      <c r="AD95" s="5">
        <v>-0.2627</v>
      </c>
      <c r="AE95" s="4">
        <v>41</v>
      </c>
      <c r="AF95" s="6">
        <v>908.71</v>
      </c>
      <c r="AG95" s="4">
        <v>12</v>
      </c>
      <c r="AH95" s="6">
        <v>257.76</v>
      </c>
      <c r="AI95" s="5">
        <v>2.4167</v>
      </c>
      <c r="AJ95" s="5">
        <v>2.5254</v>
      </c>
      <c r="AK95" s="4">
        <v>567</v>
      </c>
      <c r="AL95" s="6">
        <v>11289.99</v>
      </c>
      <c r="AM95" s="4"/>
      <c r="AN95" s="6"/>
      <c r="AO95" s="5"/>
      <c r="AP95" s="5"/>
      <c r="AQ95" s="4">
        <v>52</v>
      </c>
      <c r="AR95" s="6">
        <v>934.44</v>
      </c>
      <c r="AS95" s="4">
        <v>377</v>
      </c>
      <c r="AT95" s="6">
        <v>7097.14</v>
      </c>
      <c r="AU95" s="5">
        <v>-0.8621</v>
      </c>
      <c r="AV95" s="5">
        <v>-0.8683</v>
      </c>
      <c r="AW95" s="4">
        <v>110</v>
      </c>
      <c r="AX95" s="6">
        <v>2253.93</v>
      </c>
      <c r="AY95" s="4">
        <v>154</v>
      </c>
      <c r="AZ95" s="6">
        <v>3134.25</v>
      </c>
      <c r="BA95" s="5">
        <v>-0.2857</v>
      </c>
      <c r="BB95" s="5">
        <v>-0.2809</v>
      </c>
      <c r="BC95" s="4">
        <v>90</v>
      </c>
      <c r="BD95" s="6">
        <v>1730.88</v>
      </c>
      <c r="BE95" s="4">
        <v>142</v>
      </c>
      <c r="BF95" s="6">
        <v>2767.62</v>
      </c>
      <c r="BG95" s="5">
        <v>-0.3662</v>
      </c>
      <c r="BH95" s="5">
        <v>-0.3746</v>
      </c>
      <c r="BI95" s="4">
        <v>60</v>
      </c>
      <c r="BJ95" s="6">
        <v>1139.8</v>
      </c>
      <c r="BK95" s="4">
        <v>110</v>
      </c>
      <c r="BL95" s="6">
        <v>2243.4</v>
      </c>
      <c r="BM95" s="5">
        <v>-0.4545</v>
      </c>
      <c r="BN95" s="5">
        <v>-0.4919</v>
      </c>
      <c r="BO95" s="4">
        <v>109</v>
      </c>
      <c r="BP95" s="6">
        <v>2050.31</v>
      </c>
      <c r="BQ95" s="4">
        <v>172</v>
      </c>
      <c r="BR95" s="6">
        <v>3439.38</v>
      </c>
      <c r="BS95" s="5">
        <v>-0.3663</v>
      </c>
      <c r="BT95" s="5">
        <v>-0.4039</v>
      </c>
      <c r="BU95" s="4">
        <v>29</v>
      </c>
      <c r="BV95" s="6">
        <v>622.77</v>
      </c>
      <c r="BW95" s="4">
        <v>71</v>
      </c>
      <c r="BX95" s="6">
        <v>1510.38</v>
      </c>
      <c r="BY95" s="5">
        <v>-0.5915</v>
      </c>
      <c r="BZ95" s="5">
        <v>-0.5877</v>
      </c>
      <c r="CA95" s="4">
        <v>41</v>
      </c>
      <c r="CB95" s="6">
        <v>906.35</v>
      </c>
      <c r="CC95" s="4">
        <v>23</v>
      </c>
      <c r="CD95" s="6">
        <v>507.36</v>
      </c>
      <c r="CE95" s="5">
        <v>0.7826</v>
      </c>
      <c r="CF95" s="5">
        <v>0.7864</v>
      </c>
      <c r="CG95" s="4"/>
      <c r="CH95" s="6"/>
      <c r="CI95" s="4">
        <v>11</v>
      </c>
      <c r="CJ95" s="6">
        <v>210.32</v>
      </c>
      <c r="CK95" s="5"/>
      <c r="CL95" s="5"/>
      <c r="CM95" s="4"/>
      <c r="CN95" s="6"/>
      <c r="CO95" s="4"/>
      <c r="CP95" s="6"/>
      <c r="CQ95" s="5"/>
      <c r="CR95" s="5"/>
      <c r="CS95" s="4">
        <v>19</v>
      </c>
      <c r="CT95" s="6">
        <v>403.04</v>
      </c>
      <c r="CU95" s="4">
        <v>58</v>
      </c>
      <c r="CV95" s="6">
        <v>1245.68</v>
      </c>
      <c r="CW95" s="5">
        <v>-0.6724</v>
      </c>
      <c r="CX95" s="5">
        <v>-0.6764</v>
      </c>
      <c r="CY95" s="4"/>
      <c r="CZ95" s="6"/>
      <c r="DA95" s="4"/>
      <c r="DB95" s="6"/>
      <c r="DC95" s="5"/>
      <c r="DD95" s="5"/>
      <c r="DE95" s="4">
        <v>7</v>
      </c>
      <c r="DF95" s="6">
        <v>145.22</v>
      </c>
      <c r="DG95" s="4">
        <v>14</v>
      </c>
      <c r="DH95" s="6">
        <v>296.32</v>
      </c>
      <c r="DI95" s="5">
        <v>-0.5</v>
      </c>
      <c r="DJ95" s="5">
        <v>-0.5099</v>
      </c>
      <c r="DK95" s="4">
        <v>2</v>
      </c>
      <c r="DL95" s="6">
        <v>78.7</v>
      </c>
      <c r="DM95" s="4">
        <v>10</v>
      </c>
      <c r="DN95" s="6">
        <v>381.6</v>
      </c>
      <c r="DO95" s="5">
        <v>-0.8</v>
      </c>
      <c r="DP95" s="5">
        <v>-0.7938</v>
      </c>
      <c r="DQ95" s="4">
        <v>12</v>
      </c>
      <c r="DR95" s="6">
        <v>271.96</v>
      </c>
      <c r="DS95" s="4">
        <v>18</v>
      </c>
      <c r="DT95" s="6">
        <v>412.36</v>
      </c>
      <c r="DU95" s="5">
        <v>-0.3333</v>
      </c>
      <c r="DV95" s="5">
        <v>-0.3405</v>
      </c>
      <c r="DW95" s="4"/>
      <c r="DX95" s="6"/>
      <c r="DY95" s="4"/>
      <c r="DZ95" s="6"/>
      <c r="EA95" s="5"/>
      <c r="EB95" s="5"/>
      <c r="EC95" s="4"/>
      <c r="ED95" s="6"/>
      <c r="EE95" s="4">
        <v>1</v>
      </c>
      <c r="EF95" s="6">
        <v>22.58</v>
      </c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>
        <v>7</v>
      </c>
      <c r="FV95" s="6">
        <v>126</v>
      </c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/>
      <c r="IB95" s="6"/>
      <c r="IC95" s="4"/>
      <c r="ID95" s="6"/>
      <c r="IE95" s="5"/>
      <c r="IF95" s="5"/>
      <c r="IG95" s="4"/>
      <c r="IH95" s="6"/>
      <c r="II95" s="4"/>
      <c r="IJ95" s="6"/>
      <c r="IK95" s="5"/>
      <c r="IL95" s="5"/>
      <c r="IM95" s="4"/>
      <c r="IN95" s="6"/>
      <c r="IO95" s="4"/>
      <c r="IP95" s="6"/>
      <c r="IQ95" s="5"/>
      <c r="IR95" s="5"/>
      <c r="IS95" s="4"/>
      <c r="IT95" s="6"/>
      <c r="IU95" s="4"/>
      <c r="IV95" s="6"/>
      <c r="IW95" s="5"/>
      <c r="IX95" s="5"/>
      <c r="IY95" s="4"/>
      <c r="IZ95" s="6"/>
      <c r="JA95" s="4"/>
      <c r="JB95" s="6"/>
      <c r="JC95" s="5"/>
      <c r="JD95" s="5"/>
      <c r="JE95" s="4"/>
      <c r="JF95" s="6"/>
      <c r="JG95" s="4"/>
      <c r="JH95" s="6"/>
      <c r="JI95" s="5"/>
      <c r="JJ95" s="5"/>
      <c r="JK95" s="4">
        <v>1718</v>
      </c>
      <c r="JL95" s="4"/>
      <c r="JM95" s="4"/>
      <c r="JN95" s="4"/>
      <c r="JO95" s="4">
        <v>436</v>
      </c>
      <c r="JP95" s="4"/>
      <c r="JQ95" s="4"/>
      <c r="JR95" s="4">
        <v>60</v>
      </c>
      <c r="JS95" s="4"/>
      <c r="JT95" s="4"/>
      <c r="JU95" s="4"/>
      <c r="JV95" s="4"/>
      <c r="JW95" s="4"/>
      <c r="JX95" s="4"/>
      <c r="JY95" s="4"/>
      <c r="JZ95" s="4"/>
      <c r="KA95" s="4">
        <v>110</v>
      </c>
      <c r="KB95" s="4"/>
      <c r="KC95" s="4"/>
      <c r="KD95" s="4"/>
      <c r="KE95" s="4">
        <v>60</v>
      </c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</row>
    <row r="96">
      <c r="A96" s="3" t="s">
        <v>136</v>
      </c>
      <c r="B96" s="3" t="s">
        <v>158</v>
      </c>
      <c r="C96" s="3" t="s">
        <v>138</v>
      </c>
      <c r="D96" s="3" t="s">
        <v>139</v>
      </c>
      <c r="E96" s="3" t="s">
        <v>160</v>
      </c>
      <c r="F96" s="3" t="s">
        <v>160</v>
      </c>
      <c r="G96" s="3" t="s">
        <v>160</v>
      </c>
      <c r="H96" s="3" t="s">
        <v>159</v>
      </c>
      <c r="I96" s="3" t="s">
        <v>262</v>
      </c>
      <c r="J96" s="3" t="s">
        <v>228</v>
      </c>
      <c r="K96" s="4">
        <v>529</v>
      </c>
      <c r="L96" s="4">
        <f>=ROUNDDOWN(18.8928571428571,0)</f>
      </c>
      <c r="M96" s="4">
        <v>430</v>
      </c>
      <c r="N96" s="5">
        <v>1</v>
      </c>
      <c r="O96" s="4"/>
      <c r="P96" s="4">
        <f>=ROUNDDOWN({0},0)</f>
      </c>
      <c r="Q96" s="4"/>
      <c r="R96" s="5"/>
      <c r="S96" s="4">
        <v>396</v>
      </c>
      <c r="T96" s="6">
        <v>8342.62</v>
      </c>
      <c r="U96" s="4">
        <v>40</v>
      </c>
      <c r="V96" s="6">
        <v>850.58</v>
      </c>
      <c r="W96" s="5">
        <v>8.9</v>
      </c>
      <c r="X96" s="5">
        <v>8.8082</v>
      </c>
      <c r="Y96" s="4">
        <v>22</v>
      </c>
      <c r="Z96" s="6">
        <v>471.89</v>
      </c>
      <c r="AA96" s="4"/>
      <c r="AB96" s="6"/>
      <c r="AC96" s="5"/>
      <c r="AD96" s="5"/>
      <c r="AE96" s="4">
        <v>17</v>
      </c>
      <c r="AF96" s="6">
        <v>365.48</v>
      </c>
      <c r="AG96" s="4"/>
      <c r="AH96" s="6"/>
      <c r="AI96" s="5"/>
      <c r="AJ96" s="5"/>
      <c r="AK96" s="4">
        <v>26</v>
      </c>
      <c r="AL96" s="6">
        <v>581.06</v>
      </c>
      <c r="AM96" s="4"/>
      <c r="AN96" s="6"/>
      <c r="AO96" s="5"/>
      <c r="AP96" s="5"/>
      <c r="AQ96" s="4">
        <v>125</v>
      </c>
      <c r="AR96" s="6">
        <v>2730.62</v>
      </c>
      <c r="AS96" s="4"/>
      <c r="AT96" s="6"/>
      <c r="AU96" s="5"/>
      <c r="AV96" s="5"/>
      <c r="AW96" s="4">
        <v>15</v>
      </c>
      <c r="AX96" s="6">
        <v>325.24</v>
      </c>
      <c r="AY96" s="4">
        <v>2</v>
      </c>
      <c r="AZ96" s="6">
        <v>41.9</v>
      </c>
      <c r="BA96" s="5">
        <v>6.5</v>
      </c>
      <c r="BB96" s="5">
        <v>6.7623</v>
      </c>
      <c r="BC96" s="4">
        <v>123</v>
      </c>
      <c r="BD96" s="6">
        <v>2473.6</v>
      </c>
      <c r="BE96" s="4"/>
      <c r="BF96" s="6"/>
      <c r="BG96" s="5"/>
      <c r="BH96" s="5"/>
      <c r="BI96" s="4">
        <v>24</v>
      </c>
      <c r="BJ96" s="6">
        <v>513.76</v>
      </c>
      <c r="BK96" s="4">
        <v>37</v>
      </c>
      <c r="BL96" s="6">
        <v>779.09</v>
      </c>
      <c r="BM96" s="5">
        <v>-0.3514</v>
      </c>
      <c r="BN96" s="5">
        <v>-0.3406</v>
      </c>
      <c r="BO96" s="4">
        <v>11</v>
      </c>
      <c r="BP96" s="6">
        <v>193.1</v>
      </c>
      <c r="BQ96" s="4"/>
      <c r="BR96" s="6"/>
      <c r="BS96" s="5"/>
      <c r="BT96" s="5"/>
      <c r="BU96" s="4">
        <v>8</v>
      </c>
      <c r="BV96" s="6">
        <v>178.6</v>
      </c>
      <c r="BW96" s="4"/>
      <c r="BX96" s="6"/>
      <c r="BY96" s="5"/>
      <c r="BZ96" s="5"/>
      <c r="CA96" s="4">
        <v>6</v>
      </c>
      <c r="CB96" s="6">
        <v>146.3</v>
      </c>
      <c r="CC96" s="4">
        <v>1</v>
      </c>
      <c r="CD96" s="6">
        <v>29.59</v>
      </c>
      <c r="CE96" s="5">
        <v>5</v>
      </c>
      <c r="CF96" s="5">
        <v>3.9442</v>
      </c>
      <c r="CG96" s="4">
        <v>5</v>
      </c>
      <c r="CH96" s="6">
        <v>114.99</v>
      </c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>
        <v>8</v>
      </c>
      <c r="DF96" s="6">
        <v>105.78</v>
      </c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>
        <v>6</v>
      </c>
      <c r="EJ96" s="6">
        <v>142.2</v>
      </c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/>
      <c r="IB96" s="6"/>
      <c r="IC96" s="4"/>
      <c r="ID96" s="6"/>
      <c r="IE96" s="5"/>
      <c r="IF96" s="5"/>
      <c r="IG96" s="4"/>
      <c r="IH96" s="6"/>
      <c r="II96" s="4"/>
      <c r="IJ96" s="6"/>
      <c r="IK96" s="5"/>
      <c r="IL96" s="5"/>
      <c r="IM96" s="4"/>
      <c r="IN96" s="6"/>
      <c r="IO96" s="4"/>
      <c r="IP96" s="6"/>
      <c r="IQ96" s="5"/>
      <c r="IR96" s="5"/>
      <c r="IS96" s="4"/>
      <c r="IT96" s="6"/>
      <c r="IU96" s="4"/>
      <c r="IV96" s="6"/>
      <c r="IW96" s="5"/>
      <c r="IX96" s="5"/>
      <c r="IY96" s="4"/>
      <c r="IZ96" s="6"/>
      <c r="JA96" s="4"/>
      <c r="JB96" s="6"/>
      <c r="JC96" s="5"/>
      <c r="JD96" s="5"/>
      <c r="JE96" s="4"/>
      <c r="JF96" s="6"/>
      <c r="JG96" s="4"/>
      <c r="JH96" s="6"/>
      <c r="JI96" s="5"/>
      <c r="JJ96" s="5"/>
      <c r="JK96" s="4">
        <v>528</v>
      </c>
      <c r="JL96" s="4"/>
      <c r="JM96" s="4"/>
      <c r="JN96" s="4"/>
      <c r="JO96" s="4"/>
      <c r="JP96" s="4"/>
      <c r="JQ96" s="4"/>
      <c r="JR96" s="4">
        <v>1</v>
      </c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>
        <v>230</v>
      </c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>
        <v>200</v>
      </c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</row>
    <row r="97">
      <c r="A97" s="3" t="s">
        <v>136</v>
      </c>
      <c r="B97" s="3" t="s">
        <v>158</v>
      </c>
      <c r="C97" s="3" t="s">
        <v>138</v>
      </c>
      <c r="D97" s="3" t="s">
        <v>139</v>
      </c>
      <c r="E97" s="3" t="s">
        <v>160</v>
      </c>
      <c r="F97" s="3" t="s">
        <v>160</v>
      </c>
      <c r="G97" s="3" t="s">
        <v>160</v>
      </c>
      <c r="H97" s="3" t="s">
        <v>159</v>
      </c>
      <c r="I97" s="3" t="s">
        <v>263</v>
      </c>
      <c r="J97" s="3" t="s">
        <v>228</v>
      </c>
      <c r="K97" s="4">
        <v>461</v>
      </c>
      <c r="L97" s="4">
        <f>=ROUNDDOWN(15.3666666666667,0)</f>
      </c>
      <c r="M97" s="4">
        <v>455</v>
      </c>
      <c r="N97" s="5">
        <v>1</v>
      </c>
      <c r="O97" s="4"/>
      <c r="P97" s="4">
        <f>=ROUNDDOWN({0},0)</f>
      </c>
      <c r="Q97" s="4"/>
      <c r="R97" s="5"/>
      <c r="S97" s="4">
        <v>339</v>
      </c>
      <c r="T97" s="6">
        <v>6747.52</v>
      </c>
      <c r="U97" s="4">
        <v>36</v>
      </c>
      <c r="V97" s="6">
        <v>753.6</v>
      </c>
      <c r="W97" s="5">
        <v>8.4167</v>
      </c>
      <c r="X97" s="5">
        <v>7.9537</v>
      </c>
      <c r="Y97" s="4">
        <v>23</v>
      </c>
      <c r="Z97" s="6">
        <v>491.18</v>
      </c>
      <c r="AA97" s="4"/>
      <c r="AB97" s="6"/>
      <c r="AC97" s="5"/>
      <c r="AD97" s="5"/>
      <c r="AE97" s="4">
        <v>12</v>
      </c>
      <c r="AF97" s="6">
        <v>244.21</v>
      </c>
      <c r="AG97" s="4"/>
      <c r="AH97" s="6"/>
      <c r="AI97" s="5"/>
      <c r="AJ97" s="5"/>
      <c r="AK97" s="4">
        <v>54</v>
      </c>
      <c r="AL97" s="6">
        <v>1048.03</v>
      </c>
      <c r="AM97" s="4"/>
      <c r="AN97" s="6"/>
      <c r="AO97" s="5"/>
      <c r="AP97" s="5"/>
      <c r="AQ97" s="4">
        <v>27</v>
      </c>
      <c r="AR97" s="6">
        <v>538.8</v>
      </c>
      <c r="AS97" s="4"/>
      <c r="AT97" s="6"/>
      <c r="AU97" s="5"/>
      <c r="AV97" s="5"/>
      <c r="AW97" s="4">
        <v>30</v>
      </c>
      <c r="AX97" s="6">
        <v>589.3</v>
      </c>
      <c r="AY97" s="4">
        <v>6</v>
      </c>
      <c r="AZ97" s="6">
        <v>120.17</v>
      </c>
      <c r="BA97" s="5">
        <v>4</v>
      </c>
      <c r="BB97" s="5">
        <v>3.9039</v>
      </c>
      <c r="BC97" s="4">
        <v>123</v>
      </c>
      <c r="BD97" s="6">
        <v>2447.55</v>
      </c>
      <c r="BE97" s="4"/>
      <c r="BF97" s="6"/>
      <c r="BG97" s="5"/>
      <c r="BH97" s="5"/>
      <c r="BI97" s="4">
        <v>27</v>
      </c>
      <c r="BJ97" s="6">
        <v>577.24</v>
      </c>
      <c r="BK97" s="4">
        <v>29</v>
      </c>
      <c r="BL97" s="6">
        <v>603.32</v>
      </c>
      <c r="BM97" s="5">
        <v>-0.069</v>
      </c>
      <c r="BN97" s="5">
        <v>-0.0432</v>
      </c>
      <c r="BO97" s="4">
        <v>15</v>
      </c>
      <c r="BP97" s="6">
        <v>247.76</v>
      </c>
      <c r="BQ97" s="4"/>
      <c r="BR97" s="6"/>
      <c r="BS97" s="5"/>
      <c r="BT97" s="5"/>
      <c r="BU97" s="4">
        <v>11</v>
      </c>
      <c r="BV97" s="6">
        <v>226.02</v>
      </c>
      <c r="BW97" s="4"/>
      <c r="BX97" s="6"/>
      <c r="BY97" s="5"/>
      <c r="BZ97" s="5"/>
      <c r="CA97" s="4">
        <v>5</v>
      </c>
      <c r="CB97" s="6">
        <v>123.35</v>
      </c>
      <c r="CC97" s="4">
        <v>1</v>
      </c>
      <c r="CD97" s="6">
        <v>30.11</v>
      </c>
      <c r="CE97" s="5">
        <v>4</v>
      </c>
      <c r="CF97" s="5">
        <v>3.0966</v>
      </c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/>
      <c r="CT97" s="6"/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>
        <v>5</v>
      </c>
      <c r="DF97" s="6">
        <v>61.94</v>
      </c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>
        <v>7</v>
      </c>
      <c r="EJ97" s="6">
        <v>152.14</v>
      </c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/>
      <c r="IB97" s="6"/>
      <c r="IC97" s="4"/>
      <c r="ID97" s="6"/>
      <c r="IE97" s="5"/>
      <c r="IF97" s="5"/>
      <c r="IG97" s="4"/>
      <c r="IH97" s="6"/>
      <c r="II97" s="4"/>
      <c r="IJ97" s="6"/>
      <c r="IK97" s="5"/>
      <c r="IL97" s="5"/>
      <c r="IM97" s="4"/>
      <c r="IN97" s="6"/>
      <c r="IO97" s="4"/>
      <c r="IP97" s="6"/>
      <c r="IQ97" s="5"/>
      <c r="IR97" s="5"/>
      <c r="IS97" s="4"/>
      <c r="IT97" s="6"/>
      <c r="IU97" s="4"/>
      <c r="IV97" s="6"/>
      <c r="IW97" s="5"/>
      <c r="IX97" s="5"/>
      <c r="IY97" s="4"/>
      <c r="IZ97" s="6"/>
      <c r="JA97" s="4"/>
      <c r="JB97" s="6"/>
      <c r="JC97" s="5"/>
      <c r="JD97" s="5"/>
      <c r="JE97" s="4"/>
      <c r="JF97" s="6"/>
      <c r="JG97" s="4"/>
      <c r="JH97" s="6"/>
      <c r="JI97" s="5"/>
      <c r="JJ97" s="5"/>
      <c r="JK97" s="4">
        <v>461</v>
      </c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>
        <v>310</v>
      </c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>
        <v>145</v>
      </c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</row>
    <row r="98">
      <c r="A98" s="3" t="s">
        <v>136</v>
      </c>
      <c r="B98" s="3" t="s">
        <v>158</v>
      </c>
      <c r="C98" s="3" t="s">
        <v>138</v>
      </c>
      <c r="D98" s="3" t="s">
        <v>139</v>
      </c>
      <c r="E98" s="3" t="s">
        <v>160</v>
      </c>
      <c r="F98" s="3" t="s">
        <v>160</v>
      </c>
      <c r="G98" s="3" t="s">
        <v>160</v>
      </c>
      <c r="H98" s="3" t="s">
        <v>159</v>
      </c>
      <c r="I98" s="3" t="s">
        <v>264</v>
      </c>
      <c r="J98" s="3" t="s">
        <v>228</v>
      </c>
      <c r="K98" s="4">
        <v>558</v>
      </c>
      <c r="L98" s="4">
        <f>=ROUNDDOWN(26.5714285714286,0)</f>
      </c>
      <c r="M98" s="4">
        <v>520</v>
      </c>
      <c r="N98" s="5">
        <v>1</v>
      </c>
      <c r="O98" s="4"/>
      <c r="P98" s="4">
        <f>=ROUNDDOWN({0},0)</f>
      </c>
      <c r="Q98" s="4"/>
      <c r="R98" s="5"/>
      <c r="S98" s="4">
        <v>109</v>
      </c>
      <c r="T98" s="6">
        <v>2175.28</v>
      </c>
      <c r="U98" s="4"/>
      <c r="V98" s="6"/>
      <c r="W98" s="5"/>
      <c r="X98" s="5"/>
      <c r="Y98" s="4"/>
      <c r="Z98" s="6"/>
      <c r="AA98" s="4"/>
      <c r="AB98" s="6"/>
      <c r="AC98" s="5"/>
      <c r="AD98" s="5"/>
      <c r="AE98" s="4">
        <v>9</v>
      </c>
      <c r="AF98" s="6">
        <v>196.79</v>
      </c>
      <c r="AG98" s="4"/>
      <c r="AH98" s="6"/>
      <c r="AI98" s="5"/>
      <c r="AJ98" s="5"/>
      <c r="AK98" s="4">
        <v>5</v>
      </c>
      <c r="AL98" s="6">
        <v>96.89</v>
      </c>
      <c r="AM98" s="4"/>
      <c r="AN98" s="6"/>
      <c r="AO98" s="5"/>
      <c r="AP98" s="5"/>
      <c r="AQ98" s="4"/>
      <c r="AR98" s="6"/>
      <c r="AS98" s="4"/>
      <c r="AT98" s="6"/>
      <c r="AU98" s="5"/>
      <c r="AV98" s="5"/>
      <c r="AW98" s="4">
        <v>15</v>
      </c>
      <c r="AX98" s="6">
        <v>305.4</v>
      </c>
      <c r="AY98" s="4"/>
      <c r="AZ98" s="6"/>
      <c r="BA98" s="5"/>
      <c r="BB98" s="5"/>
      <c r="BC98" s="4">
        <v>49</v>
      </c>
      <c r="BD98" s="6">
        <v>928.2</v>
      </c>
      <c r="BE98" s="4"/>
      <c r="BF98" s="6"/>
      <c r="BG98" s="5"/>
      <c r="BH98" s="5"/>
      <c r="BI98" s="4">
        <v>29</v>
      </c>
      <c r="BJ98" s="6">
        <v>603.34</v>
      </c>
      <c r="BK98" s="4"/>
      <c r="BL98" s="6"/>
      <c r="BM98" s="5"/>
      <c r="BN98" s="5"/>
      <c r="BO98" s="4"/>
      <c r="BP98" s="6"/>
      <c r="BQ98" s="4"/>
      <c r="BR98" s="6"/>
      <c r="BS98" s="5"/>
      <c r="BT98" s="5"/>
      <c r="BU98" s="4"/>
      <c r="BV98" s="6"/>
      <c r="BW98" s="4"/>
      <c r="BX98" s="6"/>
      <c r="BY98" s="5"/>
      <c r="BZ98" s="5"/>
      <c r="CA98" s="4">
        <v>2</v>
      </c>
      <c r="CB98" s="6">
        <v>44.66</v>
      </c>
      <c r="CC98" s="4"/>
      <c r="CD98" s="6"/>
      <c r="CE98" s="5"/>
      <c r="CF98" s="5"/>
      <c r="CG98" s="4"/>
      <c r="CH98" s="6"/>
      <c r="CI98" s="4"/>
      <c r="CJ98" s="6"/>
      <c r="CK98" s="5"/>
      <c r="CL98" s="5"/>
      <c r="CM98" s="4"/>
      <c r="CN98" s="6"/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/>
      <c r="CZ98" s="6"/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/>
      <c r="IB98" s="6"/>
      <c r="IC98" s="4"/>
      <c r="ID98" s="6"/>
      <c r="IE98" s="5"/>
      <c r="IF98" s="5"/>
      <c r="IG98" s="4"/>
      <c r="IH98" s="6"/>
      <c r="II98" s="4"/>
      <c r="IJ98" s="6"/>
      <c r="IK98" s="5"/>
      <c r="IL98" s="5"/>
      <c r="IM98" s="4"/>
      <c r="IN98" s="6"/>
      <c r="IO98" s="4"/>
      <c r="IP98" s="6"/>
      <c r="IQ98" s="5"/>
      <c r="IR98" s="5"/>
      <c r="IS98" s="4"/>
      <c r="IT98" s="6"/>
      <c r="IU98" s="4"/>
      <c r="IV98" s="6"/>
      <c r="IW98" s="5"/>
      <c r="IX98" s="5"/>
      <c r="IY98" s="4"/>
      <c r="IZ98" s="6"/>
      <c r="JA98" s="4"/>
      <c r="JB98" s="6"/>
      <c r="JC98" s="5"/>
      <c r="JD98" s="5"/>
      <c r="JE98" s="4"/>
      <c r="JF98" s="6"/>
      <c r="JG98" s="4"/>
      <c r="JH98" s="6"/>
      <c r="JI98" s="5"/>
      <c r="JJ98" s="5"/>
      <c r="JK98" s="4">
        <v>558</v>
      </c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>
        <v>270</v>
      </c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>
        <v>250</v>
      </c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</row>
    <row r="99">
      <c r="A99" s="3" t="s">
        <v>136</v>
      </c>
      <c r="B99" s="3" t="s">
        <v>158</v>
      </c>
      <c r="C99" s="3" t="s">
        <v>138</v>
      </c>
      <c r="D99" s="3" t="s">
        <v>139</v>
      </c>
      <c r="E99" s="3" t="s">
        <v>161</v>
      </c>
      <c r="F99" s="3" t="s">
        <v>161</v>
      </c>
      <c r="G99" s="3" t="s">
        <v>161</v>
      </c>
      <c r="H99" s="3" t="s">
        <v>143</v>
      </c>
      <c r="I99" s="3" t="s">
        <v>265</v>
      </c>
      <c r="J99" s="3" t="s">
        <v>228</v>
      </c>
      <c r="K99" s="4">
        <v>249</v>
      </c>
      <c r="L99" s="4">
        <f>=ROUNDDOWN(13.1746031746032,0)</f>
      </c>
      <c r="M99" s="4">
        <v>288</v>
      </c>
      <c r="N99" s="5">
        <v>1</v>
      </c>
      <c r="O99" s="4"/>
      <c r="P99" s="4">
        <f>=ROUNDDOWN({0},0)</f>
      </c>
      <c r="Q99" s="4"/>
      <c r="R99" s="5"/>
      <c r="S99" s="4">
        <v>156</v>
      </c>
      <c r="T99" s="6">
        <v>4421.12</v>
      </c>
      <c r="U99" s="4"/>
      <c r="V99" s="6"/>
      <c r="W99" s="5"/>
      <c r="X99" s="5"/>
      <c r="Y99" s="4">
        <v>30</v>
      </c>
      <c r="Z99" s="6">
        <v>844.44</v>
      </c>
      <c r="AA99" s="4"/>
      <c r="AB99" s="6"/>
      <c r="AC99" s="5"/>
      <c r="AD99" s="5"/>
      <c r="AE99" s="4">
        <v>8</v>
      </c>
      <c r="AF99" s="6">
        <v>220.2</v>
      </c>
      <c r="AG99" s="4"/>
      <c r="AH99" s="6"/>
      <c r="AI99" s="5"/>
      <c r="AJ99" s="5"/>
      <c r="AK99" s="4"/>
      <c r="AL99" s="6"/>
      <c r="AM99" s="4"/>
      <c r="AN99" s="6"/>
      <c r="AO99" s="5"/>
      <c r="AP99" s="5"/>
      <c r="AQ99" s="4">
        <v>25</v>
      </c>
      <c r="AR99" s="6">
        <v>758.47</v>
      </c>
      <c r="AS99" s="4"/>
      <c r="AT99" s="6"/>
      <c r="AU99" s="5"/>
      <c r="AV99" s="5"/>
      <c r="AW99" s="4">
        <v>39</v>
      </c>
      <c r="AX99" s="6">
        <v>1116.74</v>
      </c>
      <c r="AY99" s="4"/>
      <c r="AZ99" s="6"/>
      <c r="BA99" s="5"/>
      <c r="BB99" s="5"/>
      <c r="BC99" s="4">
        <v>9</v>
      </c>
      <c r="BD99" s="6">
        <v>255.48</v>
      </c>
      <c r="BE99" s="4"/>
      <c r="BF99" s="6"/>
      <c r="BG99" s="5"/>
      <c r="BH99" s="5"/>
      <c r="BI99" s="4">
        <v>14</v>
      </c>
      <c r="BJ99" s="6">
        <v>405.97</v>
      </c>
      <c r="BK99" s="4"/>
      <c r="BL99" s="6"/>
      <c r="BM99" s="5"/>
      <c r="BN99" s="5"/>
      <c r="BO99" s="4">
        <v>18</v>
      </c>
      <c r="BP99" s="6">
        <v>425.8</v>
      </c>
      <c r="BQ99" s="4"/>
      <c r="BR99" s="6"/>
      <c r="BS99" s="5"/>
      <c r="BT99" s="5"/>
      <c r="BU99" s="4">
        <v>2</v>
      </c>
      <c r="BV99" s="6">
        <v>55.12</v>
      </c>
      <c r="BW99" s="4"/>
      <c r="BX99" s="6"/>
      <c r="BY99" s="5"/>
      <c r="BZ99" s="5"/>
      <c r="CA99" s="4">
        <v>6</v>
      </c>
      <c r="CB99" s="6">
        <v>171.35</v>
      </c>
      <c r="CC99" s="4"/>
      <c r="CD99" s="6"/>
      <c r="CE99" s="5"/>
      <c r="CF99" s="5"/>
      <c r="CG99" s="4">
        <v>1</v>
      </c>
      <c r="CH99" s="6">
        <v>32.78</v>
      </c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>
        <v>3</v>
      </c>
      <c r="CT99" s="6">
        <v>84.78</v>
      </c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>
        <v>1</v>
      </c>
      <c r="DL99" s="6">
        <v>49.99</v>
      </c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/>
      <c r="IB99" s="6"/>
      <c r="IC99" s="4"/>
      <c r="ID99" s="6"/>
      <c r="IE99" s="5"/>
      <c r="IF99" s="5"/>
      <c r="IG99" s="4"/>
      <c r="IH99" s="6"/>
      <c r="II99" s="4"/>
      <c r="IJ99" s="6"/>
      <c r="IK99" s="5"/>
      <c r="IL99" s="5"/>
      <c r="IM99" s="4"/>
      <c r="IN99" s="6"/>
      <c r="IO99" s="4"/>
      <c r="IP99" s="6"/>
      <c r="IQ99" s="5"/>
      <c r="IR99" s="5"/>
      <c r="IS99" s="4"/>
      <c r="IT99" s="6"/>
      <c r="IU99" s="4"/>
      <c r="IV99" s="6"/>
      <c r="IW99" s="5"/>
      <c r="IX99" s="5"/>
      <c r="IY99" s="4"/>
      <c r="IZ99" s="6"/>
      <c r="JA99" s="4"/>
      <c r="JB99" s="6"/>
      <c r="JC99" s="5"/>
      <c r="JD99" s="5"/>
      <c r="JE99" s="4"/>
      <c r="JF99" s="6"/>
      <c r="JG99" s="4"/>
      <c r="JH99" s="6"/>
      <c r="JI99" s="5"/>
      <c r="JJ99" s="5"/>
      <c r="JK99" s="4">
        <v>249</v>
      </c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>
        <v>288</v>
      </c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</row>
    <row r="100">
      <c r="A100" s="3" t="s">
        <v>136</v>
      </c>
      <c r="B100" s="3" t="s">
        <v>158</v>
      </c>
      <c r="C100" s="3" t="s">
        <v>138</v>
      </c>
      <c r="D100" s="3" t="s">
        <v>139</v>
      </c>
      <c r="E100" s="3" t="s">
        <v>161</v>
      </c>
      <c r="F100" s="3" t="s">
        <v>161</v>
      </c>
      <c r="G100" s="3" t="s">
        <v>161</v>
      </c>
      <c r="H100" s="3" t="s">
        <v>143</v>
      </c>
      <c r="I100" s="3" t="s">
        <v>266</v>
      </c>
      <c r="J100" s="3" t="s">
        <v>228</v>
      </c>
      <c r="K100" s="4">
        <v>99</v>
      </c>
      <c r="L100" s="4">
        <f>=ROUNDDOWN(7.33333333333333,0)</f>
      </c>
      <c r="M100" s="4">
        <v>600</v>
      </c>
      <c r="N100" s="5">
        <v>1</v>
      </c>
      <c r="O100" s="4"/>
      <c r="P100" s="4">
        <f>=ROUNDDOWN({0},0)</f>
      </c>
      <c r="Q100" s="4"/>
      <c r="R100" s="5"/>
      <c r="S100" s="4">
        <v>133</v>
      </c>
      <c r="T100" s="6">
        <v>3940.37</v>
      </c>
      <c r="U100" s="4"/>
      <c r="V100" s="6"/>
      <c r="W100" s="5"/>
      <c r="X100" s="5"/>
      <c r="Y100" s="4">
        <v>20</v>
      </c>
      <c r="Z100" s="6">
        <v>557.26</v>
      </c>
      <c r="AA100" s="4"/>
      <c r="AB100" s="6"/>
      <c r="AC100" s="5"/>
      <c r="AD100" s="5"/>
      <c r="AE100" s="4">
        <v>3</v>
      </c>
      <c r="AF100" s="6">
        <v>86.54</v>
      </c>
      <c r="AG100" s="4"/>
      <c r="AH100" s="6"/>
      <c r="AI100" s="5"/>
      <c r="AJ100" s="5"/>
      <c r="AK100" s="4"/>
      <c r="AL100" s="6"/>
      <c r="AM100" s="4"/>
      <c r="AN100" s="6"/>
      <c r="AO100" s="5"/>
      <c r="AP100" s="5"/>
      <c r="AQ100" s="4">
        <v>43</v>
      </c>
      <c r="AR100" s="6">
        <v>1345.63</v>
      </c>
      <c r="AS100" s="4"/>
      <c r="AT100" s="6"/>
      <c r="AU100" s="5"/>
      <c r="AV100" s="5"/>
      <c r="AW100" s="4">
        <v>17</v>
      </c>
      <c r="AX100" s="6">
        <v>473.2</v>
      </c>
      <c r="AY100" s="4"/>
      <c r="AZ100" s="6"/>
      <c r="BA100" s="5"/>
      <c r="BB100" s="5"/>
      <c r="BC100" s="4">
        <v>8</v>
      </c>
      <c r="BD100" s="6">
        <v>226.82</v>
      </c>
      <c r="BE100" s="4"/>
      <c r="BF100" s="6"/>
      <c r="BG100" s="5"/>
      <c r="BH100" s="5"/>
      <c r="BI100" s="4">
        <v>9</v>
      </c>
      <c r="BJ100" s="6">
        <v>277.55</v>
      </c>
      <c r="BK100" s="4"/>
      <c r="BL100" s="6"/>
      <c r="BM100" s="5"/>
      <c r="BN100" s="5"/>
      <c r="BO100" s="4">
        <v>20</v>
      </c>
      <c r="BP100" s="6">
        <v>518.45</v>
      </c>
      <c r="BQ100" s="4"/>
      <c r="BR100" s="6"/>
      <c r="BS100" s="5"/>
      <c r="BT100" s="5"/>
      <c r="BU100" s="4">
        <v>2</v>
      </c>
      <c r="BV100" s="6">
        <v>58.98</v>
      </c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>
        <v>3</v>
      </c>
      <c r="CH100" s="6">
        <v>98.34</v>
      </c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>
        <v>4</v>
      </c>
      <c r="CT100" s="6">
        <v>108.67</v>
      </c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>
        <v>1</v>
      </c>
      <c r="DF100" s="6">
        <v>27.56</v>
      </c>
      <c r="DG100" s="4"/>
      <c r="DH100" s="6"/>
      <c r="DI100" s="5"/>
      <c r="DJ100" s="5"/>
      <c r="DK100" s="4">
        <v>3</v>
      </c>
      <c r="DL100" s="6">
        <v>161.37</v>
      </c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/>
      <c r="IB100" s="6"/>
      <c r="IC100" s="4"/>
      <c r="ID100" s="6"/>
      <c r="IE100" s="5"/>
      <c r="IF100" s="5"/>
      <c r="IG100" s="4"/>
      <c r="IH100" s="6"/>
      <c r="II100" s="4"/>
      <c r="IJ100" s="6"/>
      <c r="IK100" s="5"/>
      <c r="IL100" s="5"/>
      <c r="IM100" s="4"/>
      <c r="IN100" s="6"/>
      <c r="IO100" s="4"/>
      <c r="IP100" s="6"/>
      <c r="IQ100" s="5"/>
      <c r="IR100" s="5"/>
      <c r="IS100" s="4"/>
      <c r="IT100" s="6"/>
      <c r="IU100" s="4"/>
      <c r="IV100" s="6"/>
      <c r="IW100" s="5"/>
      <c r="IX100" s="5"/>
      <c r="IY100" s="4"/>
      <c r="IZ100" s="6"/>
      <c r="JA100" s="4"/>
      <c r="JB100" s="6"/>
      <c r="JC100" s="5"/>
      <c r="JD100" s="5"/>
      <c r="JE100" s="4"/>
      <c r="JF100" s="6"/>
      <c r="JG100" s="4"/>
      <c r="JH100" s="6"/>
      <c r="JI100" s="5"/>
      <c r="JJ100" s="5"/>
      <c r="JK100" s="4">
        <v>99</v>
      </c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>
        <v>280</v>
      </c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>
        <v>320</v>
      </c>
      <c r="LK100" s="4"/>
      <c r="LL100" s="4"/>
      <c r="LM100" s="4"/>
    </row>
    <row r="101">
      <c r="A101" s="3" t="s">
        <v>136</v>
      </c>
      <c r="B101" s="3" t="s">
        <v>158</v>
      </c>
      <c r="C101" s="3" t="s">
        <v>138</v>
      </c>
      <c r="D101" s="3" t="s">
        <v>139</v>
      </c>
      <c r="E101" s="3" t="s">
        <v>161</v>
      </c>
      <c r="F101" s="3" t="s">
        <v>161</v>
      </c>
      <c r="G101" s="3" t="s">
        <v>161</v>
      </c>
      <c r="H101" s="3" t="s">
        <v>143</v>
      </c>
      <c r="I101" s="3" t="s">
        <v>267</v>
      </c>
      <c r="J101" s="3" t="s">
        <v>228</v>
      </c>
      <c r="K101" s="4">
        <v>113</v>
      </c>
      <c r="L101" s="4">
        <f>=ROUNDDOWN(7.53333333333333,0)</f>
      </c>
      <c r="M101" s="4">
        <v>600</v>
      </c>
      <c r="N101" s="5">
        <v>1</v>
      </c>
      <c r="O101" s="4"/>
      <c r="P101" s="4">
        <f>=ROUNDDOWN({0},0)</f>
      </c>
      <c r="Q101" s="4"/>
      <c r="R101" s="5"/>
      <c r="S101" s="4">
        <v>131</v>
      </c>
      <c r="T101" s="6">
        <v>3764.68</v>
      </c>
      <c r="U101" s="4"/>
      <c r="V101" s="6"/>
      <c r="W101" s="5"/>
      <c r="X101" s="5"/>
      <c r="Y101" s="4">
        <v>17</v>
      </c>
      <c r="Z101" s="6">
        <v>492.78</v>
      </c>
      <c r="AA101" s="4"/>
      <c r="AB101" s="6"/>
      <c r="AC101" s="5"/>
      <c r="AD101" s="5"/>
      <c r="AE101" s="4">
        <v>12</v>
      </c>
      <c r="AF101" s="6">
        <v>336.78</v>
      </c>
      <c r="AG101" s="4"/>
      <c r="AH101" s="6"/>
      <c r="AI101" s="5"/>
      <c r="AJ101" s="5"/>
      <c r="AK101" s="4">
        <v>1</v>
      </c>
      <c r="AL101" s="6">
        <v>59.99</v>
      </c>
      <c r="AM101" s="4"/>
      <c r="AN101" s="6"/>
      <c r="AO101" s="5"/>
      <c r="AP101" s="5"/>
      <c r="AQ101" s="4">
        <v>24</v>
      </c>
      <c r="AR101" s="6">
        <v>727.42</v>
      </c>
      <c r="AS101" s="4"/>
      <c r="AT101" s="6"/>
      <c r="AU101" s="5"/>
      <c r="AV101" s="5"/>
      <c r="AW101" s="4">
        <v>13</v>
      </c>
      <c r="AX101" s="6">
        <v>361.86</v>
      </c>
      <c r="AY101" s="4"/>
      <c r="AZ101" s="6"/>
      <c r="BA101" s="5"/>
      <c r="BB101" s="5"/>
      <c r="BC101" s="4">
        <v>12</v>
      </c>
      <c r="BD101" s="6">
        <v>334.3</v>
      </c>
      <c r="BE101" s="4"/>
      <c r="BF101" s="6"/>
      <c r="BG101" s="5"/>
      <c r="BH101" s="5"/>
      <c r="BI101" s="4">
        <v>10</v>
      </c>
      <c r="BJ101" s="6">
        <v>285.76</v>
      </c>
      <c r="BK101" s="4"/>
      <c r="BL101" s="6"/>
      <c r="BM101" s="5"/>
      <c r="BN101" s="5"/>
      <c r="BO101" s="4">
        <v>20</v>
      </c>
      <c r="BP101" s="6">
        <v>492.39</v>
      </c>
      <c r="BQ101" s="4"/>
      <c r="BR101" s="6"/>
      <c r="BS101" s="5"/>
      <c r="BT101" s="5"/>
      <c r="BU101" s="4">
        <v>6</v>
      </c>
      <c r="BV101" s="6">
        <v>171.7</v>
      </c>
      <c r="BW101" s="4"/>
      <c r="BX101" s="6"/>
      <c r="BY101" s="5"/>
      <c r="BZ101" s="5"/>
      <c r="CA101" s="4">
        <v>7</v>
      </c>
      <c r="CB101" s="6">
        <v>204.53</v>
      </c>
      <c r="CC101" s="4"/>
      <c r="CD101" s="6"/>
      <c r="CE101" s="5"/>
      <c r="CF101" s="5"/>
      <c r="CG101" s="4">
        <v>1</v>
      </c>
      <c r="CH101" s="6">
        <v>32.78</v>
      </c>
      <c r="CI101" s="4"/>
      <c r="CJ101" s="6"/>
      <c r="CK101" s="5"/>
      <c r="CL101" s="5"/>
      <c r="CM101" s="4"/>
      <c r="CN101" s="6"/>
      <c r="CO101" s="4"/>
      <c r="CP101" s="6"/>
      <c r="CQ101" s="5"/>
      <c r="CR101" s="5"/>
      <c r="CS101" s="4">
        <v>4</v>
      </c>
      <c r="CT101" s="6">
        <v>103.69</v>
      </c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>
        <v>2</v>
      </c>
      <c r="DF101" s="6">
        <v>55.12</v>
      </c>
      <c r="DG101" s="4"/>
      <c r="DH101" s="6"/>
      <c r="DI101" s="5"/>
      <c r="DJ101" s="5"/>
      <c r="DK101" s="4">
        <v>2</v>
      </c>
      <c r="DL101" s="6">
        <v>105.58</v>
      </c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/>
      <c r="IB101" s="6"/>
      <c r="IC101" s="4"/>
      <c r="ID101" s="6"/>
      <c r="IE101" s="5"/>
      <c r="IF101" s="5"/>
      <c r="IG101" s="4"/>
      <c r="IH101" s="6"/>
      <c r="II101" s="4"/>
      <c r="IJ101" s="6"/>
      <c r="IK101" s="5"/>
      <c r="IL101" s="5"/>
      <c r="IM101" s="4"/>
      <c r="IN101" s="6"/>
      <c r="IO101" s="4"/>
      <c r="IP101" s="6"/>
      <c r="IQ101" s="5"/>
      <c r="IR101" s="5"/>
      <c r="IS101" s="4"/>
      <c r="IT101" s="6"/>
      <c r="IU101" s="4"/>
      <c r="IV101" s="6"/>
      <c r="IW101" s="5"/>
      <c r="IX101" s="5"/>
      <c r="IY101" s="4"/>
      <c r="IZ101" s="6"/>
      <c r="JA101" s="4"/>
      <c r="JB101" s="6"/>
      <c r="JC101" s="5"/>
      <c r="JD101" s="5"/>
      <c r="JE101" s="4"/>
      <c r="JF101" s="6"/>
      <c r="JG101" s="4"/>
      <c r="JH101" s="6"/>
      <c r="JI101" s="5"/>
      <c r="JJ101" s="5"/>
      <c r="JK101" s="4">
        <v>113</v>
      </c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>
        <v>280</v>
      </c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>
        <v>320</v>
      </c>
      <c r="LK101" s="4"/>
      <c r="LL101" s="4"/>
      <c r="LM101" s="4"/>
    </row>
    <row r="102">
      <c r="A102" s="3" t="s">
        <v>136</v>
      </c>
      <c r="B102" s="3" t="s">
        <v>158</v>
      </c>
      <c r="C102" s="3" t="s">
        <v>138</v>
      </c>
      <c r="D102" s="3" t="s">
        <v>139</v>
      </c>
      <c r="E102" s="3" t="s">
        <v>161</v>
      </c>
      <c r="F102" s="3" t="s">
        <v>161</v>
      </c>
      <c r="G102" s="3" t="s">
        <v>161</v>
      </c>
      <c r="H102" s="3" t="s">
        <v>143</v>
      </c>
      <c r="I102" s="3" t="s">
        <v>268</v>
      </c>
      <c r="J102" s="3" t="s">
        <v>228</v>
      </c>
      <c r="K102" s="4">
        <v>144</v>
      </c>
      <c r="L102" s="4">
        <f>=ROUNDDOWN(10.2857142857143,0)</f>
      </c>
      <c r="M102" s="4">
        <v>596</v>
      </c>
      <c r="N102" s="5">
        <v>1</v>
      </c>
      <c r="O102" s="4"/>
      <c r="P102" s="4">
        <f>=ROUNDDOWN({0},0)</f>
      </c>
      <c r="Q102" s="4"/>
      <c r="R102" s="5"/>
      <c r="S102" s="4">
        <v>117</v>
      </c>
      <c r="T102" s="6">
        <v>3253.45</v>
      </c>
      <c r="U102" s="4"/>
      <c r="V102" s="6"/>
      <c r="W102" s="5"/>
      <c r="X102" s="5"/>
      <c r="Y102" s="4">
        <v>13</v>
      </c>
      <c r="Z102" s="6">
        <v>372.34</v>
      </c>
      <c r="AA102" s="4"/>
      <c r="AB102" s="6"/>
      <c r="AC102" s="5"/>
      <c r="AD102" s="5"/>
      <c r="AE102" s="4">
        <v>8</v>
      </c>
      <c r="AF102" s="6">
        <v>229.3</v>
      </c>
      <c r="AG102" s="4"/>
      <c r="AH102" s="6"/>
      <c r="AI102" s="5"/>
      <c r="AJ102" s="5"/>
      <c r="AK102" s="4"/>
      <c r="AL102" s="6"/>
      <c r="AM102" s="4"/>
      <c r="AN102" s="6"/>
      <c r="AO102" s="5"/>
      <c r="AP102" s="5"/>
      <c r="AQ102" s="4">
        <v>9</v>
      </c>
      <c r="AR102" s="6">
        <v>267.96</v>
      </c>
      <c r="AS102" s="4"/>
      <c r="AT102" s="6"/>
      <c r="AU102" s="5"/>
      <c r="AV102" s="5"/>
      <c r="AW102" s="4">
        <v>6</v>
      </c>
      <c r="AX102" s="6">
        <v>167.84</v>
      </c>
      <c r="AY102" s="4"/>
      <c r="AZ102" s="6"/>
      <c r="BA102" s="5"/>
      <c r="BB102" s="5"/>
      <c r="BC102" s="4">
        <v>52</v>
      </c>
      <c r="BD102" s="6">
        <v>1420.12</v>
      </c>
      <c r="BE102" s="4"/>
      <c r="BF102" s="6"/>
      <c r="BG102" s="5"/>
      <c r="BH102" s="5"/>
      <c r="BI102" s="4">
        <v>7</v>
      </c>
      <c r="BJ102" s="6">
        <v>199.58</v>
      </c>
      <c r="BK102" s="4"/>
      <c r="BL102" s="6"/>
      <c r="BM102" s="5"/>
      <c r="BN102" s="5"/>
      <c r="BO102" s="4">
        <v>12</v>
      </c>
      <c r="BP102" s="6">
        <v>310.07</v>
      </c>
      <c r="BQ102" s="4"/>
      <c r="BR102" s="6"/>
      <c r="BS102" s="5"/>
      <c r="BT102" s="5"/>
      <c r="BU102" s="4">
        <v>3</v>
      </c>
      <c r="BV102" s="6">
        <v>86.54</v>
      </c>
      <c r="BW102" s="4"/>
      <c r="BX102" s="6"/>
      <c r="BY102" s="5"/>
      <c r="BZ102" s="5"/>
      <c r="CA102" s="4">
        <v>4</v>
      </c>
      <c r="CB102" s="6">
        <v>118.59</v>
      </c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>
        <v>3</v>
      </c>
      <c r="CT102" s="6">
        <v>81.11</v>
      </c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/>
      <c r="IB102" s="6"/>
      <c r="IC102" s="4"/>
      <c r="ID102" s="6"/>
      <c r="IE102" s="5"/>
      <c r="IF102" s="5"/>
      <c r="IG102" s="4"/>
      <c r="IH102" s="6"/>
      <c r="II102" s="4"/>
      <c r="IJ102" s="6"/>
      <c r="IK102" s="5"/>
      <c r="IL102" s="5"/>
      <c r="IM102" s="4"/>
      <c r="IN102" s="6"/>
      <c r="IO102" s="4"/>
      <c r="IP102" s="6"/>
      <c r="IQ102" s="5"/>
      <c r="IR102" s="5"/>
      <c r="IS102" s="4"/>
      <c r="IT102" s="6"/>
      <c r="IU102" s="4"/>
      <c r="IV102" s="6"/>
      <c r="IW102" s="5"/>
      <c r="IX102" s="5"/>
      <c r="IY102" s="4"/>
      <c r="IZ102" s="6"/>
      <c r="JA102" s="4"/>
      <c r="JB102" s="6"/>
      <c r="JC102" s="5"/>
      <c r="JD102" s="5"/>
      <c r="JE102" s="4"/>
      <c r="JF102" s="6"/>
      <c r="JG102" s="4"/>
      <c r="JH102" s="6"/>
      <c r="JI102" s="5"/>
      <c r="JJ102" s="5"/>
      <c r="JK102" s="4">
        <v>144</v>
      </c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>
        <v>196</v>
      </c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>
        <v>400</v>
      </c>
      <c r="LK102" s="4"/>
      <c r="LL102" s="4"/>
      <c r="LM102" s="4"/>
    </row>
    <row r="103">
      <c r="A103" s="3" t="s">
        <v>136</v>
      </c>
      <c r="B103" s="3" t="s">
        <v>158</v>
      </c>
      <c r="C103" s="3" t="s">
        <v>138</v>
      </c>
      <c r="D103" s="3" t="s">
        <v>139</v>
      </c>
      <c r="E103" s="3" t="s">
        <v>163</v>
      </c>
      <c r="F103" s="3" t="s">
        <v>163</v>
      </c>
      <c r="G103" s="3" t="s">
        <v>163</v>
      </c>
      <c r="H103" s="3" t="s">
        <v>146</v>
      </c>
      <c r="I103" s="3" t="s">
        <v>257</v>
      </c>
      <c r="J103" s="3" t="s">
        <v>241</v>
      </c>
      <c r="K103" s="4"/>
      <c r="L103" s="4">
        <f>=ROUNDDOWN({0},0)</f>
      </c>
      <c r="M103" s="4"/>
      <c r="N103" s="5"/>
      <c r="O103" s="4"/>
      <c r="P103" s="4">
        <f>=ROUNDDOWN({0},0)</f>
      </c>
      <c r="Q103" s="4"/>
      <c r="R103" s="5"/>
      <c r="S103" s="4"/>
      <c r="T103" s="6"/>
      <c r="U103" s="4">
        <v>30</v>
      </c>
      <c r="V103" s="6">
        <v>508.59</v>
      </c>
      <c r="W103" s="5"/>
      <c r="X103" s="5"/>
      <c r="Y103" s="4"/>
      <c r="Z103" s="6"/>
      <c r="AA103" s="4"/>
      <c r="AB103" s="6"/>
      <c r="AC103" s="5"/>
      <c r="AD103" s="5"/>
      <c r="AE103" s="4"/>
      <c r="AF103" s="6"/>
      <c r="AG103" s="4">
        <v>4</v>
      </c>
      <c r="AH103" s="6">
        <v>42.04</v>
      </c>
      <c r="AI103" s="5"/>
      <c r="AJ103" s="5"/>
      <c r="AK103" s="4"/>
      <c r="AL103" s="6"/>
      <c r="AM103" s="4"/>
      <c r="AN103" s="6"/>
      <c r="AO103" s="5"/>
      <c r="AP103" s="5"/>
      <c r="AQ103" s="4"/>
      <c r="AR103" s="6"/>
      <c r="AS103" s="4"/>
      <c r="AT103" s="6"/>
      <c r="AU103" s="5"/>
      <c r="AV103" s="5"/>
      <c r="AW103" s="4"/>
      <c r="AX103" s="6"/>
      <c r="AY103" s="4"/>
      <c r="AZ103" s="6"/>
      <c r="BA103" s="5"/>
      <c r="BB103" s="5"/>
      <c r="BC103" s="4"/>
      <c r="BD103" s="6"/>
      <c r="BE103" s="4"/>
      <c r="BF103" s="6"/>
      <c r="BG103" s="5"/>
      <c r="BH103" s="5"/>
      <c r="BI103" s="4"/>
      <c r="BJ103" s="6"/>
      <c r="BK103" s="4">
        <v>2</v>
      </c>
      <c r="BL103" s="6">
        <v>30.68</v>
      </c>
      <c r="BM103" s="5"/>
      <c r="BN103" s="5"/>
      <c r="BO103" s="4"/>
      <c r="BP103" s="6"/>
      <c r="BQ103" s="4"/>
      <c r="BR103" s="6"/>
      <c r="BS103" s="5"/>
      <c r="BT103" s="5"/>
      <c r="BU103" s="4"/>
      <c r="BV103" s="6"/>
      <c r="BW103" s="4"/>
      <c r="BX103" s="6"/>
      <c r="BY103" s="5"/>
      <c r="BZ103" s="5"/>
      <c r="CA103" s="4"/>
      <c r="CB103" s="6"/>
      <c r="CC103" s="4">
        <v>1</v>
      </c>
      <c r="CD103" s="6">
        <v>17.95</v>
      </c>
      <c r="CE103" s="5"/>
      <c r="CF103" s="5"/>
      <c r="CG103" s="4"/>
      <c r="CH103" s="6"/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>
        <v>16</v>
      </c>
      <c r="DT103" s="6">
        <v>316</v>
      </c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>
        <v>2</v>
      </c>
      <c r="EF103" s="6">
        <v>35.92</v>
      </c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>
        <v>5</v>
      </c>
      <c r="FV103" s="6">
        <v>66</v>
      </c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/>
      <c r="IB103" s="6"/>
      <c r="IC103" s="4"/>
      <c r="ID103" s="6"/>
      <c r="IE103" s="5"/>
      <c r="IF103" s="5"/>
      <c r="IG103" s="4"/>
      <c r="IH103" s="6"/>
      <c r="II103" s="4"/>
      <c r="IJ103" s="6"/>
      <c r="IK103" s="5"/>
      <c r="IL103" s="5"/>
      <c r="IM103" s="4"/>
      <c r="IN103" s="6"/>
      <c r="IO103" s="4"/>
      <c r="IP103" s="6"/>
      <c r="IQ103" s="5"/>
      <c r="IR103" s="5"/>
      <c r="IS103" s="4"/>
      <c r="IT103" s="6"/>
      <c r="IU103" s="4"/>
      <c r="IV103" s="6"/>
      <c r="IW103" s="5"/>
      <c r="IX103" s="5"/>
      <c r="IY103" s="4"/>
      <c r="IZ103" s="6"/>
      <c r="JA103" s="4"/>
      <c r="JB103" s="6"/>
      <c r="JC103" s="5"/>
      <c r="JD103" s="5"/>
      <c r="JE103" s="4"/>
      <c r="JF103" s="6"/>
      <c r="JG103" s="4"/>
      <c r="JH103" s="6"/>
      <c r="JI103" s="5"/>
      <c r="JJ103" s="5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</row>
    <row r="104">
      <c r="A104" s="3" t="s">
        <v>136</v>
      </c>
      <c r="B104" s="3" t="s">
        <v>158</v>
      </c>
      <c r="C104" s="3" t="s">
        <v>138</v>
      </c>
      <c r="D104" s="3" t="s">
        <v>139</v>
      </c>
      <c r="E104" s="3" t="s">
        <v>162</v>
      </c>
      <c r="F104" s="3" t="s">
        <v>162</v>
      </c>
      <c r="G104" s="3" t="s">
        <v>162</v>
      </c>
      <c r="H104" s="3" t="s">
        <v>146</v>
      </c>
      <c r="I104" s="3" t="s">
        <v>230</v>
      </c>
      <c r="J104" s="3" t="s">
        <v>241</v>
      </c>
      <c r="K104" s="4"/>
      <c r="L104" s="4">
        <f>=ROUNDDOWN({0},0)</f>
      </c>
      <c r="M104" s="4"/>
      <c r="N104" s="5"/>
      <c r="O104" s="4"/>
      <c r="P104" s="4">
        <f>=ROUNDDOWN({0},0)</f>
      </c>
      <c r="Q104" s="4"/>
      <c r="R104" s="5"/>
      <c r="S104" s="4"/>
      <c r="T104" s="6"/>
      <c r="U104" s="4">
        <v>301</v>
      </c>
      <c r="V104" s="6">
        <v>5221.27</v>
      </c>
      <c r="W104" s="5"/>
      <c r="X104" s="5"/>
      <c r="Y104" s="4"/>
      <c r="Z104" s="6"/>
      <c r="AA104" s="4">
        <v>8</v>
      </c>
      <c r="AB104" s="6">
        <v>145.6</v>
      </c>
      <c r="AC104" s="5"/>
      <c r="AD104" s="5"/>
      <c r="AE104" s="4"/>
      <c r="AF104" s="6"/>
      <c r="AG104" s="4">
        <v>1</v>
      </c>
      <c r="AH104" s="6">
        <v>19.91</v>
      </c>
      <c r="AI104" s="5"/>
      <c r="AJ104" s="5"/>
      <c r="AK104" s="4"/>
      <c r="AL104" s="6"/>
      <c r="AM104" s="4"/>
      <c r="AN104" s="6"/>
      <c r="AO104" s="5"/>
      <c r="AP104" s="5"/>
      <c r="AQ104" s="4"/>
      <c r="AR104" s="6"/>
      <c r="AS104" s="4">
        <v>185</v>
      </c>
      <c r="AT104" s="6">
        <v>3299.06</v>
      </c>
      <c r="AU104" s="5"/>
      <c r="AV104" s="5"/>
      <c r="AW104" s="4"/>
      <c r="AX104" s="6"/>
      <c r="AY104" s="4"/>
      <c r="AZ104" s="6"/>
      <c r="BA104" s="5"/>
      <c r="BB104" s="5"/>
      <c r="BC104" s="4"/>
      <c r="BD104" s="6"/>
      <c r="BE104" s="4">
        <v>4</v>
      </c>
      <c r="BF104" s="6">
        <v>56.92</v>
      </c>
      <c r="BG104" s="5"/>
      <c r="BH104" s="5"/>
      <c r="BI104" s="4"/>
      <c r="BJ104" s="6"/>
      <c r="BK104" s="4">
        <v>70</v>
      </c>
      <c r="BL104" s="6">
        <v>1127.77</v>
      </c>
      <c r="BM104" s="5"/>
      <c r="BN104" s="5"/>
      <c r="BO104" s="4"/>
      <c r="BP104" s="6"/>
      <c r="BQ104" s="4">
        <v>8</v>
      </c>
      <c r="BR104" s="6">
        <v>128.66</v>
      </c>
      <c r="BS104" s="5"/>
      <c r="BT104" s="5"/>
      <c r="BU104" s="4"/>
      <c r="BV104" s="6"/>
      <c r="BW104" s="4">
        <v>11</v>
      </c>
      <c r="BX104" s="6">
        <v>193.53</v>
      </c>
      <c r="BY104" s="5"/>
      <c r="BZ104" s="5"/>
      <c r="CA104" s="4"/>
      <c r="CB104" s="6"/>
      <c r="CC104" s="4">
        <v>6</v>
      </c>
      <c r="CD104" s="6">
        <v>97.12</v>
      </c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>
        <v>8</v>
      </c>
      <c r="FV104" s="6">
        <v>152.7</v>
      </c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  <c r="IA104" s="4"/>
      <c r="IB104" s="6"/>
      <c r="IC104" s="4"/>
      <c r="ID104" s="6"/>
      <c r="IE104" s="5"/>
      <c r="IF104" s="5"/>
      <c r="IG104" s="4"/>
      <c r="IH104" s="6"/>
      <c r="II104" s="4"/>
      <c r="IJ104" s="6"/>
      <c r="IK104" s="5"/>
      <c r="IL104" s="5"/>
      <c r="IM104" s="4"/>
      <c r="IN104" s="6"/>
      <c r="IO104" s="4"/>
      <c r="IP104" s="6"/>
      <c r="IQ104" s="5"/>
      <c r="IR104" s="5"/>
      <c r="IS104" s="4"/>
      <c r="IT104" s="6"/>
      <c r="IU104" s="4"/>
      <c r="IV104" s="6"/>
      <c r="IW104" s="5"/>
      <c r="IX104" s="5"/>
      <c r="IY104" s="4"/>
      <c r="IZ104" s="6"/>
      <c r="JA104" s="4"/>
      <c r="JB104" s="6"/>
      <c r="JC104" s="5"/>
      <c r="JD104" s="5"/>
      <c r="JE104" s="4"/>
      <c r="JF104" s="6"/>
      <c r="JG104" s="4"/>
      <c r="JH104" s="6"/>
      <c r="JI104" s="5"/>
      <c r="JJ104" s="5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</row>
    <row r="105">
      <c r="A105" s="3" t="s">
        <v>136</v>
      </c>
      <c r="B105" s="3" t="s">
        <v>158</v>
      </c>
      <c r="C105" s="3" t="s">
        <v>138</v>
      </c>
      <c r="D105" s="3" t="s">
        <v>139</v>
      </c>
      <c r="E105" s="3" t="s">
        <v>163</v>
      </c>
      <c r="F105" s="3" t="s">
        <v>163</v>
      </c>
      <c r="G105" s="3" t="s">
        <v>163</v>
      </c>
      <c r="H105" s="3" t="s">
        <v>146</v>
      </c>
      <c r="I105" s="3" t="s">
        <v>230</v>
      </c>
      <c r="J105" s="3" t="s">
        <v>241</v>
      </c>
      <c r="K105" s="4"/>
      <c r="L105" s="4">
        <f>=ROUNDDOWN({0},0)</f>
      </c>
      <c r="M105" s="4"/>
      <c r="N105" s="5"/>
      <c r="O105" s="4"/>
      <c r="P105" s="4">
        <f>=ROUNDDOWN({0},0)</f>
      </c>
      <c r="Q105" s="4"/>
      <c r="R105" s="5"/>
      <c r="S105" s="4"/>
      <c r="T105" s="6"/>
      <c r="U105" s="4">
        <v>15</v>
      </c>
      <c r="V105" s="6">
        <v>166.36</v>
      </c>
      <c r="W105" s="5"/>
      <c r="X105" s="5"/>
      <c r="Y105" s="4"/>
      <c r="Z105" s="6"/>
      <c r="AA105" s="4">
        <v>6</v>
      </c>
      <c r="AB105" s="6">
        <v>72</v>
      </c>
      <c r="AC105" s="5"/>
      <c r="AD105" s="5"/>
      <c r="AE105" s="4"/>
      <c r="AF105" s="6"/>
      <c r="AG105" s="4">
        <v>1</v>
      </c>
      <c r="AH105" s="6">
        <v>7.01</v>
      </c>
      <c r="AI105" s="5"/>
      <c r="AJ105" s="5"/>
      <c r="AK105" s="4"/>
      <c r="AL105" s="6"/>
      <c r="AM105" s="4"/>
      <c r="AN105" s="6"/>
      <c r="AO105" s="5"/>
      <c r="AP105" s="5"/>
      <c r="AQ105" s="4"/>
      <c r="AR105" s="6"/>
      <c r="AS105" s="4"/>
      <c r="AT105" s="6"/>
      <c r="AU105" s="5"/>
      <c r="AV105" s="5"/>
      <c r="AW105" s="4"/>
      <c r="AX105" s="6"/>
      <c r="AY105" s="4"/>
      <c r="AZ105" s="6"/>
      <c r="BA105" s="5"/>
      <c r="BB105" s="5"/>
      <c r="BC105" s="4"/>
      <c r="BD105" s="6"/>
      <c r="BE105" s="4"/>
      <c r="BF105" s="6"/>
      <c r="BG105" s="5"/>
      <c r="BH105" s="5"/>
      <c r="BI105" s="4"/>
      <c r="BJ105" s="6"/>
      <c r="BK105" s="4">
        <v>1</v>
      </c>
      <c r="BL105" s="6">
        <v>8.19</v>
      </c>
      <c r="BM105" s="5"/>
      <c r="BN105" s="5"/>
      <c r="BO105" s="4"/>
      <c r="BP105" s="6"/>
      <c r="BQ105" s="4"/>
      <c r="BR105" s="6"/>
      <c r="BS105" s="5"/>
      <c r="BT105" s="5"/>
      <c r="BU105" s="4"/>
      <c r="BV105" s="6"/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>
        <v>4</v>
      </c>
      <c r="DB105" s="6">
        <v>43.32</v>
      </c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>
        <v>2</v>
      </c>
      <c r="DT105" s="6">
        <v>24.26</v>
      </c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>
        <v>1</v>
      </c>
      <c r="FV105" s="6">
        <v>11.58</v>
      </c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  <c r="IA105" s="4"/>
      <c r="IB105" s="6"/>
      <c r="IC105" s="4"/>
      <c r="ID105" s="6"/>
      <c r="IE105" s="5"/>
      <c r="IF105" s="5"/>
      <c r="IG105" s="4"/>
      <c r="IH105" s="6"/>
      <c r="II105" s="4"/>
      <c r="IJ105" s="6"/>
      <c r="IK105" s="5"/>
      <c r="IL105" s="5"/>
      <c r="IM105" s="4"/>
      <c r="IN105" s="6"/>
      <c r="IO105" s="4"/>
      <c r="IP105" s="6"/>
      <c r="IQ105" s="5"/>
      <c r="IR105" s="5"/>
      <c r="IS105" s="4"/>
      <c r="IT105" s="6"/>
      <c r="IU105" s="4"/>
      <c r="IV105" s="6"/>
      <c r="IW105" s="5"/>
      <c r="IX105" s="5"/>
      <c r="IY105" s="4"/>
      <c r="IZ105" s="6"/>
      <c r="JA105" s="4"/>
      <c r="JB105" s="6"/>
      <c r="JC105" s="5"/>
      <c r="JD105" s="5"/>
      <c r="JE105" s="4"/>
      <c r="JF105" s="6"/>
      <c r="JG105" s="4"/>
      <c r="JH105" s="6"/>
      <c r="JI105" s="5"/>
      <c r="JJ105" s="5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</row>
    <row r="106">
      <c r="A106" s="3" t="s">
        <v>136</v>
      </c>
      <c r="B106" s="3" t="s">
        <v>158</v>
      </c>
      <c r="C106" s="3" t="s">
        <v>138</v>
      </c>
      <c r="D106" s="3" t="s">
        <v>139</v>
      </c>
      <c r="E106" s="3" t="s">
        <v>162</v>
      </c>
      <c r="F106" s="3" t="s">
        <v>162</v>
      </c>
      <c r="G106" s="3" t="s">
        <v>162</v>
      </c>
      <c r="H106" s="3" t="s">
        <v>146</v>
      </c>
      <c r="I106" s="3" t="s">
        <v>238</v>
      </c>
      <c r="J106" s="3" t="s">
        <v>241</v>
      </c>
      <c r="K106" s="4"/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/>
      <c r="T106" s="6"/>
      <c r="U106" s="4">
        <v>460</v>
      </c>
      <c r="V106" s="6">
        <v>7788.4</v>
      </c>
      <c r="W106" s="5"/>
      <c r="X106" s="5"/>
      <c r="Y106" s="4"/>
      <c r="Z106" s="6"/>
      <c r="AA106" s="4">
        <v>84</v>
      </c>
      <c r="AB106" s="6">
        <v>1429.95</v>
      </c>
      <c r="AC106" s="5"/>
      <c r="AD106" s="5"/>
      <c r="AE106" s="4"/>
      <c r="AF106" s="6"/>
      <c r="AG106" s="4">
        <v>1</v>
      </c>
      <c r="AH106" s="6">
        <v>15.93</v>
      </c>
      <c r="AI106" s="5"/>
      <c r="AJ106" s="5"/>
      <c r="AK106" s="4"/>
      <c r="AL106" s="6"/>
      <c r="AM106" s="4"/>
      <c r="AN106" s="6"/>
      <c r="AO106" s="5"/>
      <c r="AP106" s="5"/>
      <c r="AQ106" s="4"/>
      <c r="AR106" s="6"/>
      <c r="AS106" s="4">
        <v>271</v>
      </c>
      <c r="AT106" s="6">
        <v>4674.91</v>
      </c>
      <c r="AU106" s="5"/>
      <c r="AV106" s="5"/>
      <c r="AW106" s="4"/>
      <c r="AX106" s="6"/>
      <c r="AY106" s="4"/>
      <c r="AZ106" s="6"/>
      <c r="BA106" s="5"/>
      <c r="BB106" s="5"/>
      <c r="BC106" s="4"/>
      <c r="BD106" s="6"/>
      <c r="BE106" s="4">
        <v>13</v>
      </c>
      <c r="BF106" s="6">
        <v>184.99</v>
      </c>
      <c r="BG106" s="5"/>
      <c r="BH106" s="5"/>
      <c r="BI106" s="4"/>
      <c r="BJ106" s="6"/>
      <c r="BK106" s="4">
        <v>48</v>
      </c>
      <c r="BL106" s="6">
        <v>744.49</v>
      </c>
      <c r="BM106" s="5"/>
      <c r="BN106" s="5"/>
      <c r="BO106" s="4"/>
      <c r="BP106" s="6"/>
      <c r="BQ106" s="4">
        <v>8</v>
      </c>
      <c r="BR106" s="6">
        <v>134.4</v>
      </c>
      <c r="BS106" s="5"/>
      <c r="BT106" s="5"/>
      <c r="BU106" s="4"/>
      <c r="BV106" s="6"/>
      <c r="BW106" s="4">
        <v>13</v>
      </c>
      <c r="BX106" s="6">
        <v>231.13</v>
      </c>
      <c r="BY106" s="5"/>
      <c r="BZ106" s="5"/>
      <c r="CA106" s="4"/>
      <c r="CB106" s="6"/>
      <c r="CC106" s="4">
        <v>3</v>
      </c>
      <c r="CD106" s="6">
        <v>46.35</v>
      </c>
      <c r="CE106" s="5"/>
      <c r="CF106" s="5"/>
      <c r="CG106" s="4"/>
      <c r="CH106" s="6"/>
      <c r="CI106" s="4">
        <v>3</v>
      </c>
      <c r="CJ106" s="6">
        <v>55.63</v>
      </c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>
        <v>8</v>
      </c>
      <c r="DB106" s="6">
        <v>122.48</v>
      </c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>
        <v>2</v>
      </c>
      <c r="DT106" s="6">
        <v>35.82</v>
      </c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>
        <v>6</v>
      </c>
      <c r="FV106" s="6">
        <v>112.32</v>
      </c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  <c r="IA106" s="4"/>
      <c r="IB106" s="6"/>
      <c r="IC106" s="4"/>
      <c r="ID106" s="6"/>
      <c r="IE106" s="5"/>
      <c r="IF106" s="5"/>
      <c r="IG106" s="4"/>
      <c r="IH106" s="6"/>
      <c r="II106" s="4"/>
      <c r="IJ106" s="6"/>
      <c r="IK106" s="5"/>
      <c r="IL106" s="5"/>
      <c r="IM106" s="4"/>
      <c r="IN106" s="6"/>
      <c r="IO106" s="4"/>
      <c r="IP106" s="6"/>
      <c r="IQ106" s="5"/>
      <c r="IR106" s="5"/>
      <c r="IS106" s="4"/>
      <c r="IT106" s="6"/>
      <c r="IU106" s="4"/>
      <c r="IV106" s="6"/>
      <c r="IW106" s="5"/>
      <c r="IX106" s="5"/>
      <c r="IY106" s="4"/>
      <c r="IZ106" s="6"/>
      <c r="JA106" s="4"/>
      <c r="JB106" s="6"/>
      <c r="JC106" s="5"/>
      <c r="JD106" s="5"/>
      <c r="JE106" s="4"/>
      <c r="JF106" s="6"/>
      <c r="JG106" s="4"/>
      <c r="JH106" s="6"/>
      <c r="JI106" s="5"/>
      <c r="JJ106" s="5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</row>
    <row r="107">
      <c r="A107" s="3" t="s">
        <v>136</v>
      </c>
      <c r="B107" s="3" t="s">
        <v>158</v>
      </c>
      <c r="C107" s="3" t="s">
        <v>138</v>
      </c>
      <c r="D107" s="3" t="s">
        <v>139</v>
      </c>
      <c r="E107" s="3" t="s">
        <v>163</v>
      </c>
      <c r="F107" s="3" t="s">
        <v>163</v>
      </c>
      <c r="G107" s="3" t="s">
        <v>163</v>
      </c>
      <c r="H107" s="3" t="s">
        <v>146</v>
      </c>
      <c r="I107" s="3" t="s">
        <v>232</v>
      </c>
      <c r="J107" s="3" t="s">
        <v>241</v>
      </c>
      <c r="K107" s="4"/>
      <c r="L107" s="4">
        <f>=ROUNDDOWN({0},0)</f>
      </c>
      <c r="M107" s="4"/>
      <c r="N107" s="5"/>
      <c r="O107" s="4"/>
      <c r="P107" s="4">
        <f>=ROUNDDOWN({0},0)</f>
      </c>
      <c r="Q107" s="4"/>
      <c r="R107" s="5"/>
      <c r="S107" s="4"/>
      <c r="T107" s="6"/>
      <c r="U107" s="4">
        <v>28</v>
      </c>
      <c r="V107" s="6">
        <v>384.88</v>
      </c>
      <c r="W107" s="5"/>
      <c r="X107" s="5"/>
      <c r="Y107" s="4"/>
      <c r="Z107" s="6"/>
      <c r="AA107" s="4"/>
      <c r="AB107" s="6"/>
      <c r="AC107" s="5"/>
      <c r="AD107" s="5"/>
      <c r="AE107" s="4"/>
      <c r="AF107" s="6"/>
      <c r="AG107" s="4">
        <v>2</v>
      </c>
      <c r="AH107" s="6">
        <v>14.02</v>
      </c>
      <c r="AI107" s="5"/>
      <c r="AJ107" s="5"/>
      <c r="AK107" s="4"/>
      <c r="AL107" s="6"/>
      <c r="AM107" s="4"/>
      <c r="AN107" s="6"/>
      <c r="AO107" s="5"/>
      <c r="AP107" s="5"/>
      <c r="AQ107" s="4"/>
      <c r="AR107" s="6"/>
      <c r="AS107" s="4"/>
      <c r="AT107" s="6"/>
      <c r="AU107" s="5"/>
      <c r="AV107" s="5"/>
      <c r="AW107" s="4"/>
      <c r="AX107" s="6"/>
      <c r="AY107" s="4"/>
      <c r="AZ107" s="6"/>
      <c r="BA107" s="5"/>
      <c r="BB107" s="5"/>
      <c r="BC107" s="4"/>
      <c r="BD107" s="6"/>
      <c r="BE107" s="4">
        <v>14</v>
      </c>
      <c r="BF107" s="6">
        <v>216.47</v>
      </c>
      <c r="BG107" s="5"/>
      <c r="BH107" s="5"/>
      <c r="BI107" s="4"/>
      <c r="BJ107" s="6"/>
      <c r="BK107" s="4">
        <v>3</v>
      </c>
      <c r="BL107" s="6">
        <v>52.68</v>
      </c>
      <c r="BM107" s="5"/>
      <c r="BN107" s="5"/>
      <c r="BO107" s="4"/>
      <c r="BP107" s="6"/>
      <c r="BQ107" s="4"/>
      <c r="BR107" s="6"/>
      <c r="BS107" s="5"/>
      <c r="BT107" s="5"/>
      <c r="BU107" s="4"/>
      <c r="BV107" s="6"/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>
        <v>4</v>
      </c>
      <c r="DB107" s="6">
        <v>49.84</v>
      </c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>
        <v>5</v>
      </c>
      <c r="FV107" s="6">
        <v>51.87</v>
      </c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  <c r="IA107" s="4"/>
      <c r="IB107" s="6"/>
      <c r="IC107" s="4"/>
      <c r="ID107" s="6"/>
      <c r="IE107" s="5"/>
      <c r="IF107" s="5"/>
      <c r="IG107" s="4"/>
      <c r="IH107" s="6"/>
      <c r="II107" s="4"/>
      <c r="IJ107" s="6"/>
      <c r="IK107" s="5"/>
      <c r="IL107" s="5"/>
      <c r="IM107" s="4"/>
      <c r="IN107" s="6"/>
      <c r="IO107" s="4"/>
      <c r="IP107" s="6"/>
      <c r="IQ107" s="5"/>
      <c r="IR107" s="5"/>
      <c r="IS107" s="4"/>
      <c r="IT107" s="6"/>
      <c r="IU107" s="4"/>
      <c r="IV107" s="6"/>
      <c r="IW107" s="5"/>
      <c r="IX107" s="5"/>
      <c r="IY107" s="4"/>
      <c r="IZ107" s="6"/>
      <c r="JA107" s="4"/>
      <c r="JB107" s="6"/>
      <c r="JC107" s="5"/>
      <c r="JD107" s="5"/>
      <c r="JE107" s="4"/>
      <c r="JF107" s="6"/>
      <c r="JG107" s="4"/>
      <c r="JH107" s="6"/>
      <c r="JI107" s="5"/>
      <c r="JJ107" s="5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</row>
    <row r="108">
      <c r="A108" s="3" t="s">
        <v>136</v>
      </c>
      <c r="B108" s="3" t="s">
        <v>158</v>
      </c>
      <c r="C108" s="3" t="s">
        <v>155</v>
      </c>
      <c r="D108" s="3" t="s">
        <v>156</v>
      </c>
      <c r="E108" s="3" t="s">
        <v>159</v>
      </c>
      <c r="F108" s="3" t="s">
        <v>159</v>
      </c>
      <c r="G108" s="3" t="s">
        <v>159</v>
      </c>
      <c r="H108" s="3" t="s">
        <v>159</v>
      </c>
      <c r="I108" s="3" t="s">
        <v>227</v>
      </c>
      <c r="J108" s="3" t="s">
        <v>226</v>
      </c>
      <c r="K108" s="4">
        <v>4190</v>
      </c>
      <c r="L108" s="4">
        <f>=ROUNDDOWN(45.5434782608696,0)</f>
      </c>
      <c r="M108" s="4"/>
      <c r="N108" s="5">
        <v>1</v>
      </c>
      <c r="O108" s="4"/>
      <c r="P108" s="4">
        <f>=ROUNDDOWN({0},0)</f>
      </c>
      <c r="Q108" s="4"/>
      <c r="R108" s="5"/>
      <c r="S108" s="4">
        <v>1150</v>
      </c>
      <c r="T108" s="6">
        <v>7228.51</v>
      </c>
      <c r="U108" s="4">
        <v>1702</v>
      </c>
      <c r="V108" s="6">
        <v>10477.81</v>
      </c>
      <c r="W108" s="5">
        <v>-0.3243</v>
      </c>
      <c r="X108" s="5">
        <v>-0.3101</v>
      </c>
      <c r="Y108" s="4">
        <v>353</v>
      </c>
      <c r="Z108" s="6">
        <v>2300.91</v>
      </c>
      <c r="AA108" s="4">
        <v>694</v>
      </c>
      <c r="AB108" s="6">
        <v>4480.57</v>
      </c>
      <c r="AC108" s="5">
        <v>-0.4914</v>
      </c>
      <c r="AD108" s="5">
        <v>-0.4865</v>
      </c>
      <c r="AE108" s="4">
        <v>99</v>
      </c>
      <c r="AF108" s="6">
        <v>612.24</v>
      </c>
      <c r="AG108" s="4">
        <v>14</v>
      </c>
      <c r="AH108" s="6">
        <v>85.58</v>
      </c>
      <c r="AI108" s="5">
        <v>6.0714</v>
      </c>
      <c r="AJ108" s="5">
        <v>6.154</v>
      </c>
      <c r="AK108" s="4">
        <v>5</v>
      </c>
      <c r="AL108" s="6">
        <v>32.05</v>
      </c>
      <c r="AM108" s="4"/>
      <c r="AN108" s="6"/>
      <c r="AO108" s="5"/>
      <c r="AP108" s="5"/>
      <c r="AQ108" s="4">
        <v>16</v>
      </c>
      <c r="AR108" s="6">
        <v>110.4</v>
      </c>
      <c r="AS108" s="4"/>
      <c r="AT108" s="6"/>
      <c r="AU108" s="5"/>
      <c r="AV108" s="5"/>
      <c r="AW108" s="4">
        <v>190</v>
      </c>
      <c r="AX108" s="6">
        <v>1236.71</v>
      </c>
      <c r="AY108" s="4">
        <v>158</v>
      </c>
      <c r="AZ108" s="6">
        <v>1027.15</v>
      </c>
      <c r="BA108" s="5">
        <v>0.2025</v>
      </c>
      <c r="BB108" s="5">
        <v>0.204</v>
      </c>
      <c r="BC108" s="4">
        <v>216</v>
      </c>
      <c r="BD108" s="6">
        <v>1381.48</v>
      </c>
      <c r="BE108" s="4">
        <v>322</v>
      </c>
      <c r="BF108" s="6">
        <v>2047.56</v>
      </c>
      <c r="BG108" s="5">
        <v>-0.3292</v>
      </c>
      <c r="BH108" s="5">
        <v>-0.3253</v>
      </c>
      <c r="BI108" s="4">
        <v>173</v>
      </c>
      <c r="BJ108" s="6">
        <v>901.3</v>
      </c>
      <c r="BK108" s="4">
        <v>328</v>
      </c>
      <c r="BL108" s="6">
        <v>1685.54</v>
      </c>
      <c r="BM108" s="5">
        <v>-0.4726</v>
      </c>
      <c r="BN108" s="5">
        <v>-0.4653</v>
      </c>
      <c r="BO108" s="4">
        <v>45</v>
      </c>
      <c r="BP108" s="6">
        <v>238.9</v>
      </c>
      <c r="BQ108" s="4">
        <v>81</v>
      </c>
      <c r="BR108" s="6">
        <v>447.82</v>
      </c>
      <c r="BS108" s="5">
        <v>-0.4444</v>
      </c>
      <c r="BT108" s="5">
        <v>-0.4665</v>
      </c>
      <c r="BU108" s="4"/>
      <c r="BV108" s="6"/>
      <c r="BW108" s="4">
        <v>87</v>
      </c>
      <c r="BX108" s="6">
        <v>568.88</v>
      </c>
      <c r="BY108" s="5"/>
      <c r="BZ108" s="5"/>
      <c r="CA108" s="4">
        <v>37</v>
      </c>
      <c r="CB108" s="6">
        <v>310.76</v>
      </c>
      <c r="CC108" s="4">
        <v>6</v>
      </c>
      <c r="CD108" s="6">
        <v>53.48</v>
      </c>
      <c r="CE108" s="5">
        <v>5.1667</v>
      </c>
      <c r="CF108" s="5">
        <v>4.8108</v>
      </c>
      <c r="CG108" s="4">
        <v>6</v>
      </c>
      <c r="CH108" s="6">
        <v>41.96</v>
      </c>
      <c r="CI108" s="4"/>
      <c r="CJ108" s="6"/>
      <c r="CK108" s="5"/>
      <c r="CL108" s="5"/>
      <c r="CM108" s="4"/>
      <c r="CN108" s="6"/>
      <c r="CO108" s="4"/>
      <c r="CP108" s="6"/>
      <c r="CQ108" s="5"/>
      <c r="CR108" s="5"/>
      <c r="CS108" s="4">
        <v>9</v>
      </c>
      <c r="CT108" s="6">
        <v>55.45</v>
      </c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>
        <v>1</v>
      </c>
      <c r="EJ108" s="6">
        <v>6.35</v>
      </c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>
        <v>12</v>
      </c>
      <c r="FV108" s="6">
        <v>81.23</v>
      </c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  <c r="IA108" s="4"/>
      <c r="IB108" s="6"/>
      <c r="IC108" s="4"/>
      <c r="ID108" s="6"/>
      <c r="IE108" s="5"/>
      <c r="IF108" s="5"/>
      <c r="IG108" s="4"/>
      <c r="IH108" s="6"/>
      <c r="II108" s="4"/>
      <c r="IJ108" s="6"/>
      <c r="IK108" s="5"/>
      <c r="IL108" s="5"/>
      <c r="IM108" s="4"/>
      <c r="IN108" s="6"/>
      <c r="IO108" s="4"/>
      <c r="IP108" s="6"/>
      <c r="IQ108" s="5"/>
      <c r="IR108" s="5"/>
      <c r="IS108" s="4"/>
      <c r="IT108" s="6"/>
      <c r="IU108" s="4"/>
      <c r="IV108" s="6"/>
      <c r="IW108" s="5"/>
      <c r="IX108" s="5"/>
      <c r="IY108" s="4"/>
      <c r="IZ108" s="6"/>
      <c r="JA108" s="4"/>
      <c r="JB108" s="6"/>
      <c r="JC108" s="5"/>
      <c r="JD108" s="5"/>
      <c r="JE108" s="4"/>
      <c r="JF108" s="6"/>
      <c r="JG108" s="4"/>
      <c r="JH108" s="6"/>
      <c r="JI108" s="5"/>
      <c r="JJ108" s="5"/>
      <c r="JK108" s="4">
        <v>4190</v>
      </c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</row>
    <row r="109">
      <c r="A109" s="3" t="s">
        <v>136</v>
      </c>
      <c r="B109" s="3" t="s">
        <v>158</v>
      </c>
      <c r="C109" s="3" t="s">
        <v>155</v>
      </c>
      <c r="D109" s="3" t="s">
        <v>156</v>
      </c>
      <c r="E109" s="3" t="s">
        <v>159</v>
      </c>
      <c r="F109" s="3" t="s">
        <v>159</v>
      </c>
      <c r="G109" s="3" t="s">
        <v>159</v>
      </c>
      <c r="H109" s="3" t="s">
        <v>159</v>
      </c>
      <c r="I109" s="3" t="s">
        <v>235</v>
      </c>
      <c r="J109" s="3" t="s">
        <v>226</v>
      </c>
      <c r="K109" s="4">
        <v>3638</v>
      </c>
      <c r="L109" s="4">
        <f>=ROUNDDOWN(46.0506329113924,0)</f>
      </c>
      <c r="M109" s="4"/>
      <c r="N109" s="5">
        <v>1</v>
      </c>
      <c r="O109" s="4"/>
      <c r="P109" s="4">
        <f>=ROUNDDOWN({0},0)</f>
      </c>
      <c r="Q109" s="4"/>
      <c r="R109" s="5"/>
      <c r="S109" s="4">
        <v>1003</v>
      </c>
      <c r="T109" s="6">
        <v>6180.62</v>
      </c>
      <c r="U109" s="4">
        <v>900</v>
      </c>
      <c r="V109" s="6">
        <v>5461.62</v>
      </c>
      <c r="W109" s="5">
        <v>0.1144</v>
      </c>
      <c r="X109" s="5">
        <v>0.1316</v>
      </c>
      <c r="Y109" s="4">
        <v>241</v>
      </c>
      <c r="Z109" s="6">
        <v>1572.22</v>
      </c>
      <c r="AA109" s="4">
        <v>248</v>
      </c>
      <c r="AB109" s="6">
        <v>1626.74</v>
      </c>
      <c r="AC109" s="5">
        <v>-0.0282</v>
      </c>
      <c r="AD109" s="5">
        <v>-0.0335</v>
      </c>
      <c r="AE109" s="4">
        <v>60</v>
      </c>
      <c r="AF109" s="6">
        <v>372.6</v>
      </c>
      <c r="AG109" s="4">
        <v>17</v>
      </c>
      <c r="AH109" s="6">
        <v>107.27</v>
      </c>
      <c r="AI109" s="5">
        <v>2.5294</v>
      </c>
      <c r="AJ109" s="5">
        <v>2.4735</v>
      </c>
      <c r="AK109" s="4">
        <v>4</v>
      </c>
      <c r="AL109" s="6">
        <v>6.47</v>
      </c>
      <c r="AM109" s="4"/>
      <c r="AN109" s="6"/>
      <c r="AO109" s="5"/>
      <c r="AP109" s="5"/>
      <c r="AQ109" s="4">
        <v>24</v>
      </c>
      <c r="AR109" s="6">
        <v>158.88</v>
      </c>
      <c r="AS109" s="4"/>
      <c r="AT109" s="6"/>
      <c r="AU109" s="5"/>
      <c r="AV109" s="5"/>
      <c r="AW109" s="4">
        <v>190</v>
      </c>
      <c r="AX109" s="6">
        <v>1245.19</v>
      </c>
      <c r="AY109" s="4">
        <v>124</v>
      </c>
      <c r="AZ109" s="6">
        <v>816.02</v>
      </c>
      <c r="BA109" s="5">
        <v>0.5323</v>
      </c>
      <c r="BB109" s="5">
        <v>0.5259</v>
      </c>
      <c r="BC109" s="4">
        <v>172</v>
      </c>
      <c r="BD109" s="6">
        <v>1095.84</v>
      </c>
      <c r="BE109" s="4">
        <v>122</v>
      </c>
      <c r="BF109" s="6">
        <v>779.12</v>
      </c>
      <c r="BG109" s="5">
        <v>0.4098</v>
      </c>
      <c r="BH109" s="5">
        <v>0.4065</v>
      </c>
      <c r="BI109" s="4">
        <v>232</v>
      </c>
      <c r="BJ109" s="6">
        <v>1213.37</v>
      </c>
      <c r="BK109" s="4">
        <v>310</v>
      </c>
      <c r="BL109" s="6">
        <v>1601.12</v>
      </c>
      <c r="BM109" s="5">
        <v>-0.2516</v>
      </c>
      <c r="BN109" s="5">
        <v>-0.2422</v>
      </c>
      <c r="BO109" s="4">
        <v>28</v>
      </c>
      <c r="BP109" s="6">
        <v>148.45</v>
      </c>
      <c r="BQ109" s="4">
        <v>35</v>
      </c>
      <c r="BR109" s="6">
        <v>206.2</v>
      </c>
      <c r="BS109" s="5">
        <v>-0.2</v>
      </c>
      <c r="BT109" s="5">
        <v>-0.2801</v>
      </c>
      <c r="BU109" s="4"/>
      <c r="BV109" s="6"/>
      <c r="BW109" s="4">
        <v>23</v>
      </c>
      <c r="BX109" s="6">
        <v>154.53</v>
      </c>
      <c r="BY109" s="5"/>
      <c r="BZ109" s="5"/>
      <c r="CA109" s="4">
        <v>14</v>
      </c>
      <c r="CB109" s="6">
        <v>123.81</v>
      </c>
      <c r="CC109" s="4">
        <v>12</v>
      </c>
      <c r="CD109" s="6">
        <v>105.96</v>
      </c>
      <c r="CE109" s="5">
        <v>0.1667</v>
      </c>
      <c r="CF109" s="5">
        <v>0.1685</v>
      </c>
      <c r="CG109" s="4">
        <v>9</v>
      </c>
      <c r="CH109" s="6">
        <v>59.58</v>
      </c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>
        <v>19</v>
      </c>
      <c r="CT109" s="6">
        <v>118.95</v>
      </c>
      <c r="CU109" s="4"/>
      <c r="CV109" s="6"/>
      <c r="CW109" s="5"/>
      <c r="CX109" s="5"/>
      <c r="CY109" s="4"/>
      <c r="CZ109" s="6"/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>
        <v>1</v>
      </c>
      <c r="DL109" s="6">
        <v>5.99</v>
      </c>
      <c r="DM109" s="4">
        <v>2</v>
      </c>
      <c r="DN109" s="6">
        <v>17.98</v>
      </c>
      <c r="DO109" s="5">
        <v>-0.5</v>
      </c>
      <c r="DP109" s="5">
        <v>-0.6669</v>
      </c>
      <c r="DQ109" s="4"/>
      <c r="DR109" s="6"/>
      <c r="DS109" s="4"/>
      <c r="DT109" s="6"/>
      <c r="DU109" s="5"/>
      <c r="DV109" s="5"/>
      <c r="DW109" s="4"/>
      <c r="DX109" s="6"/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>
        <v>9</v>
      </c>
      <c r="EJ109" s="6">
        <v>59.27</v>
      </c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>
        <v>7</v>
      </c>
      <c r="FV109" s="6">
        <v>46.68</v>
      </c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  <c r="IA109" s="4"/>
      <c r="IB109" s="6"/>
      <c r="IC109" s="4"/>
      <c r="ID109" s="6"/>
      <c r="IE109" s="5"/>
      <c r="IF109" s="5"/>
      <c r="IG109" s="4"/>
      <c r="IH109" s="6"/>
      <c r="II109" s="4"/>
      <c r="IJ109" s="6"/>
      <c r="IK109" s="5"/>
      <c r="IL109" s="5"/>
      <c r="IM109" s="4"/>
      <c r="IN109" s="6"/>
      <c r="IO109" s="4"/>
      <c r="IP109" s="6"/>
      <c r="IQ109" s="5"/>
      <c r="IR109" s="5"/>
      <c r="IS109" s="4"/>
      <c r="IT109" s="6"/>
      <c r="IU109" s="4"/>
      <c r="IV109" s="6"/>
      <c r="IW109" s="5"/>
      <c r="IX109" s="5"/>
      <c r="IY109" s="4"/>
      <c r="IZ109" s="6"/>
      <c r="JA109" s="4"/>
      <c r="JB109" s="6"/>
      <c r="JC109" s="5"/>
      <c r="JD109" s="5"/>
      <c r="JE109" s="4"/>
      <c r="JF109" s="6"/>
      <c r="JG109" s="4"/>
      <c r="JH109" s="6"/>
      <c r="JI109" s="5"/>
      <c r="JJ109" s="5"/>
      <c r="JK109" s="4">
        <v>2985</v>
      </c>
      <c r="JL109" s="4"/>
      <c r="JM109" s="4"/>
      <c r="JN109" s="4"/>
      <c r="JO109" s="4">
        <v>653</v>
      </c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</row>
    <row r="110">
      <c r="A110" s="3" t="s">
        <v>136</v>
      </c>
      <c r="B110" s="3" t="s">
        <v>158</v>
      </c>
      <c r="C110" s="3" t="s">
        <v>155</v>
      </c>
      <c r="D110" s="3" t="s">
        <v>156</v>
      </c>
      <c r="E110" s="3" t="s">
        <v>159</v>
      </c>
      <c r="F110" s="3" t="s">
        <v>159</v>
      </c>
      <c r="G110" s="3" t="s">
        <v>159</v>
      </c>
      <c r="H110" s="3" t="s">
        <v>159</v>
      </c>
      <c r="I110" s="3" t="s">
        <v>257</v>
      </c>
      <c r="J110" s="3" t="s">
        <v>228</v>
      </c>
      <c r="K110" s="4">
        <v>2873</v>
      </c>
      <c r="L110" s="4">
        <f>=ROUNDDOWN(35.4691358024691,0)</f>
      </c>
      <c r="M110" s="4"/>
      <c r="N110" s="5">
        <v>1</v>
      </c>
      <c r="O110" s="4"/>
      <c r="P110" s="4">
        <f>=ROUNDDOWN({0},0)</f>
      </c>
      <c r="Q110" s="4"/>
      <c r="R110" s="5"/>
      <c r="S110" s="4">
        <v>946</v>
      </c>
      <c r="T110" s="6">
        <v>5900.98</v>
      </c>
      <c r="U110" s="4">
        <v>836</v>
      </c>
      <c r="V110" s="6">
        <v>4889.47</v>
      </c>
      <c r="W110" s="5">
        <v>0.1316</v>
      </c>
      <c r="X110" s="5">
        <v>0.2069</v>
      </c>
      <c r="Y110" s="4">
        <v>277</v>
      </c>
      <c r="Z110" s="6">
        <v>1799.23</v>
      </c>
      <c r="AA110" s="4">
        <v>244</v>
      </c>
      <c r="AB110" s="6">
        <v>1388.34</v>
      </c>
      <c r="AC110" s="5">
        <v>0.1352</v>
      </c>
      <c r="AD110" s="5">
        <v>0.296</v>
      </c>
      <c r="AE110" s="4">
        <v>70</v>
      </c>
      <c r="AF110" s="6">
        <v>439.63</v>
      </c>
      <c r="AG110" s="4">
        <v>7</v>
      </c>
      <c r="AH110" s="6">
        <v>43.81</v>
      </c>
      <c r="AI110" s="5">
        <v>9</v>
      </c>
      <c r="AJ110" s="5">
        <v>9.0349</v>
      </c>
      <c r="AK110" s="4">
        <v>15</v>
      </c>
      <c r="AL110" s="6">
        <v>45.15</v>
      </c>
      <c r="AM110" s="4"/>
      <c r="AN110" s="6"/>
      <c r="AO110" s="5"/>
      <c r="AP110" s="5"/>
      <c r="AQ110" s="4">
        <v>16</v>
      </c>
      <c r="AR110" s="6">
        <v>91.68</v>
      </c>
      <c r="AS110" s="4">
        <v>48</v>
      </c>
      <c r="AT110" s="6">
        <v>279.36</v>
      </c>
      <c r="AU110" s="5">
        <v>-0.6667</v>
      </c>
      <c r="AV110" s="5">
        <v>-0.6718</v>
      </c>
      <c r="AW110" s="4">
        <v>169</v>
      </c>
      <c r="AX110" s="6">
        <v>1108.66</v>
      </c>
      <c r="AY110" s="4">
        <v>94</v>
      </c>
      <c r="AZ110" s="6">
        <v>612.27</v>
      </c>
      <c r="BA110" s="5">
        <v>0.7979</v>
      </c>
      <c r="BB110" s="5">
        <v>0.8107</v>
      </c>
      <c r="BC110" s="4">
        <v>192</v>
      </c>
      <c r="BD110" s="6">
        <v>1238.96</v>
      </c>
      <c r="BE110" s="4">
        <v>182</v>
      </c>
      <c r="BF110" s="6">
        <v>1148.68</v>
      </c>
      <c r="BG110" s="5">
        <v>0.0549</v>
      </c>
      <c r="BH110" s="5">
        <v>0.0786</v>
      </c>
      <c r="BI110" s="4">
        <v>107</v>
      </c>
      <c r="BJ110" s="6">
        <v>554.53</v>
      </c>
      <c r="BK110" s="4">
        <v>187</v>
      </c>
      <c r="BL110" s="6">
        <v>956.42</v>
      </c>
      <c r="BM110" s="5">
        <v>-0.4278</v>
      </c>
      <c r="BN110" s="5">
        <v>-0.4202</v>
      </c>
      <c r="BO110" s="4">
        <v>43</v>
      </c>
      <c r="BP110" s="6">
        <v>231.91</v>
      </c>
      <c r="BQ110" s="4">
        <v>34</v>
      </c>
      <c r="BR110" s="6">
        <v>199.58</v>
      </c>
      <c r="BS110" s="5">
        <v>0.2647</v>
      </c>
      <c r="BT110" s="5">
        <v>0.162</v>
      </c>
      <c r="BU110" s="4"/>
      <c r="BV110" s="6"/>
      <c r="BW110" s="4">
        <v>29</v>
      </c>
      <c r="BX110" s="6">
        <v>178.95</v>
      </c>
      <c r="BY110" s="5"/>
      <c r="BZ110" s="5"/>
      <c r="CA110" s="4">
        <v>14</v>
      </c>
      <c r="CB110" s="6">
        <v>124.13</v>
      </c>
      <c r="CC110" s="4">
        <v>6</v>
      </c>
      <c r="CD110" s="6">
        <v>48.7</v>
      </c>
      <c r="CE110" s="5">
        <v>1.3333</v>
      </c>
      <c r="CF110" s="5">
        <v>1.5489</v>
      </c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>
        <v>39</v>
      </c>
      <c r="CT110" s="6">
        <v>244.95</v>
      </c>
      <c r="CU110" s="4"/>
      <c r="CV110" s="6"/>
      <c r="CW110" s="5"/>
      <c r="CX110" s="5"/>
      <c r="CY110" s="4">
        <v>3</v>
      </c>
      <c r="CZ110" s="6">
        <v>15.6</v>
      </c>
      <c r="DA110" s="4">
        <v>1</v>
      </c>
      <c r="DB110" s="6">
        <v>5.2</v>
      </c>
      <c r="DC110" s="5">
        <v>2</v>
      </c>
      <c r="DD110" s="5">
        <v>2</v>
      </c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>
        <v>1</v>
      </c>
      <c r="EV110" s="6">
        <v>6.55</v>
      </c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>
        <v>4</v>
      </c>
      <c r="FV110" s="6">
        <v>28.16</v>
      </c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  <c r="IA110" s="4"/>
      <c r="IB110" s="6"/>
      <c r="IC110" s="4"/>
      <c r="ID110" s="6"/>
      <c r="IE110" s="5"/>
      <c r="IF110" s="5"/>
      <c r="IG110" s="4"/>
      <c r="IH110" s="6"/>
      <c r="II110" s="4"/>
      <c r="IJ110" s="6"/>
      <c r="IK110" s="5"/>
      <c r="IL110" s="5"/>
      <c r="IM110" s="4"/>
      <c r="IN110" s="6"/>
      <c r="IO110" s="4"/>
      <c r="IP110" s="6"/>
      <c r="IQ110" s="5"/>
      <c r="IR110" s="5"/>
      <c r="IS110" s="4"/>
      <c r="IT110" s="6"/>
      <c r="IU110" s="4"/>
      <c r="IV110" s="6"/>
      <c r="IW110" s="5"/>
      <c r="IX110" s="5"/>
      <c r="IY110" s="4"/>
      <c r="IZ110" s="6"/>
      <c r="JA110" s="4"/>
      <c r="JB110" s="6"/>
      <c r="JC110" s="5"/>
      <c r="JD110" s="5"/>
      <c r="JE110" s="4"/>
      <c r="JF110" s="6"/>
      <c r="JG110" s="4"/>
      <c r="JH110" s="6"/>
      <c r="JI110" s="5"/>
      <c r="JJ110" s="5"/>
      <c r="JK110" s="4">
        <v>2873</v>
      </c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</row>
    <row r="111">
      <c r="A111" s="3" t="s">
        <v>136</v>
      </c>
      <c r="B111" s="3" t="s">
        <v>158</v>
      </c>
      <c r="C111" s="3" t="s">
        <v>155</v>
      </c>
      <c r="D111" s="3" t="s">
        <v>156</v>
      </c>
      <c r="E111" s="3" t="s">
        <v>159</v>
      </c>
      <c r="F111" s="3" t="s">
        <v>159</v>
      </c>
      <c r="G111" s="3" t="s">
        <v>159</v>
      </c>
      <c r="H111" s="3" t="s">
        <v>159</v>
      </c>
      <c r="I111" s="3" t="s">
        <v>245</v>
      </c>
      <c r="J111" s="3" t="s">
        <v>228</v>
      </c>
      <c r="K111" s="4">
        <v>2784</v>
      </c>
      <c r="L111" s="4">
        <f>=ROUNDDOWN(38.1369863013699,0)</f>
      </c>
      <c r="M111" s="4">
        <v>304</v>
      </c>
      <c r="N111" s="5">
        <v>1</v>
      </c>
      <c r="O111" s="4"/>
      <c r="P111" s="4">
        <f>=ROUNDDOWN({0},0)</f>
      </c>
      <c r="Q111" s="4"/>
      <c r="R111" s="5"/>
      <c r="S111" s="4">
        <v>903</v>
      </c>
      <c r="T111" s="6">
        <v>5692.68</v>
      </c>
      <c r="U111" s="4">
        <v>443</v>
      </c>
      <c r="V111" s="6">
        <v>2330.97</v>
      </c>
      <c r="W111" s="5">
        <v>1.0384</v>
      </c>
      <c r="X111" s="5">
        <v>1.4422</v>
      </c>
      <c r="Y111" s="4">
        <v>222</v>
      </c>
      <c r="Z111" s="6">
        <v>1443.62</v>
      </c>
      <c r="AA111" s="4">
        <v>8</v>
      </c>
      <c r="AB111" s="6">
        <v>50.8</v>
      </c>
      <c r="AC111" s="5">
        <v>26.75</v>
      </c>
      <c r="AD111" s="5">
        <v>27.4177</v>
      </c>
      <c r="AE111" s="4">
        <v>57</v>
      </c>
      <c r="AF111" s="6">
        <v>354.48</v>
      </c>
      <c r="AG111" s="4">
        <v>10</v>
      </c>
      <c r="AH111" s="6">
        <v>61.93</v>
      </c>
      <c r="AI111" s="5">
        <v>4.7</v>
      </c>
      <c r="AJ111" s="5">
        <v>4.7239</v>
      </c>
      <c r="AK111" s="4">
        <v>3</v>
      </c>
      <c r="AL111" s="6">
        <v>3.93</v>
      </c>
      <c r="AM111" s="4"/>
      <c r="AN111" s="6"/>
      <c r="AO111" s="5"/>
      <c r="AP111" s="5"/>
      <c r="AQ111" s="4"/>
      <c r="AR111" s="6"/>
      <c r="AS111" s="4"/>
      <c r="AT111" s="6"/>
      <c r="AU111" s="5"/>
      <c r="AV111" s="5"/>
      <c r="AW111" s="4">
        <v>140</v>
      </c>
      <c r="AX111" s="6">
        <v>916.03</v>
      </c>
      <c r="AY111" s="4"/>
      <c r="AZ111" s="6"/>
      <c r="BA111" s="5"/>
      <c r="BB111" s="5"/>
      <c r="BC111" s="4">
        <v>301</v>
      </c>
      <c r="BD111" s="6">
        <v>1938.91</v>
      </c>
      <c r="BE111" s="4"/>
      <c r="BF111" s="6"/>
      <c r="BG111" s="5"/>
      <c r="BH111" s="5"/>
      <c r="BI111" s="4">
        <v>132</v>
      </c>
      <c r="BJ111" s="6">
        <v>692.01</v>
      </c>
      <c r="BK111" s="4">
        <v>398</v>
      </c>
      <c r="BL111" s="6">
        <v>2044.78</v>
      </c>
      <c r="BM111" s="5">
        <v>-0.6683</v>
      </c>
      <c r="BN111" s="5">
        <v>-0.6616</v>
      </c>
      <c r="BO111" s="4">
        <v>23</v>
      </c>
      <c r="BP111" s="6">
        <v>125.4</v>
      </c>
      <c r="BQ111" s="4">
        <v>10</v>
      </c>
      <c r="BR111" s="6">
        <v>58.08</v>
      </c>
      <c r="BS111" s="5">
        <v>1.3</v>
      </c>
      <c r="BT111" s="5">
        <v>1.1591</v>
      </c>
      <c r="BU111" s="4"/>
      <c r="BV111" s="6"/>
      <c r="BW111" s="4"/>
      <c r="BX111" s="6"/>
      <c r="BY111" s="5"/>
      <c r="BZ111" s="5"/>
      <c r="CA111" s="4">
        <v>23</v>
      </c>
      <c r="CB111" s="6">
        <v>205.91</v>
      </c>
      <c r="CC111" s="4">
        <v>3</v>
      </c>
      <c r="CD111" s="6">
        <v>26.94</v>
      </c>
      <c r="CE111" s="5">
        <v>6.6667</v>
      </c>
      <c r="CF111" s="5">
        <v>6.6433</v>
      </c>
      <c r="CG111" s="4"/>
      <c r="CH111" s="6"/>
      <c r="CI111" s="4"/>
      <c r="CJ111" s="6"/>
      <c r="CK111" s="5"/>
      <c r="CL111" s="5"/>
      <c r="CM111" s="4"/>
      <c r="CN111" s="6"/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>
        <v>1</v>
      </c>
      <c r="DN111" s="6">
        <v>5.99</v>
      </c>
      <c r="DO111" s="5"/>
      <c r="DP111" s="5"/>
      <c r="DQ111" s="4"/>
      <c r="DR111" s="6"/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>
        <v>1</v>
      </c>
      <c r="EJ111" s="6">
        <v>6.35</v>
      </c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>
        <v>1</v>
      </c>
      <c r="EV111" s="6">
        <v>6.04</v>
      </c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>
        <v>1</v>
      </c>
      <c r="FV111" s="6">
        <v>6.35</v>
      </c>
      <c r="FW111" s="5"/>
      <c r="FX111" s="5"/>
      <c r="FY111" s="4"/>
      <c r="FZ111" s="6"/>
      <c r="GA111" s="4">
        <v>12</v>
      </c>
      <c r="GB111" s="6">
        <v>76.1</v>
      </c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  <c r="IA111" s="4"/>
      <c r="IB111" s="6"/>
      <c r="IC111" s="4"/>
      <c r="ID111" s="6"/>
      <c r="IE111" s="5"/>
      <c r="IF111" s="5"/>
      <c r="IG111" s="4"/>
      <c r="IH111" s="6"/>
      <c r="II111" s="4"/>
      <c r="IJ111" s="6"/>
      <c r="IK111" s="5"/>
      <c r="IL111" s="5"/>
      <c r="IM111" s="4"/>
      <c r="IN111" s="6"/>
      <c r="IO111" s="4"/>
      <c r="IP111" s="6"/>
      <c r="IQ111" s="5"/>
      <c r="IR111" s="5"/>
      <c r="IS111" s="4"/>
      <c r="IT111" s="6"/>
      <c r="IU111" s="4"/>
      <c r="IV111" s="6"/>
      <c r="IW111" s="5"/>
      <c r="IX111" s="5"/>
      <c r="IY111" s="4"/>
      <c r="IZ111" s="6"/>
      <c r="JA111" s="4"/>
      <c r="JB111" s="6"/>
      <c r="JC111" s="5"/>
      <c r="JD111" s="5"/>
      <c r="JE111" s="4"/>
      <c r="JF111" s="6"/>
      <c r="JG111" s="4"/>
      <c r="JH111" s="6"/>
      <c r="JI111" s="5"/>
      <c r="JJ111" s="5"/>
      <c r="JK111" s="4">
        <v>2523</v>
      </c>
      <c r="JL111" s="4"/>
      <c r="JM111" s="4"/>
      <c r="JN111" s="4"/>
      <c r="JO111" s="4">
        <v>261</v>
      </c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>
        <v>304</v>
      </c>
      <c r="LH111" s="4"/>
      <c r="LI111" s="4"/>
      <c r="LJ111" s="4"/>
      <c r="LK111" s="4"/>
      <c r="LL111" s="4"/>
      <c r="LM111" s="4"/>
    </row>
    <row r="112">
      <c r="A112" s="3" t="s">
        <v>136</v>
      </c>
      <c r="B112" s="3" t="s">
        <v>158</v>
      </c>
      <c r="C112" s="3" t="s">
        <v>155</v>
      </c>
      <c r="D112" s="3" t="s">
        <v>156</v>
      </c>
      <c r="E112" s="3" t="s">
        <v>159</v>
      </c>
      <c r="F112" s="3" t="s">
        <v>159</v>
      </c>
      <c r="G112" s="3" t="s">
        <v>159</v>
      </c>
      <c r="H112" s="3" t="s">
        <v>159</v>
      </c>
      <c r="I112" s="3" t="s">
        <v>229</v>
      </c>
      <c r="J112" s="3" t="s">
        <v>228</v>
      </c>
      <c r="K112" s="4">
        <v>2791</v>
      </c>
      <c r="L112" s="4">
        <f>=ROUNDDOWN(39.3098591549296,0)</f>
      </c>
      <c r="M112" s="4"/>
      <c r="N112" s="5">
        <v>1</v>
      </c>
      <c r="O112" s="4"/>
      <c r="P112" s="4">
        <f>=ROUNDDOWN({0},0)</f>
      </c>
      <c r="Q112" s="4"/>
      <c r="R112" s="5"/>
      <c r="S112" s="4">
        <v>853</v>
      </c>
      <c r="T112" s="6">
        <v>5293.69</v>
      </c>
      <c r="U112" s="4">
        <v>1393</v>
      </c>
      <c r="V112" s="6">
        <v>8662.27</v>
      </c>
      <c r="W112" s="5">
        <v>-0.3877</v>
      </c>
      <c r="X112" s="5">
        <v>-0.3889</v>
      </c>
      <c r="Y112" s="4">
        <v>222</v>
      </c>
      <c r="Z112" s="6">
        <v>1454.75</v>
      </c>
      <c r="AA112" s="4">
        <v>532</v>
      </c>
      <c r="AB112" s="6">
        <v>3464.06</v>
      </c>
      <c r="AC112" s="5">
        <v>-0.5827</v>
      </c>
      <c r="AD112" s="5">
        <v>-0.58</v>
      </c>
      <c r="AE112" s="4">
        <v>81</v>
      </c>
      <c r="AF112" s="6">
        <v>507.09</v>
      </c>
      <c r="AG112" s="4">
        <v>14</v>
      </c>
      <c r="AH112" s="6">
        <v>88.13</v>
      </c>
      <c r="AI112" s="5">
        <v>4.7857</v>
      </c>
      <c r="AJ112" s="5">
        <v>4.7539</v>
      </c>
      <c r="AK112" s="4">
        <v>5</v>
      </c>
      <c r="AL112" s="6">
        <v>8.19</v>
      </c>
      <c r="AM112" s="4"/>
      <c r="AN112" s="6"/>
      <c r="AO112" s="5"/>
      <c r="AP112" s="5"/>
      <c r="AQ112" s="4">
        <v>16</v>
      </c>
      <c r="AR112" s="6">
        <v>105.92</v>
      </c>
      <c r="AS112" s="4"/>
      <c r="AT112" s="6"/>
      <c r="AU112" s="5"/>
      <c r="AV112" s="5"/>
      <c r="AW112" s="4">
        <v>162</v>
      </c>
      <c r="AX112" s="6">
        <v>1063.15</v>
      </c>
      <c r="AY112" s="4">
        <v>186</v>
      </c>
      <c r="AZ112" s="6">
        <v>1209.72</v>
      </c>
      <c r="BA112" s="5">
        <v>-0.129</v>
      </c>
      <c r="BB112" s="5">
        <v>-0.1212</v>
      </c>
      <c r="BC112" s="4">
        <v>130</v>
      </c>
      <c r="BD112" s="6">
        <v>823.16</v>
      </c>
      <c r="BE112" s="4">
        <v>254</v>
      </c>
      <c r="BF112" s="6">
        <v>1616.28</v>
      </c>
      <c r="BG112" s="5">
        <v>-0.4882</v>
      </c>
      <c r="BH112" s="5">
        <v>-0.4907</v>
      </c>
      <c r="BI112" s="4">
        <v>158</v>
      </c>
      <c r="BJ112" s="6">
        <v>824.32</v>
      </c>
      <c r="BK112" s="4">
        <v>247</v>
      </c>
      <c r="BL112" s="6">
        <v>1274.03</v>
      </c>
      <c r="BM112" s="5">
        <v>-0.3603</v>
      </c>
      <c r="BN112" s="5">
        <v>-0.353</v>
      </c>
      <c r="BO112" s="4">
        <v>43</v>
      </c>
      <c r="BP112" s="6">
        <v>234.52</v>
      </c>
      <c r="BQ112" s="4">
        <v>78</v>
      </c>
      <c r="BR112" s="6">
        <v>453.88</v>
      </c>
      <c r="BS112" s="5">
        <v>-0.4487</v>
      </c>
      <c r="BT112" s="5">
        <v>-0.4833</v>
      </c>
      <c r="BU112" s="4"/>
      <c r="BV112" s="6"/>
      <c r="BW112" s="4">
        <v>59</v>
      </c>
      <c r="BX112" s="6">
        <v>385.78</v>
      </c>
      <c r="BY112" s="5"/>
      <c r="BZ112" s="5"/>
      <c r="CA112" s="4">
        <v>18</v>
      </c>
      <c r="CB112" s="6">
        <v>161.31</v>
      </c>
      <c r="CC112" s="4">
        <v>3</v>
      </c>
      <c r="CD112" s="6">
        <v>25.83</v>
      </c>
      <c r="CE112" s="5">
        <v>5</v>
      </c>
      <c r="CF112" s="5">
        <v>5.2451</v>
      </c>
      <c r="CG112" s="4"/>
      <c r="CH112" s="6"/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>
        <v>11</v>
      </c>
      <c r="CT112" s="6">
        <v>67.55</v>
      </c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>
        <v>2</v>
      </c>
      <c r="DL112" s="6">
        <v>11.98</v>
      </c>
      <c r="DM112" s="4">
        <v>2</v>
      </c>
      <c r="DN112" s="6">
        <v>23.38</v>
      </c>
      <c r="DO112" s="5"/>
      <c r="DP112" s="5">
        <v>-0.4876</v>
      </c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>
        <v>5</v>
      </c>
      <c r="EJ112" s="6">
        <v>31.75</v>
      </c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>
        <v>17</v>
      </c>
      <c r="FV112" s="6">
        <v>115.13</v>
      </c>
      <c r="FW112" s="5"/>
      <c r="FX112" s="5"/>
      <c r="FY112" s="4"/>
      <c r="FZ112" s="6"/>
      <c r="GA112" s="4">
        <v>1</v>
      </c>
      <c r="GB112" s="6">
        <v>6.05</v>
      </c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  <c r="IA112" s="4"/>
      <c r="IB112" s="6"/>
      <c r="IC112" s="4"/>
      <c r="ID112" s="6"/>
      <c r="IE112" s="5"/>
      <c r="IF112" s="5"/>
      <c r="IG112" s="4"/>
      <c r="IH112" s="6"/>
      <c r="II112" s="4"/>
      <c r="IJ112" s="6"/>
      <c r="IK112" s="5"/>
      <c r="IL112" s="5"/>
      <c r="IM112" s="4"/>
      <c r="IN112" s="6"/>
      <c r="IO112" s="4"/>
      <c r="IP112" s="6"/>
      <c r="IQ112" s="5"/>
      <c r="IR112" s="5"/>
      <c r="IS112" s="4"/>
      <c r="IT112" s="6"/>
      <c r="IU112" s="4"/>
      <c r="IV112" s="6"/>
      <c r="IW112" s="5"/>
      <c r="IX112" s="5"/>
      <c r="IY112" s="4"/>
      <c r="IZ112" s="6"/>
      <c r="JA112" s="4"/>
      <c r="JB112" s="6"/>
      <c r="JC112" s="5"/>
      <c r="JD112" s="5"/>
      <c r="JE112" s="4"/>
      <c r="JF112" s="6"/>
      <c r="JG112" s="4"/>
      <c r="JH112" s="6"/>
      <c r="JI112" s="5"/>
      <c r="JJ112" s="5"/>
      <c r="JK112" s="4">
        <v>2699</v>
      </c>
      <c r="JL112" s="4"/>
      <c r="JM112" s="4"/>
      <c r="JN112" s="4"/>
      <c r="JO112" s="4">
        <v>92</v>
      </c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</row>
    <row r="113">
      <c r="A113" s="3" t="s">
        <v>136</v>
      </c>
      <c r="B113" s="3" t="s">
        <v>158</v>
      </c>
      <c r="C113" s="3" t="s">
        <v>155</v>
      </c>
      <c r="D113" s="3" t="s">
        <v>156</v>
      </c>
      <c r="E113" s="3" t="s">
        <v>159</v>
      </c>
      <c r="F113" s="3" t="s">
        <v>159</v>
      </c>
      <c r="G113" s="3" t="s">
        <v>159</v>
      </c>
      <c r="H113" s="3" t="s">
        <v>159</v>
      </c>
      <c r="I113" s="3" t="s">
        <v>238</v>
      </c>
      <c r="J113" s="3" t="s">
        <v>228</v>
      </c>
      <c r="K113" s="4">
        <v>2267</v>
      </c>
      <c r="L113" s="4">
        <f>=ROUNDDOWN(42.7735849056604,0)</f>
      </c>
      <c r="M113" s="4"/>
      <c r="N113" s="5">
        <v>1</v>
      </c>
      <c r="O113" s="4"/>
      <c r="P113" s="4">
        <f>=ROUNDDOWN({0},0)</f>
      </c>
      <c r="Q113" s="4"/>
      <c r="R113" s="5"/>
      <c r="S113" s="4">
        <v>657</v>
      </c>
      <c r="T113" s="6">
        <v>4033.14</v>
      </c>
      <c r="U113" s="4">
        <v>1023</v>
      </c>
      <c r="V113" s="6">
        <v>6453.65</v>
      </c>
      <c r="W113" s="5">
        <v>-0.3578</v>
      </c>
      <c r="X113" s="5">
        <v>-0.3751</v>
      </c>
      <c r="Y113" s="4">
        <v>184</v>
      </c>
      <c r="Z113" s="6">
        <v>1201.79</v>
      </c>
      <c r="AA113" s="4">
        <v>485</v>
      </c>
      <c r="AB113" s="6">
        <v>3189.99</v>
      </c>
      <c r="AC113" s="5">
        <v>-0.6206</v>
      </c>
      <c r="AD113" s="5">
        <v>-0.6233</v>
      </c>
      <c r="AE113" s="4">
        <v>48</v>
      </c>
      <c r="AF113" s="6">
        <v>296.55</v>
      </c>
      <c r="AG113" s="4">
        <v>13</v>
      </c>
      <c r="AH113" s="6">
        <v>83.62</v>
      </c>
      <c r="AI113" s="5">
        <v>2.6923</v>
      </c>
      <c r="AJ113" s="5">
        <v>2.5464</v>
      </c>
      <c r="AK113" s="4">
        <v>5</v>
      </c>
      <c r="AL113" s="6">
        <v>6.55</v>
      </c>
      <c r="AM113" s="4"/>
      <c r="AN113" s="6"/>
      <c r="AO113" s="5"/>
      <c r="AP113" s="5"/>
      <c r="AQ113" s="4"/>
      <c r="AR113" s="6"/>
      <c r="AS113" s="4"/>
      <c r="AT113" s="6"/>
      <c r="AU113" s="5"/>
      <c r="AV113" s="5"/>
      <c r="AW113" s="4">
        <v>118</v>
      </c>
      <c r="AX113" s="6">
        <v>777.92</v>
      </c>
      <c r="AY113" s="4">
        <v>106</v>
      </c>
      <c r="AZ113" s="6">
        <v>695.36</v>
      </c>
      <c r="BA113" s="5">
        <v>0.1132</v>
      </c>
      <c r="BB113" s="5">
        <v>0.1187</v>
      </c>
      <c r="BC113" s="4">
        <v>89</v>
      </c>
      <c r="BD113" s="6">
        <v>572.82</v>
      </c>
      <c r="BE113" s="4">
        <v>158</v>
      </c>
      <c r="BF113" s="6">
        <v>1018.12</v>
      </c>
      <c r="BG113" s="5">
        <v>-0.4367</v>
      </c>
      <c r="BH113" s="5">
        <v>-0.4374</v>
      </c>
      <c r="BI113" s="4">
        <v>141</v>
      </c>
      <c r="BJ113" s="6">
        <v>732.69</v>
      </c>
      <c r="BK113" s="4">
        <v>185</v>
      </c>
      <c r="BL113" s="6">
        <v>963.19</v>
      </c>
      <c r="BM113" s="5">
        <v>-0.2378</v>
      </c>
      <c r="BN113" s="5">
        <v>-0.2393</v>
      </c>
      <c r="BO113" s="4">
        <v>32</v>
      </c>
      <c r="BP113" s="6">
        <v>170.16</v>
      </c>
      <c r="BQ113" s="4">
        <v>18</v>
      </c>
      <c r="BR113" s="6">
        <v>106.84</v>
      </c>
      <c r="BS113" s="5">
        <v>0.7778</v>
      </c>
      <c r="BT113" s="5">
        <v>0.5927</v>
      </c>
      <c r="BU113" s="4"/>
      <c r="BV113" s="6"/>
      <c r="BW113" s="4">
        <v>47</v>
      </c>
      <c r="BX113" s="6">
        <v>311.17</v>
      </c>
      <c r="BY113" s="5"/>
      <c r="BZ113" s="5"/>
      <c r="CA113" s="4">
        <v>10</v>
      </c>
      <c r="CB113" s="6">
        <v>86.39</v>
      </c>
      <c r="CC113" s="4">
        <v>2</v>
      </c>
      <c r="CD113" s="6">
        <v>18.68</v>
      </c>
      <c r="CE113" s="5">
        <v>4</v>
      </c>
      <c r="CF113" s="5">
        <v>3.6247</v>
      </c>
      <c r="CG113" s="4"/>
      <c r="CH113" s="6"/>
      <c r="CI113" s="4"/>
      <c r="CJ113" s="6"/>
      <c r="CK113" s="5"/>
      <c r="CL113" s="5"/>
      <c r="CM113" s="4"/>
      <c r="CN113" s="6"/>
      <c r="CO113" s="4"/>
      <c r="CP113" s="6"/>
      <c r="CQ113" s="5"/>
      <c r="CR113" s="5"/>
      <c r="CS113" s="4">
        <v>28</v>
      </c>
      <c r="CT113" s="6">
        <v>175.4</v>
      </c>
      <c r="CU113" s="4"/>
      <c r="CV113" s="6"/>
      <c r="CW113" s="5"/>
      <c r="CX113" s="5"/>
      <c r="CY113" s="4"/>
      <c r="CZ113" s="6"/>
      <c r="DA113" s="4"/>
      <c r="DB113" s="6"/>
      <c r="DC113" s="5"/>
      <c r="DD113" s="5"/>
      <c r="DE113" s="4"/>
      <c r="DF113" s="6"/>
      <c r="DG113" s="4"/>
      <c r="DH113" s="6"/>
      <c r="DI113" s="5"/>
      <c r="DJ113" s="5"/>
      <c r="DK113" s="4">
        <v>1</v>
      </c>
      <c r="DL113" s="6">
        <v>5.99</v>
      </c>
      <c r="DM113" s="4">
        <v>1</v>
      </c>
      <c r="DN113" s="6">
        <v>11.99</v>
      </c>
      <c r="DO113" s="5"/>
      <c r="DP113" s="5">
        <v>-0.5004</v>
      </c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>
        <v>1</v>
      </c>
      <c r="EJ113" s="6">
        <v>6.88</v>
      </c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>
        <v>6</v>
      </c>
      <c r="FV113" s="6">
        <v>41.59</v>
      </c>
      <c r="FW113" s="5"/>
      <c r="FX113" s="5"/>
      <c r="FY113" s="4"/>
      <c r="FZ113" s="6"/>
      <c r="GA113" s="4">
        <v>2</v>
      </c>
      <c r="GB113" s="6">
        <v>13.1</v>
      </c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  <c r="IA113" s="4"/>
      <c r="IB113" s="6"/>
      <c r="IC113" s="4"/>
      <c r="ID113" s="6"/>
      <c r="IE113" s="5"/>
      <c r="IF113" s="5"/>
      <c r="IG113" s="4"/>
      <c r="IH113" s="6"/>
      <c r="II113" s="4"/>
      <c r="IJ113" s="6"/>
      <c r="IK113" s="5"/>
      <c r="IL113" s="5"/>
      <c r="IM113" s="4"/>
      <c r="IN113" s="6"/>
      <c r="IO113" s="4"/>
      <c r="IP113" s="6"/>
      <c r="IQ113" s="5"/>
      <c r="IR113" s="5"/>
      <c r="IS113" s="4"/>
      <c r="IT113" s="6"/>
      <c r="IU113" s="4"/>
      <c r="IV113" s="6"/>
      <c r="IW113" s="5"/>
      <c r="IX113" s="5"/>
      <c r="IY113" s="4"/>
      <c r="IZ113" s="6"/>
      <c r="JA113" s="4"/>
      <c r="JB113" s="6"/>
      <c r="JC113" s="5"/>
      <c r="JD113" s="5"/>
      <c r="JE113" s="4"/>
      <c r="JF113" s="6"/>
      <c r="JG113" s="4"/>
      <c r="JH113" s="6"/>
      <c r="JI113" s="5"/>
      <c r="JJ113" s="5"/>
      <c r="JK113" s="4">
        <v>2267</v>
      </c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</row>
    <row r="114">
      <c r="A114" s="3" t="s">
        <v>136</v>
      </c>
      <c r="B114" s="3" t="s">
        <v>158</v>
      </c>
      <c r="C114" s="3" t="s">
        <v>155</v>
      </c>
      <c r="D114" s="3" t="s">
        <v>156</v>
      </c>
      <c r="E114" s="3" t="s">
        <v>159</v>
      </c>
      <c r="F114" s="3" t="s">
        <v>159</v>
      </c>
      <c r="G114" s="3" t="s">
        <v>159</v>
      </c>
      <c r="H114" s="3" t="s">
        <v>159</v>
      </c>
      <c r="I114" s="3" t="s">
        <v>237</v>
      </c>
      <c r="J114" s="3" t="s">
        <v>241</v>
      </c>
      <c r="K114" s="4">
        <v>1592</v>
      </c>
      <c r="L114" s="4">
        <f>=ROUNDDOWN(44.2222222222222,0)</f>
      </c>
      <c r="M114" s="4"/>
      <c r="N114" s="5"/>
      <c r="O114" s="4"/>
      <c r="P114" s="4">
        <f>=ROUNDDOWN({0},0)</f>
      </c>
      <c r="Q114" s="4"/>
      <c r="R114" s="5"/>
      <c r="S114" s="4">
        <v>509</v>
      </c>
      <c r="T114" s="6">
        <v>3190.84</v>
      </c>
      <c r="U114" s="4">
        <v>530</v>
      </c>
      <c r="V114" s="6">
        <v>3069.92</v>
      </c>
      <c r="W114" s="5">
        <v>-0.0396</v>
      </c>
      <c r="X114" s="5">
        <v>0.0394</v>
      </c>
      <c r="Y114" s="4">
        <v>118</v>
      </c>
      <c r="Z114" s="6">
        <v>768.91</v>
      </c>
      <c r="AA114" s="4">
        <v>200</v>
      </c>
      <c r="AB114" s="6">
        <v>1137</v>
      </c>
      <c r="AC114" s="5">
        <v>-0.41</v>
      </c>
      <c r="AD114" s="5">
        <v>-0.3237</v>
      </c>
      <c r="AE114" s="4">
        <v>25</v>
      </c>
      <c r="AF114" s="6">
        <v>155.08</v>
      </c>
      <c r="AG114" s="4">
        <v>3</v>
      </c>
      <c r="AH114" s="6">
        <v>18.63</v>
      </c>
      <c r="AI114" s="5">
        <v>7.3333</v>
      </c>
      <c r="AJ114" s="5">
        <v>7.3242</v>
      </c>
      <c r="AK114" s="4">
        <v>1</v>
      </c>
      <c r="AL114" s="6">
        <v>1.41</v>
      </c>
      <c r="AM114" s="4"/>
      <c r="AN114" s="6"/>
      <c r="AO114" s="5"/>
      <c r="AP114" s="5"/>
      <c r="AQ114" s="4">
        <v>16</v>
      </c>
      <c r="AR114" s="6">
        <v>87.36</v>
      </c>
      <c r="AS114" s="4">
        <v>72</v>
      </c>
      <c r="AT114" s="6">
        <v>410.4</v>
      </c>
      <c r="AU114" s="5">
        <v>-0.7778</v>
      </c>
      <c r="AV114" s="5">
        <v>-0.7871</v>
      </c>
      <c r="AW114" s="4">
        <v>127</v>
      </c>
      <c r="AX114" s="6">
        <v>833.48</v>
      </c>
      <c r="AY114" s="4">
        <v>56</v>
      </c>
      <c r="AZ114" s="6">
        <v>363.55</v>
      </c>
      <c r="BA114" s="5">
        <v>1.2679</v>
      </c>
      <c r="BB114" s="5">
        <v>1.2926</v>
      </c>
      <c r="BC114" s="4">
        <v>99</v>
      </c>
      <c r="BD114" s="6">
        <v>634.5</v>
      </c>
      <c r="BE114" s="4">
        <v>55</v>
      </c>
      <c r="BF114" s="6">
        <v>347.3</v>
      </c>
      <c r="BG114" s="5">
        <v>0.8</v>
      </c>
      <c r="BH114" s="5">
        <v>0.827</v>
      </c>
      <c r="BI114" s="4">
        <v>77</v>
      </c>
      <c r="BJ114" s="6">
        <v>402.1</v>
      </c>
      <c r="BK114" s="4">
        <v>93</v>
      </c>
      <c r="BL114" s="6">
        <v>477.48</v>
      </c>
      <c r="BM114" s="5">
        <v>-0.172</v>
      </c>
      <c r="BN114" s="5">
        <v>-0.1579</v>
      </c>
      <c r="BO114" s="4">
        <v>23</v>
      </c>
      <c r="BP114" s="6">
        <v>129.33</v>
      </c>
      <c r="BQ114" s="4">
        <v>11</v>
      </c>
      <c r="BR114" s="6">
        <v>64.32</v>
      </c>
      <c r="BS114" s="5">
        <v>1.0909</v>
      </c>
      <c r="BT114" s="5">
        <v>1.0107</v>
      </c>
      <c r="BU114" s="4"/>
      <c r="BV114" s="6"/>
      <c r="BW114" s="4">
        <v>32</v>
      </c>
      <c r="BX114" s="6">
        <v>195.6</v>
      </c>
      <c r="BY114" s="5"/>
      <c r="BZ114" s="5"/>
      <c r="CA114" s="4">
        <v>16</v>
      </c>
      <c r="CB114" s="6">
        <v>135.58</v>
      </c>
      <c r="CC114" s="4">
        <v>5</v>
      </c>
      <c r="CD114" s="6">
        <v>35.17</v>
      </c>
      <c r="CE114" s="5">
        <v>2.2</v>
      </c>
      <c r="CF114" s="5">
        <v>2.855</v>
      </c>
      <c r="CG114" s="4">
        <v>1</v>
      </c>
      <c r="CH114" s="6">
        <v>5.46</v>
      </c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>
        <v>5</v>
      </c>
      <c r="CT114" s="6">
        <v>30.75</v>
      </c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>
        <v>1</v>
      </c>
      <c r="EJ114" s="6">
        <v>6.88</v>
      </c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>
        <v>3</v>
      </c>
      <c r="FV114" s="6">
        <v>20.47</v>
      </c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  <c r="IA114" s="4"/>
      <c r="IB114" s="6"/>
      <c r="IC114" s="4"/>
      <c r="ID114" s="6"/>
      <c r="IE114" s="5"/>
      <c r="IF114" s="5"/>
      <c r="IG114" s="4"/>
      <c r="IH114" s="6"/>
      <c r="II114" s="4"/>
      <c r="IJ114" s="6"/>
      <c r="IK114" s="5"/>
      <c r="IL114" s="5"/>
      <c r="IM114" s="4"/>
      <c r="IN114" s="6"/>
      <c r="IO114" s="4"/>
      <c r="IP114" s="6"/>
      <c r="IQ114" s="5"/>
      <c r="IR114" s="5"/>
      <c r="IS114" s="4"/>
      <c r="IT114" s="6"/>
      <c r="IU114" s="4"/>
      <c r="IV114" s="6"/>
      <c r="IW114" s="5"/>
      <c r="IX114" s="5"/>
      <c r="IY114" s="4"/>
      <c r="IZ114" s="6"/>
      <c r="JA114" s="4"/>
      <c r="JB114" s="6"/>
      <c r="JC114" s="5"/>
      <c r="JD114" s="5"/>
      <c r="JE114" s="4"/>
      <c r="JF114" s="6"/>
      <c r="JG114" s="4"/>
      <c r="JH114" s="6"/>
      <c r="JI114" s="5"/>
      <c r="JJ114" s="5"/>
      <c r="JK114" s="4">
        <v>1554</v>
      </c>
      <c r="JL114" s="4"/>
      <c r="JM114" s="4"/>
      <c r="JN114" s="4"/>
      <c r="JO114" s="4">
        <v>38</v>
      </c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</row>
    <row r="115">
      <c r="A115" s="3" t="s">
        <v>136</v>
      </c>
      <c r="B115" s="3" t="s">
        <v>158</v>
      </c>
      <c r="C115" s="3" t="s">
        <v>155</v>
      </c>
      <c r="D115" s="3" t="s">
        <v>156</v>
      </c>
      <c r="E115" s="3" t="s">
        <v>159</v>
      </c>
      <c r="F115" s="3" t="s">
        <v>159</v>
      </c>
      <c r="G115" s="3" t="s">
        <v>159</v>
      </c>
      <c r="H115" s="3" t="s">
        <v>159</v>
      </c>
      <c r="I115" s="3" t="s">
        <v>233</v>
      </c>
      <c r="J115" s="3" t="s">
        <v>241</v>
      </c>
      <c r="K115" s="4">
        <v>1564</v>
      </c>
      <c r="L115" s="4">
        <f>=ROUNDDOWN(48.875,0)</f>
      </c>
      <c r="M115" s="4"/>
      <c r="N115" s="5"/>
      <c r="O115" s="4"/>
      <c r="P115" s="4">
        <f>=ROUNDDOWN({0},0)</f>
      </c>
      <c r="Q115" s="4"/>
      <c r="R115" s="5"/>
      <c r="S115" s="4">
        <v>500</v>
      </c>
      <c r="T115" s="6">
        <v>3128.86</v>
      </c>
      <c r="U115" s="4">
        <v>553</v>
      </c>
      <c r="V115" s="6">
        <v>3202.77</v>
      </c>
      <c r="W115" s="5">
        <v>-0.0958</v>
      </c>
      <c r="X115" s="5">
        <v>-0.0231</v>
      </c>
      <c r="Y115" s="4">
        <v>97</v>
      </c>
      <c r="Z115" s="6">
        <v>632.38</v>
      </c>
      <c r="AA115" s="4">
        <v>125</v>
      </c>
      <c r="AB115" s="6">
        <v>716.25</v>
      </c>
      <c r="AC115" s="5">
        <v>-0.224</v>
      </c>
      <c r="AD115" s="5">
        <v>-0.1171</v>
      </c>
      <c r="AE115" s="4">
        <v>25</v>
      </c>
      <c r="AF115" s="6">
        <v>156.61</v>
      </c>
      <c r="AG115" s="4">
        <v>5</v>
      </c>
      <c r="AH115" s="6">
        <v>30.71</v>
      </c>
      <c r="AI115" s="5">
        <v>4</v>
      </c>
      <c r="AJ115" s="5">
        <v>4.0996</v>
      </c>
      <c r="AK115" s="4">
        <v>7</v>
      </c>
      <c r="AL115" s="6">
        <v>60.48</v>
      </c>
      <c r="AM115" s="4"/>
      <c r="AN115" s="6"/>
      <c r="AO115" s="5"/>
      <c r="AP115" s="5"/>
      <c r="AQ115" s="4">
        <v>24</v>
      </c>
      <c r="AR115" s="6">
        <v>139.68</v>
      </c>
      <c r="AS115" s="4">
        <v>16</v>
      </c>
      <c r="AT115" s="6">
        <v>96</v>
      </c>
      <c r="AU115" s="5">
        <v>0.5</v>
      </c>
      <c r="AV115" s="5">
        <v>0.455</v>
      </c>
      <c r="AW115" s="4">
        <v>144</v>
      </c>
      <c r="AX115" s="6">
        <v>948.85</v>
      </c>
      <c r="AY115" s="4">
        <v>73</v>
      </c>
      <c r="AZ115" s="6">
        <v>472.56</v>
      </c>
      <c r="BA115" s="5">
        <v>0.9726</v>
      </c>
      <c r="BB115" s="5">
        <v>1.0079</v>
      </c>
      <c r="BC115" s="4">
        <v>71</v>
      </c>
      <c r="BD115" s="6">
        <v>462.94</v>
      </c>
      <c r="BE115" s="4">
        <v>95</v>
      </c>
      <c r="BF115" s="6">
        <v>602.86</v>
      </c>
      <c r="BG115" s="5">
        <v>-0.2526</v>
      </c>
      <c r="BH115" s="5">
        <v>-0.2321</v>
      </c>
      <c r="BI115" s="4">
        <v>94</v>
      </c>
      <c r="BJ115" s="6">
        <v>493.22</v>
      </c>
      <c r="BK115" s="4">
        <v>203</v>
      </c>
      <c r="BL115" s="6">
        <v>1045.06</v>
      </c>
      <c r="BM115" s="5">
        <v>-0.5369</v>
      </c>
      <c r="BN115" s="5">
        <v>-0.528</v>
      </c>
      <c r="BO115" s="4">
        <v>6</v>
      </c>
      <c r="BP115" s="6">
        <v>32.69</v>
      </c>
      <c r="BQ115" s="4">
        <v>9</v>
      </c>
      <c r="BR115" s="6">
        <v>53.62</v>
      </c>
      <c r="BS115" s="5">
        <v>-0.3333</v>
      </c>
      <c r="BT115" s="5">
        <v>-0.3903</v>
      </c>
      <c r="BU115" s="4"/>
      <c r="BV115" s="6"/>
      <c r="BW115" s="4">
        <v>14</v>
      </c>
      <c r="BX115" s="6">
        <v>87.7</v>
      </c>
      <c r="BY115" s="5"/>
      <c r="BZ115" s="5"/>
      <c r="CA115" s="4">
        <v>3</v>
      </c>
      <c r="CB115" s="6">
        <v>26.52</v>
      </c>
      <c r="CC115" s="4">
        <v>6</v>
      </c>
      <c r="CD115" s="6">
        <v>52.91</v>
      </c>
      <c r="CE115" s="5">
        <v>-0.5</v>
      </c>
      <c r="CF115" s="5">
        <v>-0.4988</v>
      </c>
      <c r="CG115" s="4">
        <v>1</v>
      </c>
      <c r="CH115" s="6">
        <v>6</v>
      </c>
      <c r="CI115" s="4">
        <v>1</v>
      </c>
      <c r="CJ115" s="6">
        <v>6</v>
      </c>
      <c r="CK115" s="5"/>
      <c r="CL115" s="5"/>
      <c r="CM115" s="4"/>
      <c r="CN115" s="6"/>
      <c r="CO115" s="4"/>
      <c r="CP115" s="6"/>
      <c r="CQ115" s="5"/>
      <c r="CR115" s="5"/>
      <c r="CS115" s="4">
        <v>24</v>
      </c>
      <c r="CT115" s="6">
        <v>146.7</v>
      </c>
      <c r="CU115" s="4"/>
      <c r="CV115" s="6"/>
      <c r="CW115" s="5"/>
      <c r="CX115" s="5"/>
      <c r="CY115" s="4">
        <v>2</v>
      </c>
      <c r="CZ115" s="6">
        <v>10.4</v>
      </c>
      <c r="DA115" s="4">
        <v>1</v>
      </c>
      <c r="DB115" s="6">
        <v>5.2</v>
      </c>
      <c r="DC115" s="5">
        <v>1</v>
      </c>
      <c r="DD115" s="5">
        <v>1</v>
      </c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>
        <v>1</v>
      </c>
      <c r="EJ115" s="6">
        <v>6.35</v>
      </c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>
        <v>1</v>
      </c>
      <c r="EV115" s="6">
        <v>6.04</v>
      </c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>
        <v>5</v>
      </c>
      <c r="FV115" s="6">
        <v>33.9</v>
      </c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  <c r="IA115" s="4"/>
      <c r="IB115" s="6"/>
      <c r="IC115" s="4"/>
      <c r="ID115" s="6"/>
      <c r="IE115" s="5"/>
      <c r="IF115" s="5"/>
      <c r="IG115" s="4"/>
      <c r="IH115" s="6"/>
      <c r="II115" s="4"/>
      <c r="IJ115" s="6"/>
      <c r="IK115" s="5"/>
      <c r="IL115" s="5"/>
      <c r="IM115" s="4"/>
      <c r="IN115" s="6"/>
      <c r="IO115" s="4"/>
      <c r="IP115" s="6"/>
      <c r="IQ115" s="5"/>
      <c r="IR115" s="5"/>
      <c r="IS115" s="4"/>
      <c r="IT115" s="6"/>
      <c r="IU115" s="4"/>
      <c r="IV115" s="6"/>
      <c r="IW115" s="5"/>
      <c r="IX115" s="5"/>
      <c r="IY115" s="4"/>
      <c r="IZ115" s="6"/>
      <c r="JA115" s="4"/>
      <c r="JB115" s="6"/>
      <c r="JC115" s="5"/>
      <c r="JD115" s="5"/>
      <c r="JE115" s="4"/>
      <c r="JF115" s="6"/>
      <c r="JG115" s="4"/>
      <c r="JH115" s="6"/>
      <c r="JI115" s="5"/>
      <c r="JJ115" s="5"/>
      <c r="JK115" s="4">
        <v>1564</v>
      </c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</row>
    <row r="116">
      <c r="A116" s="3" t="s">
        <v>136</v>
      </c>
      <c r="B116" s="3" t="s">
        <v>158</v>
      </c>
      <c r="C116" s="3" t="s">
        <v>155</v>
      </c>
      <c r="D116" s="3" t="s">
        <v>156</v>
      </c>
      <c r="E116" s="3" t="s">
        <v>159</v>
      </c>
      <c r="F116" s="3" t="s">
        <v>159</v>
      </c>
      <c r="G116" s="3" t="s">
        <v>159</v>
      </c>
      <c r="H116" s="3" t="s">
        <v>159</v>
      </c>
      <c r="I116" s="3" t="s">
        <v>263</v>
      </c>
      <c r="J116" s="3" t="s">
        <v>228</v>
      </c>
      <c r="K116" s="4">
        <v>524</v>
      </c>
      <c r="L116" s="4">
        <f>=ROUNDDOWN(16.375,0)</f>
      </c>
      <c r="M116" s="4">
        <v>410</v>
      </c>
      <c r="N116" s="5">
        <v>1</v>
      </c>
      <c r="O116" s="4"/>
      <c r="P116" s="4">
        <f>=ROUNDDOWN({0},0)</f>
      </c>
      <c r="Q116" s="4"/>
      <c r="R116" s="5"/>
      <c r="S116" s="4">
        <v>455</v>
      </c>
      <c r="T116" s="6">
        <v>2926.1</v>
      </c>
      <c r="U116" s="4">
        <v>74</v>
      </c>
      <c r="V116" s="6">
        <v>395.53</v>
      </c>
      <c r="W116" s="5">
        <v>5.1486</v>
      </c>
      <c r="X116" s="5">
        <v>6.3979</v>
      </c>
      <c r="Y116" s="4">
        <v>91</v>
      </c>
      <c r="Z116" s="6">
        <v>595.87</v>
      </c>
      <c r="AA116" s="4">
        <v>1</v>
      </c>
      <c r="AB116" s="6">
        <v>6.35</v>
      </c>
      <c r="AC116" s="5">
        <v>90</v>
      </c>
      <c r="AD116" s="5">
        <v>92.8378</v>
      </c>
      <c r="AE116" s="4">
        <v>45</v>
      </c>
      <c r="AF116" s="6">
        <v>284.55</v>
      </c>
      <c r="AG116" s="4">
        <v>3</v>
      </c>
      <c r="AH116" s="6">
        <v>18.12</v>
      </c>
      <c r="AI116" s="5">
        <v>14</v>
      </c>
      <c r="AJ116" s="5">
        <v>14.7036</v>
      </c>
      <c r="AK116" s="4">
        <v>8</v>
      </c>
      <c r="AL116" s="6">
        <v>39.63</v>
      </c>
      <c r="AM116" s="4"/>
      <c r="AN116" s="6"/>
      <c r="AO116" s="5"/>
      <c r="AP116" s="5"/>
      <c r="AQ116" s="4">
        <v>64</v>
      </c>
      <c r="AR116" s="6">
        <v>450.56</v>
      </c>
      <c r="AS116" s="4"/>
      <c r="AT116" s="6"/>
      <c r="AU116" s="5"/>
      <c r="AV116" s="5"/>
      <c r="AW116" s="4">
        <v>90</v>
      </c>
      <c r="AX116" s="6">
        <v>589.52</v>
      </c>
      <c r="AY116" s="4"/>
      <c r="AZ116" s="6"/>
      <c r="BA116" s="5"/>
      <c r="BB116" s="5"/>
      <c r="BC116" s="4">
        <v>73</v>
      </c>
      <c r="BD116" s="6">
        <v>479.45</v>
      </c>
      <c r="BE116" s="4"/>
      <c r="BF116" s="6"/>
      <c r="BG116" s="5"/>
      <c r="BH116" s="5"/>
      <c r="BI116" s="4">
        <v>53</v>
      </c>
      <c r="BJ116" s="6">
        <v>278.83</v>
      </c>
      <c r="BK116" s="4">
        <v>69</v>
      </c>
      <c r="BL116" s="6">
        <v>361.35</v>
      </c>
      <c r="BM116" s="5">
        <v>-0.2319</v>
      </c>
      <c r="BN116" s="5">
        <v>-0.2284</v>
      </c>
      <c r="BO116" s="4">
        <v>17</v>
      </c>
      <c r="BP116" s="6">
        <v>103.29</v>
      </c>
      <c r="BQ116" s="4"/>
      <c r="BR116" s="6"/>
      <c r="BS116" s="5"/>
      <c r="BT116" s="5"/>
      <c r="BU116" s="4"/>
      <c r="BV116" s="6"/>
      <c r="BW116" s="4"/>
      <c r="BX116" s="6"/>
      <c r="BY116" s="5"/>
      <c r="BZ116" s="5"/>
      <c r="CA116" s="4">
        <v>8</v>
      </c>
      <c r="CB116" s="6">
        <v>63.58</v>
      </c>
      <c r="CC116" s="4">
        <v>1</v>
      </c>
      <c r="CD116" s="6">
        <v>9.71</v>
      </c>
      <c r="CE116" s="5">
        <v>7</v>
      </c>
      <c r="CF116" s="5">
        <v>5.5479</v>
      </c>
      <c r="CG116" s="4">
        <v>5</v>
      </c>
      <c r="CH116" s="6">
        <v>34.78</v>
      </c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/>
      <c r="DB116" s="6"/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>
        <v>1</v>
      </c>
      <c r="EV116" s="6">
        <v>6.04</v>
      </c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  <c r="IA116" s="4"/>
      <c r="IB116" s="6"/>
      <c r="IC116" s="4"/>
      <c r="ID116" s="6"/>
      <c r="IE116" s="5"/>
      <c r="IF116" s="5"/>
      <c r="IG116" s="4"/>
      <c r="IH116" s="6"/>
      <c r="II116" s="4"/>
      <c r="IJ116" s="6"/>
      <c r="IK116" s="5"/>
      <c r="IL116" s="5"/>
      <c r="IM116" s="4"/>
      <c r="IN116" s="6"/>
      <c r="IO116" s="4"/>
      <c r="IP116" s="6"/>
      <c r="IQ116" s="5"/>
      <c r="IR116" s="5"/>
      <c r="IS116" s="4"/>
      <c r="IT116" s="6"/>
      <c r="IU116" s="4"/>
      <c r="IV116" s="6"/>
      <c r="IW116" s="5"/>
      <c r="IX116" s="5"/>
      <c r="IY116" s="4"/>
      <c r="IZ116" s="6"/>
      <c r="JA116" s="4"/>
      <c r="JB116" s="6"/>
      <c r="JC116" s="5"/>
      <c r="JD116" s="5"/>
      <c r="JE116" s="4"/>
      <c r="JF116" s="6"/>
      <c r="JG116" s="4"/>
      <c r="JH116" s="6"/>
      <c r="JI116" s="5"/>
      <c r="JJ116" s="5"/>
      <c r="JK116" s="4">
        <v>524</v>
      </c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>
        <v>200</v>
      </c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>
        <v>210</v>
      </c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</row>
    <row r="117">
      <c r="A117" s="3" t="s">
        <v>136</v>
      </c>
      <c r="B117" s="3" t="s">
        <v>158</v>
      </c>
      <c r="C117" s="3" t="s">
        <v>155</v>
      </c>
      <c r="D117" s="3" t="s">
        <v>156</v>
      </c>
      <c r="E117" s="3" t="s">
        <v>159</v>
      </c>
      <c r="F117" s="3" t="s">
        <v>159</v>
      </c>
      <c r="G117" s="3" t="s">
        <v>159</v>
      </c>
      <c r="H117" s="3" t="s">
        <v>159</v>
      </c>
      <c r="I117" s="3" t="s">
        <v>262</v>
      </c>
      <c r="J117" s="3" t="s">
        <v>228</v>
      </c>
      <c r="K117" s="4">
        <v>738</v>
      </c>
      <c r="L117" s="4">
        <f>=ROUNDDOWN(26.3571428571429,0)</f>
      </c>
      <c r="M117" s="4">
        <v>240</v>
      </c>
      <c r="N117" s="5">
        <v>1</v>
      </c>
      <c r="O117" s="4"/>
      <c r="P117" s="4">
        <f>=ROUNDDOWN({0},0)</f>
      </c>
      <c r="Q117" s="4"/>
      <c r="R117" s="5"/>
      <c r="S117" s="4">
        <v>359</v>
      </c>
      <c r="T117" s="6">
        <v>2300.34</v>
      </c>
      <c r="U117" s="4">
        <v>54</v>
      </c>
      <c r="V117" s="6">
        <v>282.63</v>
      </c>
      <c r="W117" s="5">
        <v>5.6481</v>
      </c>
      <c r="X117" s="5">
        <v>7.1391</v>
      </c>
      <c r="Y117" s="4">
        <v>84</v>
      </c>
      <c r="Z117" s="6">
        <v>546.12</v>
      </c>
      <c r="AA117" s="4">
        <v>1</v>
      </c>
      <c r="AB117" s="6">
        <v>6.35</v>
      </c>
      <c r="AC117" s="5">
        <v>83</v>
      </c>
      <c r="AD117" s="5">
        <v>85.0031</v>
      </c>
      <c r="AE117" s="4">
        <v>31</v>
      </c>
      <c r="AF117" s="6">
        <v>195.91</v>
      </c>
      <c r="AG117" s="4"/>
      <c r="AH117" s="6"/>
      <c r="AI117" s="5"/>
      <c r="AJ117" s="5"/>
      <c r="AK117" s="4">
        <v>6</v>
      </c>
      <c r="AL117" s="6">
        <v>29.41</v>
      </c>
      <c r="AM117" s="4"/>
      <c r="AN117" s="6"/>
      <c r="AO117" s="5"/>
      <c r="AP117" s="5"/>
      <c r="AQ117" s="4">
        <v>64</v>
      </c>
      <c r="AR117" s="6">
        <v>428.16</v>
      </c>
      <c r="AS117" s="4"/>
      <c r="AT117" s="6"/>
      <c r="AU117" s="5"/>
      <c r="AV117" s="5"/>
      <c r="AW117" s="4">
        <v>42</v>
      </c>
      <c r="AX117" s="6">
        <v>277.3</v>
      </c>
      <c r="AY117" s="4"/>
      <c r="AZ117" s="6"/>
      <c r="BA117" s="5"/>
      <c r="BB117" s="5"/>
      <c r="BC117" s="4">
        <v>45</v>
      </c>
      <c r="BD117" s="6">
        <v>292.11</v>
      </c>
      <c r="BE117" s="4"/>
      <c r="BF117" s="6"/>
      <c r="BG117" s="5"/>
      <c r="BH117" s="5"/>
      <c r="BI117" s="4">
        <v>55</v>
      </c>
      <c r="BJ117" s="6">
        <v>285.32</v>
      </c>
      <c r="BK117" s="4">
        <v>53</v>
      </c>
      <c r="BL117" s="6">
        <v>276.28</v>
      </c>
      <c r="BM117" s="5">
        <v>0.0377</v>
      </c>
      <c r="BN117" s="5">
        <v>0.0327</v>
      </c>
      <c r="BO117" s="4">
        <v>8</v>
      </c>
      <c r="BP117" s="6">
        <v>44.72</v>
      </c>
      <c r="BQ117" s="4"/>
      <c r="BR117" s="6"/>
      <c r="BS117" s="5"/>
      <c r="BT117" s="5"/>
      <c r="BU117" s="4"/>
      <c r="BV117" s="6"/>
      <c r="BW117" s="4"/>
      <c r="BX117" s="6"/>
      <c r="BY117" s="5"/>
      <c r="BZ117" s="5"/>
      <c r="CA117" s="4">
        <v>19</v>
      </c>
      <c r="CB117" s="6">
        <v>167.48</v>
      </c>
      <c r="CC117" s="4"/>
      <c r="CD117" s="6"/>
      <c r="CE117" s="5"/>
      <c r="CF117" s="5"/>
      <c r="CG117" s="4">
        <v>1</v>
      </c>
      <c r="CH117" s="6">
        <v>6.62</v>
      </c>
      <c r="CI117" s="4"/>
      <c r="CJ117" s="6"/>
      <c r="CK117" s="5"/>
      <c r="CL117" s="5"/>
      <c r="CM117" s="4"/>
      <c r="CN117" s="6"/>
      <c r="CO117" s="4"/>
      <c r="CP117" s="6"/>
      <c r="CQ117" s="5"/>
      <c r="CR117" s="5"/>
      <c r="CS117" s="4"/>
      <c r="CT117" s="6"/>
      <c r="CU117" s="4"/>
      <c r="CV117" s="6"/>
      <c r="CW117" s="5"/>
      <c r="CX117" s="5"/>
      <c r="CY117" s="4"/>
      <c r="CZ117" s="6"/>
      <c r="DA117" s="4"/>
      <c r="DB117" s="6"/>
      <c r="DC117" s="5"/>
      <c r="DD117" s="5"/>
      <c r="DE117" s="4"/>
      <c r="DF117" s="6"/>
      <c r="DG117" s="4"/>
      <c r="DH117" s="6"/>
      <c r="DI117" s="5"/>
      <c r="DJ117" s="5"/>
      <c r="DK117" s="4"/>
      <c r="DL117" s="6"/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/>
      <c r="DX117" s="6"/>
      <c r="DY117" s="4"/>
      <c r="DZ117" s="6"/>
      <c r="EA117" s="5"/>
      <c r="EB117" s="5"/>
      <c r="EC117" s="4"/>
      <c r="ED117" s="6"/>
      <c r="EE117" s="4"/>
      <c r="EF117" s="6"/>
      <c r="EG117" s="5"/>
      <c r="EH117" s="5"/>
      <c r="EI117" s="4">
        <v>3</v>
      </c>
      <c r="EJ117" s="6">
        <v>20.64</v>
      </c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>
        <v>1</v>
      </c>
      <c r="EV117" s="6">
        <v>6.55</v>
      </c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  <c r="IA117" s="4"/>
      <c r="IB117" s="6"/>
      <c r="IC117" s="4"/>
      <c r="ID117" s="6"/>
      <c r="IE117" s="5"/>
      <c r="IF117" s="5"/>
      <c r="IG117" s="4"/>
      <c r="IH117" s="6"/>
      <c r="II117" s="4"/>
      <c r="IJ117" s="6"/>
      <c r="IK117" s="5"/>
      <c r="IL117" s="5"/>
      <c r="IM117" s="4"/>
      <c r="IN117" s="6"/>
      <c r="IO117" s="4"/>
      <c r="IP117" s="6"/>
      <c r="IQ117" s="5"/>
      <c r="IR117" s="5"/>
      <c r="IS117" s="4"/>
      <c r="IT117" s="6"/>
      <c r="IU117" s="4"/>
      <c r="IV117" s="6"/>
      <c r="IW117" s="5"/>
      <c r="IX117" s="5"/>
      <c r="IY117" s="4"/>
      <c r="IZ117" s="6"/>
      <c r="JA117" s="4"/>
      <c r="JB117" s="6"/>
      <c r="JC117" s="5"/>
      <c r="JD117" s="5"/>
      <c r="JE117" s="4"/>
      <c r="JF117" s="6"/>
      <c r="JG117" s="4"/>
      <c r="JH117" s="6"/>
      <c r="JI117" s="5"/>
      <c r="JJ117" s="5"/>
      <c r="JK117" s="4">
        <v>738</v>
      </c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>
        <v>240</v>
      </c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</row>
    <row r="118">
      <c r="A118" s="3" t="s">
        <v>136</v>
      </c>
      <c r="B118" s="3" t="s">
        <v>158</v>
      </c>
      <c r="C118" s="3" t="s">
        <v>155</v>
      </c>
      <c r="D118" s="3" t="s">
        <v>156</v>
      </c>
      <c r="E118" s="3" t="s">
        <v>159</v>
      </c>
      <c r="F118" s="3" t="s">
        <v>159</v>
      </c>
      <c r="G118" s="3" t="s">
        <v>159</v>
      </c>
      <c r="H118" s="3" t="s">
        <v>159</v>
      </c>
      <c r="I118" s="3" t="s">
        <v>260</v>
      </c>
      <c r="J118" s="3" t="s">
        <v>241</v>
      </c>
      <c r="K118" s="4">
        <v>1449</v>
      </c>
      <c r="L118" s="4">
        <f>=ROUNDDOWN(67.7102803738318,0)</f>
      </c>
      <c r="M118" s="4">
        <v>40</v>
      </c>
      <c r="N118" s="5"/>
      <c r="O118" s="4"/>
      <c r="P118" s="4">
        <f>=ROUNDDOWN({0},0)</f>
      </c>
      <c r="Q118" s="4"/>
      <c r="R118" s="5"/>
      <c r="S118" s="4">
        <v>317</v>
      </c>
      <c r="T118" s="6">
        <v>1981.86</v>
      </c>
      <c r="U118" s="4">
        <v>254</v>
      </c>
      <c r="V118" s="6">
        <v>1503.67</v>
      </c>
      <c r="W118" s="5">
        <v>0.248</v>
      </c>
      <c r="X118" s="5">
        <v>0.318</v>
      </c>
      <c r="Y118" s="4">
        <v>104</v>
      </c>
      <c r="Z118" s="6">
        <v>683.72</v>
      </c>
      <c r="AA118" s="4">
        <v>96</v>
      </c>
      <c r="AB118" s="6">
        <v>562.06</v>
      </c>
      <c r="AC118" s="5">
        <v>0.0833</v>
      </c>
      <c r="AD118" s="5">
        <v>0.2165</v>
      </c>
      <c r="AE118" s="4">
        <v>21</v>
      </c>
      <c r="AF118" s="6">
        <v>131.43</v>
      </c>
      <c r="AG118" s="4">
        <v>3</v>
      </c>
      <c r="AH118" s="6">
        <v>19.65</v>
      </c>
      <c r="AI118" s="5">
        <v>6</v>
      </c>
      <c r="AJ118" s="5">
        <v>5.6885</v>
      </c>
      <c r="AK118" s="4">
        <v>4</v>
      </c>
      <c r="AL118" s="6">
        <v>6.88</v>
      </c>
      <c r="AM118" s="4"/>
      <c r="AN118" s="6"/>
      <c r="AO118" s="5"/>
      <c r="AP118" s="5"/>
      <c r="AQ118" s="4"/>
      <c r="AR118" s="6"/>
      <c r="AS118" s="4">
        <v>24</v>
      </c>
      <c r="AT118" s="6">
        <v>139.68</v>
      </c>
      <c r="AU118" s="5"/>
      <c r="AV118" s="5"/>
      <c r="AW118" s="4">
        <v>87</v>
      </c>
      <c r="AX118" s="6">
        <v>573.65</v>
      </c>
      <c r="AY118" s="4">
        <v>35</v>
      </c>
      <c r="AZ118" s="6">
        <v>229.67</v>
      </c>
      <c r="BA118" s="5">
        <v>1.4857</v>
      </c>
      <c r="BB118" s="5">
        <v>1.4977</v>
      </c>
      <c r="BC118" s="4">
        <v>17</v>
      </c>
      <c r="BD118" s="6">
        <v>109.9</v>
      </c>
      <c r="BE118" s="4">
        <v>20</v>
      </c>
      <c r="BF118" s="6">
        <v>130.12</v>
      </c>
      <c r="BG118" s="5">
        <v>-0.15</v>
      </c>
      <c r="BH118" s="5">
        <v>-0.1554</v>
      </c>
      <c r="BI118" s="4">
        <v>51</v>
      </c>
      <c r="BJ118" s="6">
        <v>266.22</v>
      </c>
      <c r="BK118" s="4">
        <v>58</v>
      </c>
      <c r="BL118" s="6">
        <v>296.33</v>
      </c>
      <c r="BM118" s="5">
        <v>-0.1207</v>
      </c>
      <c r="BN118" s="5">
        <v>-0.1016</v>
      </c>
      <c r="BO118" s="4">
        <v>10</v>
      </c>
      <c r="BP118" s="6">
        <v>54.85</v>
      </c>
      <c r="BQ118" s="4">
        <v>3</v>
      </c>
      <c r="BR118" s="6">
        <v>18.24</v>
      </c>
      <c r="BS118" s="5">
        <v>2.3333</v>
      </c>
      <c r="BT118" s="5">
        <v>2.0071</v>
      </c>
      <c r="BU118" s="4"/>
      <c r="BV118" s="6"/>
      <c r="BW118" s="4">
        <v>5</v>
      </c>
      <c r="BX118" s="6">
        <v>31.75</v>
      </c>
      <c r="BY118" s="5"/>
      <c r="BZ118" s="5"/>
      <c r="CA118" s="4">
        <v>4</v>
      </c>
      <c r="CB118" s="6">
        <v>36.46</v>
      </c>
      <c r="CC118" s="4">
        <v>4</v>
      </c>
      <c r="CD118" s="6">
        <v>35.88</v>
      </c>
      <c r="CE118" s="5"/>
      <c r="CF118" s="5">
        <v>0.0162</v>
      </c>
      <c r="CG118" s="4"/>
      <c r="CH118" s="6"/>
      <c r="CI118" s="4"/>
      <c r="CJ118" s="6"/>
      <c r="CK118" s="5"/>
      <c r="CL118" s="5"/>
      <c r="CM118" s="4"/>
      <c r="CN118" s="6"/>
      <c r="CO118" s="4"/>
      <c r="CP118" s="6"/>
      <c r="CQ118" s="5"/>
      <c r="CR118" s="5"/>
      <c r="CS118" s="4">
        <v>17</v>
      </c>
      <c r="CT118" s="6">
        <v>105.85</v>
      </c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>
        <v>1</v>
      </c>
      <c r="EJ118" s="6">
        <v>6.35</v>
      </c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>
        <v>1</v>
      </c>
      <c r="EV118" s="6">
        <v>6.55</v>
      </c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/>
      <c r="FN118" s="6"/>
      <c r="FO118" s="4"/>
      <c r="FP118" s="6"/>
      <c r="FQ118" s="5"/>
      <c r="FR118" s="5"/>
      <c r="FS118" s="4"/>
      <c r="FT118" s="6"/>
      <c r="FU118" s="4">
        <v>6</v>
      </c>
      <c r="FV118" s="6">
        <v>40.29</v>
      </c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  <c r="IA118" s="4"/>
      <c r="IB118" s="6"/>
      <c r="IC118" s="4"/>
      <c r="ID118" s="6"/>
      <c r="IE118" s="5"/>
      <c r="IF118" s="5"/>
      <c r="IG118" s="4"/>
      <c r="IH118" s="6"/>
      <c r="II118" s="4"/>
      <c r="IJ118" s="6"/>
      <c r="IK118" s="5"/>
      <c r="IL118" s="5"/>
      <c r="IM118" s="4"/>
      <c r="IN118" s="6"/>
      <c r="IO118" s="4"/>
      <c r="IP118" s="6"/>
      <c r="IQ118" s="5"/>
      <c r="IR118" s="5"/>
      <c r="IS118" s="4"/>
      <c r="IT118" s="6"/>
      <c r="IU118" s="4"/>
      <c r="IV118" s="6"/>
      <c r="IW118" s="5"/>
      <c r="IX118" s="5"/>
      <c r="IY118" s="4"/>
      <c r="IZ118" s="6"/>
      <c r="JA118" s="4"/>
      <c r="JB118" s="6"/>
      <c r="JC118" s="5"/>
      <c r="JD118" s="5"/>
      <c r="JE118" s="4"/>
      <c r="JF118" s="6"/>
      <c r="JG118" s="4"/>
      <c r="JH118" s="6"/>
      <c r="JI118" s="5"/>
      <c r="JJ118" s="5"/>
      <c r="JK118" s="4">
        <v>913</v>
      </c>
      <c r="JL118" s="4"/>
      <c r="JM118" s="4"/>
      <c r="JN118" s="4"/>
      <c r="JO118" s="4">
        <v>536</v>
      </c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>
        <v>40</v>
      </c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</row>
    <row r="119">
      <c r="A119" s="3" t="s">
        <v>136</v>
      </c>
      <c r="B119" s="3" t="s">
        <v>164</v>
      </c>
      <c r="C119" s="3" t="s">
        <v>138</v>
      </c>
      <c r="D119" s="3" t="s">
        <v>139</v>
      </c>
      <c r="E119" s="3" t="s">
        <v>165</v>
      </c>
      <c r="F119" s="3" t="s">
        <v>165</v>
      </c>
      <c r="G119" s="3" t="s">
        <v>165</v>
      </c>
      <c r="H119" s="3" t="s">
        <v>141</v>
      </c>
      <c r="I119" s="3" t="s">
        <v>227</v>
      </c>
      <c r="J119" s="3" t="s">
        <v>242</v>
      </c>
      <c r="K119" s="4">
        <v>1342</v>
      </c>
      <c r="L119" s="4">
        <f>=ROUNDDOWN(5.82212581344902,0)</f>
      </c>
      <c r="M119" s="4">
        <v>4784</v>
      </c>
      <c r="N119" s="5">
        <v>1</v>
      </c>
      <c r="O119" s="4"/>
      <c r="P119" s="4">
        <f>=ROUNDDOWN({0},0)</f>
      </c>
      <c r="Q119" s="4"/>
      <c r="R119" s="5"/>
      <c r="S119" s="4">
        <v>2238</v>
      </c>
      <c r="T119" s="6">
        <v>86352.07</v>
      </c>
      <c r="U119" s="4">
        <v>892</v>
      </c>
      <c r="V119" s="6">
        <v>33115.75</v>
      </c>
      <c r="W119" s="5">
        <v>1.509</v>
      </c>
      <c r="X119" s="5">
        <v>1.6076</v>
      </c>
      <c r="Y119" s="4">
        <v>117</v>
      </c>
      <c r="Z119" s="6">
        <v>4372.03</v>
      </c>
      <c r="AA119" s="4">
        <v>121</v>
      </c>
      <c r="AB119" s="6">
        <v>4574.79</v>
      </c>
      <c r="AC119" s="5">
        <v>-0.0331</v>
      </c>
      <c r="AD119" s="5">
        <v>-0.0443</v>
      </c>
      <c r="AE119" s="4">
        <v>1456</v>
      </c>
      <c r="AF119" s="6">
        <v>57872.32</v>
      </c>
      <c r="AG119" s="4">
        <v>10</v>
      </c>
      <c r="AH119" s="6">
        <v>403.2</v>
      </c>
      <c r="AI119" s="5">
        <v>144.6</v>
      </c>
      <c r="AJ119" s="5">
        <v>142.5325</v>
      </c>
      <c r="AK119" s="4"/>
      <c r="AL119" s="6"/>
      <c r="AM119" s="4"/>
      <c r="AN119" s="6"/>
      <c r="AO119" s="5"/>
      <c r="AP119" s="5"/>
      <c r="AQ119" s="4">
        <v>107</v>
      </c>
      <c r="AR119" s="6">
        <v>4044.36</v>
      </c>
      <c r="AS119" s="4"/>
      <c r="AT119" s="6"/>
      <c r="AU119" s="5"/>
      <c r="AV119" s="5"/>
      <c r="AW119" s="4">
        <v>76</v>
      </c>
      <c r="AX119" s="6">
        <v>2797.06</v>
      </c>
      <c r="AY119" s="4">
        <v>59</v>
      </c>
      <c r="AZ119" s="6">
        <v>2191.02</v>
      </c>
      <c r="BA119" s="5">
        <v>0.2881</v>
      </c>
      <c r="BB119" s="5">
        <v>0.2766</v>
      </c>
      <c r="BC119" s="4">
        <v>21</v>
      </c>
      <c r="BD119" s="6">
        <v>859.39</v>
      </c>
      <c r="BE119" s="4">
        <v>36</v>
      </c>
      <c r="BF119" s="6">
        <v>1456.46</v>
      </c>
      <c r="BG119" s="5">
        <v>-0.4167</v>
      </c>
      <c r="BH119" s="5">
        <v>-0.4099</v>
      </c>
      <c r="BI119" s="4">
        <v>59</v>
      </c>
      <c r="BJ119" s="6">
        <v>2061.7</v>
      </c>
      <c r="BK119" s="4">
        <v>62</v>
      </c>
      <c r="BL119" s="6">
        <v>2214.58</v>
      </c>
      <c r="BM119" s="5">
        <v>-0.0484</v>
      </c>
      <c r="BN119" s="5">
        <v>-0.069</v>
      </c>
      <c r="BO119" s="4">
        <v>44</v>
      </c>
      <c r="BP119" s="6">
        <v>1530.77</v>
      </c>
      <c r="BQ119" s="4">
        <v>13</v>
      </c>
      <c r="BR119" s="6">
        <v>482.92</v>
      </c>
      <c r="BS119" s="5">
        <v>2.3846</v>
      </c>
      <c r="BT119" s="5">
        <v>2.1698</v>
      </c>
      <c r="BU119" s="4">
        <v>224</v>
      </c>
      <c r="BV119" s="6">
        <v>8083.88</v>
      </c>
      <c r="BW119" s="4">
        <v>419</v>
      </c>
      <c r="BX119" s="6">
        <v>15344.4</v>
      </c>
      <c r="BY119" s="5">
        <v>-0.4654</v>
      </c>
      <c r="BZ119" s="5">
        <v>-0.4732</v>
      </c>
      <c r="CA119" s="4">
        <v>10</v>
      </c>
      <c r="CB119" s="6">
        <v>430.04</v>
      </c>
      <c r="CC119" s="4">
        <v>49</v>
      </c>
      <c r="CD119" s="6">
        <v>1841.12</v>
      </c>
      <c r="CE119" s="5">
        <v>-0.7959</v>
      </c>
      <c r="CF119" s="5">
        <v>-0.7664</v>
      </c>
      <c r="CG119" s="4">
        <v>5</v>
      </c>
      <c r="CH119" s="6">
        <v>190.45</v>
      </c>
      <c r="CI119" s="4"/>
      <c r="CJ119" s="6"/>
      <c r="CK119" s="5"/>
      <c r="CL119" s="5"/>
      <c r="CM119" s="4">
        <v>80</v>
      </c>
      <c r="CN119" s="6">
        <v>2779.51</v>
      </c>
      <c r="CO119" s="4">
        <v>60</v>
      </c>
      <c r="CP119" s="6">
        <v>2062.34</v>
      </c>
      <c r="CQ119" s="5">
        <v>0.3333</v>
      </c>
      <c r="CR119" s="5">
        <v>0.3477</v>
      </c>
      <c r="CS119" s="4">
        <v>6</v>
      </c>
      <c r="CT119" s="6">
        <v>207.71</v>
      </c>
      <c r="CU119" s="4"/>
      <c r="CV119" s="6"/>
      <c r="CW119" s="5"/>
      <c r="CX119" s="5"/>
      <c r="CY119" s="4">
        <v>2</v>
      </c>
      <c r="CZ119" s="6">
        <v>70.03</v>
      </c>
      <c r="DA119" s="4">
        <v>6</v>
      </c>
      <c r="DB119" s="6">
        <v>207.68</v>
      </c>
      <c r="DC119" s="5">
        <v>-0.6667</v>
      </c>
      <c r="DD119" s="5">
        <v>-0.6628</v>
      </c>
      <c r="DE119" s="4">
        <v>27</v>
      </c>
      <c r="DF119" s="6">
        <v>905.77</v>
      </c>
      <c r="DG119" s="4">
        <v>14</v>
      </c>
      <c r="DH119" s="6">
        <v>509.88</v>
      </c>
      <c r="DI119" s="5">
        <v>0.9286</v>
      </c>
      <c r="DJ119" s="5">
        <v>0.7764</v>
      </c>
      <c r="DK119" s="4"/>
      <c r="DL119" s="6"/>
      <c r="DM119" s="4">
        <v>5</v>
      </c>
      <c r="DN119" s="6">
        <v>337.95</v>
      </c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/>
      <c r="ED119" s="6"/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>
        <v>2</v>
      </c>
      <c r="EV119" s="6">
        <v>77.02</v>
      </c>
      <c r="EW119" s="4">
        <v>2</v>
      </c>
      <c r="EX119" s="6">
        <v>84.26</v>
      </c>
      <c r="EY119" s="5"/>
      <c r="EZ119" s="5">
        <v>-0.0859</v>
      </c>
      <c r="FA119" s="4"/>
      <c r="FB119" s="6"/>
      <c r="FC119" s="4"/>
      <c r="FD119" s="6"/>
      <c r="FE119" s="5"/>
      <c r="FF119" s="5"/>
      <c r="FG119" s="4">
        <v>2</v>
      </c>
      <c r="FH119" s="6">
        <v>70.03</v>
      </c>
      <c r="FI119" s="4"/>
      <c r="FJ119" s="6"/>
      <c r="FK119" s="5"/>
      <c r="FL119" s="5"/>
      <c r="FM119" s="4"/>
      <c r="FN119" s="6"/>
      <c r="FO119" s="4"/>
      <c r="FP119" s="6"/>
      <c r="FQ119" s="5"/>
      <c r="FR119" s="5"/>
      <c r="FS119" s="4"/>
      <c r="FT119" s="6"/>
      <c r="FU119" s="4">
        <v>28</v>
      </c>
      <c r="FV119" s="6">
        <v>1127.44</v>
      </c>
      <c r="FW119" s="5"/>
      <c r="FX119" s="5"/>
      <c r="FY119" s="4"/>
      <c r="FZ119" s="6"/>
      <c r="GA119" s="4">
        <v>8</v>
      </c>
      <c r="GB119" s="6">
        <v>277.71</v>
      </c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  <c r="IA119" s="4"/>
      <c r="IB119" s="6"/>
      <c r="IC119" s="4"/>
      <c r="ID119" s="6"/>
      <c r="IE119" s="5"/>
      <c r="IF119" s="5"/>
      <c r="IG119" s="4"/>
      <c r="IH119" s="6"/>
      <c r="II119" s="4"/>
      <c r="IJ119" s="6"/>
      <c r="IK119" s="5"/>
      <c r="IL119" s="5"/>
      <c r="IM119" s="4"/>
      <c r="IN119" s="6"/>
      <c r="IO119" s="4"/>
      <c r="IP119" s="6"/>
      <c r="IQ119" s="5"/>
      <c r="IR119" s="5"/>
      <c r="IS119" s="4"/>
      <c r="IT119" s="6"/>
      <c r="IU119" s="4"/>
      <c r="IV119" s="6"/>
      <c r="IW119" s="5"/>
      <c r="IX119" s="5"/>
      <c r="IY119" s="4"/>
      <c r="IZ119" s="6"/>
      <c r="JA119" s="4"/>
      <c r="JB119" s="6"/>
      <c r="JC119" s="5"/>
      <c r="JD119" s="5"/>
      <c r="JE119" s="4"/>
      <c r="JF119" s="6"/>
      <c r="JG119" s="4"/>
      <c r="JH119" s="6"/>
      <c r="JI119" s="5"/>
      <c r="JJ119" s="5"/>
      <c r="JK119" s="4">
        <v>1342</v>
      </c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>
        <v>314</v>
      </c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>
        <v>610</v>
      </c>
      <c r="LB119" s="4">
        <v>60</v>
      </c>
      <c r="LC119" s="4"/>
      <c r="LD119" s="4">
        <v>1200</v>
      </c>
      <c r="LE119" s="4"/>
      <c r="LF119" s="4"/>
      <c r="LG119" s="4"/>
      <c r="LH119" s="4"/>
      <c r="LI119" s="4">
        <v>2600</v>
      </c>
      <c r="LJ119" s="4"/>
      <c r="LK119" s="4"/>
      <c r="LL119" s="4"/>
      <c r="LM119" s="4"/>
    </row>
    <row r="120">
      <c r="A120" s="3" t="s">
        <v>136</v>
      </c>
      <c r="B120" s="3" t="s">
        <v>164</v>
      </c>
      <c r="C120" s="3" t="s">
        <v>138</v>
      </c>
      <c r="D120" s="3" t="s">
        <v>139</v>
      </c>
      <c r="E120" s="3" t="s">
        <v>165</v>
      </c>
      <c r="F120" s="3" t="s">
        <v>165</v>
      </c>
      <c r="G120" s="3" t="s">
        <v>165</v>
      </c>
      <c r="H120" s="3" t="s">
        <v>141</v>
      </c>
      <c r="I120" s="3" t="s">
        <v>229</v>
      </c>
      <c r="J120" s="3" t="s">
        <v>242</v>
      </c>
      <c r="K120" s="4">
        <v>777</v>
      </c>
      <c r="L120" s="4">
        <f>=ROUNDDOWN(4.40976163450624,0)</f>
      </c>
      <c r="M120" s="4">
        <v>4312</v>
      </c>
      <c r="N120" s="5">
        <v>1</v>
      </c>
      <c r="O120" s="4"/>
      <c r="P120" s="4">
        <f>=ROUNDDOWN({0},0)</f>
      </c>
      <c r="Q120" s="4"/>
      <c r="R120" s="5"/>
      <c r="S120" s="4">
        <v>1708</v>
      </c>
      <c r="T120" s="6">
        <v>65343.73</v>
      </c>
      <c r="U120" s="4">
        <v>607</v>
      </c>
      <c r="V120" s="6">
        <v>22268.66</v>
      </c>
      <c r="W120" s="5">
        <v>1.8138</v>
      </c>
      <c r="X120" s="5">
        <v>1.9343</v>
      </c>
      <c r="Y120" s="4">
        <v>108</v>
      </c>
      <c r="Z120" s="6">
        <v>4041.92</v>
      </c>
      <c r="AA120" s="4">
        <v>75</v>
      </c>
      <c r="AB120" s="6">
        <v>2778.65</v>
      </c>
      <c r="AC120" s="5">
        <v>0.44</v>
      </c>
      <c r="AD120" s="5">
        <v>0.4546</v>
      </c>
      <c r="AE120" s="4">
        <v>956</v>
      </c>
      <c r="AF120" s="6">
        <v>38070.56</v>
      </c>
      <c r="AG120" s="4">
        <v>8</v>
      </c>
      <c r="AH120" s="6">
        <v>333.42</v>
      </c>
      <c r="AI120" s="5">
        <v>118.5</v>
      </c>
      <c r="AJ120" s="5">
        <v>113.182</v>
      </c>
      <c r="AK120" s="4"/>
      <c r="AL120" s="6"/>
      <c r="AM120" s="4"/>
      <c r="AN120" s="6"/>
      <c r="AO120" s="5"/>
      <c r="AP120" s="5"/>
      <c r="AQ120" s="4">
        <v>93</v>
      </c>
      <c r="AR120" s="6">
        <v>3520.64</v>
      </c>
      <c r="AS120" s="4"/>
      <c r="AT120" s="6"/>
      <c r="AU120" s="5"/>
      <c r="AV120" s="5"/>
      <c r="AW120" s="4">
        <v>94</v>
      </c>
      <c r="AX120" s="6">
        <v>3410.66</v>
      </c>
      <c r="AY120" s="4">
        <v>88</v>
      </c>
      <c r="AZ120" s="6">
        <v>3202.74</v>
      </c>
      <c r="BA120" s="5">
        <v>0.0682</v>
      </c>
      <c r="BB120" s="5">
        <v>0.0649</v>
      </c>
      <c r="BC120" s="4">
        <v>18</v>
      </c>
      <c r="BD120" s="6">
        <v>702.4</v>
      </c>
      <c r="BE120" s="4">
        <v>20</v>
      </c>
      <c r="BF120" s="6">
        <v>802.78</v>
      </c>
      <c r="BG120" s="5">
        <v>-0.1</v>
      </c>
      <c r="BH120" s="5">
        <v>-0.125</v>
      </c>
      <c r="BI120" s="4">
        <v>67</v>
      </c>
      <c r="BJ120" s="6">
        <v>2390.64</v>
      </c>
      <c r="BK120" s="4">
        <v>87</v>
      </c>
      <c r="BL120" s="6">
        <v>3078.35</v>
      </c>
      <c r="BM120" s="5">
        <v>-0.2299</v>
      </c>
      <c r="BN120" s="5">
        <v>-0.2234</v>
      </c>
      <c r="BO120" s="4">
        <v>46</v>
      </c>
      <c r="BP120" s="6">
        <v>1558.17</v>
      </c>
      <c r="BQ120" s="4">
        <v>3</v>
      </c>
      <c r="BR120" s="6">
        <v>112.63</v>
      </c>
      <c r="BS120" s="5">
        <v>14.3333</v>
      </c>
      <c r="BT120" s="5">
        <v>12.8344</v>
      </c>
      <c r="BU120" s="4">
        <v>235</v>
      </c>
      <c r="BV120" s="6">
        <v>8649.84</v>
      </c>
      <c r="BW120" s="4">
        <v>257</v>
      </c>
      <c r="BX120" s="6">
        <v>9367.34</v>
      </c>
      <c r="BY120" s="5">
        <v>-0.0856</v>
      </c>
      <c r="BZ120" s="5">
        <v>-0.0766</v>
      </c>
      <c r="CA120" s="4">
        <v>4</v>
      </c>
      <c r="CB120" s="6">
        <v>142.69</v>
      </c>
      <c r="CC120" s="4">
        <v>3</v>
      </c>
      <c r="CD120" s="6">
        <v>120</v>
      </c>
      <c r="CE120" s="5">
        <v>0.3333</v>
      </c>
      <c r="CF120" s="5">
        <v>0.1891</v>
      </c>
      <c r="CG120" s="4">
        <v>7</v>
      </c>
      <c r="CH120" s="6">
        <v>253.91</v>
      </c>
      <c r="CI120" s="4"/>
      <c r="CJ120" s="6"/>
      <c r="CK120" s="5"/>
      <c r="CL120" s="5"/>
      <c r="CM120" s="4">
        <v>31</v>
      </c>
      <c r="CN120" s="6">
        <v>1060.16</v>
      </c>
      <c r="CO120" s="4">
        <v>18</v>
      </c>
      <c r="CP120" s="6">
        <v>613.4</v>
      </c>
      <c r="CQ120" s="5">
        <v>0.7222</v>
      </c>
      <c r="CR120" s="5">
        <v>0.7283</v>
      </c>
      <c r="CS120" s="4">
        <v>10</v>
      </c>
      <c r="CT120" s="6">
        <v>342.94</v>
      </c>
      <c r="CU120" s="4"/>
      <c r="CV120" s="6"/>
      <c r="CW120" s="5"/>
      <c r="CX120" s="5"/>
      <c r="CY120" s="4">
        <v>7</v>
      </c>
      <c r="CZ120" s="6">
        <v>234.26</v>
      </c>
      <c r="DA120" s="4">
        <v>7</v>
      </c>
      <c r="DB120" s="6">
        <v>246.31</v>
      </c>
      <c r="DC120" s="5"/>
      <c r="DD120" s="5">
        <v>-0.0489</v>
      </c>
      <c r="DE120" s="4">
        <v>25</v>
      </c>
      <c r="DF120" s="6">
        <v>697.4</v>
      </c>
      <c r="DG120" s="4">
        <v>6</v>
      </c>
      <c r="DH120" s="6">
        <v>209.32</v>
      </c>
      <c r="DI120" s="5">
        <v>3.1667</v>
      </c>
      <c r="DJ120" s="5">
        <v>2.3317</v>
      </c>
      <c r="DK120" s="4">
        <v>2</v>
      </c>
      <c r="DL120" s="6">
        <v>96.08</v>
      </c>
      <c r="DM120" s="4"/>
      <c r="DN120" s="6"/>
      <c r="DO120" s="5"/>
      <c r="DP120" s="5"/>
      <c r="DQ120" s="4"/>
      <c r="DR120" s="6"/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>
        <v>5</v>
      </c>
      <c r="FH120" s="6">
        <v>171.46</v>
      </c>
      <c r="FI120" s="4"/>
      <c r="FJ120" s="6"/>
      <c r="FK120" s="5"/>
      <c r="FL120" s="5"/>
      <c r="FM120" s="4"/>
      <c r="FN120" s="6"/>
      <c r="FO120" s="4"/>
      <c r="FP120" s="6"/>
      <c r="FQ120" s="5"/>
      <c r="FR120" s="5"/>
      <c r="FS120" s="4"/>
      <c r="FT120" s="6"/>
      <c r="FU120" s="4">
        <v>35</v>
      </c>
      <c r="FV120" s="6">
        <v>1403.72</v>
      </c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  <c r="IA120" s="4"/>
      <c r="IB120" s="6"/>
      <c r="IC120" s="4"/>
      <c r="ID120" s="6"/>
      <c r="IE120" s="5"/>
      <c r="IF120" s="5"/>
      <c r="IG120" s="4"/>
      <c r="IH120" s="6"/>
      <c r="II120" s="4"/>
      <c r="IJ120" s="6"/>
      <c r="IK120" s="5"/>
      <c r="IL120" s="5"/>
      <c r="IM120" s="4"/>
      <c r="IN120" s="6"/>
      <c r="IO120" s="4"/>
      <c r="IP120" s="6"/>
      <c r="IQ120" s="5"/>
      <c r="IR120" s="5"/>
      <c r="IS120" s="4"/>
      <c r="IT120" s="6"/>
      <c r="IU120" s="4"/>
      <c r="IV120" s="6"/>
      <c r="IW120" s="5"/>
      <c r="IX120" s="5"/>
      <c r="IY120" s="4"/>
      <c r="IZ120" s="6"/>
      <c r="JA120" s="4"/>
      <c r="JB120" s="6"/>
      <c r="JC120" s="5"/>
      <c r="JD120" s="5"/>
      <c r="JE120" s="4"/>
      <c r="JF120" s="6"/>
      <c r="JG120" s="4"/>
      <c r="JH120" s="6"/>
      <c r="JI120" s="5"/>
      <c r="JJ120" s="5"/>
      <c r="JK120" s="4">
        <v>777</v>
      </c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>
        <v>400</v>
      </c>
      <c r="KG120" s="4"/>
      <c r="KH120" s="4">
        <v>656</v>
      </c>
      <c r="KI120" s="4"/>
      <c r="KJ120" s="4">
        <v>146</v>
      </c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>
        <v>610</v>
      </c>
      <c r="LB120" s="4"/>
      <c r="LC120" s="4"/>
      <c r="LD120" s="4">
        <v>540</v>
      </c>
      <c r="LE120" s="4"/>
      <c r="LF120" s="4"/>
      <c r="LG120" s="4"/>
      <c r="LH120" s="4"/>
      <c r="LI120" s="4">
        <v>1960</v>
      </c>
      <c r="LJ120" s="4"/>
      <c r="LK120" s="4"/>
      <c r="LL120" s="4"/>
      <c r="LM120" s="4"/>
    </row>
    <row r="121">
      <c r="A121" s="3" t="s">
        <v>136</v>
      </c>
      <c r="B121" s="3" t="s">
        <v>164</v>
      </c>
      <c r="C121" s="3" t="s">
        <v>138</v>
      </c>
      <c r="D121" s="3" t="s">
        <v>139</v>
      </c>
      <c r="E121" s="3" t="s">
        <v>165</v>
      </c>
      <c r="F121" s="3" t="s">
        <v>165</v>
      </c>
      <c r="G121" s="3" t="s">
        <v>165</v>
      </c>
      <c r="H121" s="3" t="s">
        <v>141</v>
      </c>
      <c r="I121" s="3" t="s">
        <v>230</v>
      </c>
      <c r="J121" s="3" t="s">
        <v>242</v>
      </c>
      <c r="K121" s="4">
        <v>624</v>
      </c>
      <c r="L121" s="4">
        <f>=ROUNDDOWN(4.10526315789474,0)</f>
      </c>
      <c r="M121" s="4">
        <v>4082</v>
      </c>
      <c r="N121" s="5">
        <v>0.983</v>
      </c>
      <c r="O121" s="4"/>
      <c r="P121" s="4">
        <f>=ROUNDDOWN({0},0)</f>
      </c>
      <c r="Q121" s="4"/>
      <c r="R121" s="5"/>
      <c r="S121" s="4">
        <v>1592</v>
      </c>
      <c r="T121" s="6">
        <v>61308.34</v>
      </c>
      <c r="U121" s="4">
        <v>748</v>
      </c>
      <c r="V121" s="6">
        <v>27499.41</v>
      </c>
      <c r="W121" s="5">
        <v>1.1283</v>
      </c>
      <c r="X121" s="5">
        <v>1.2294</v>
      </c>
      <c r="Y121" s="4">
        <v>96</v>
      </c>
      <c r="Z121" s="6">
        <v>3576.64</v>
      </c>
      <c r="AA121" s="4">
        <v>140</v>
      </c>
      <c r="AB121" s="6">
        <v>5206.4</v>
      </c>
      <c r="AC121" s="5">
        <v>-0.3143</v>
      </c>
      <c r="AD121" s="5">
        <v>-0.313</v>
      </c>
      <c r="AE121" s="4">
        <v>940</v>
      </c>
      <c r="AF121" s="6">
        <v>37492.2</v>
      </c>
      <c r="AG121" s="4">
        <v>10</v>
      </c>
      <c r="AH121" s="6">
        <v>390.7</v>
      </c>
      <c r="AI121" s="5">
        <v>93</v>
      </c>
      <c r="AJ121" s="5">
        <v>94.9616</v>
      </c>
      <c r="AK121" s="4"/>
      <c r="AL121" s="6"/>
      <c r="AM121" s="4"/>
      <c r="AN121" s="6"/>
      <c r="AO121" s="5"/>
      <c r="AP121" s="5"/>
      <c r="AQ121" s="4">
        <v>133</v>
      </c>
      <c r="AR121" s="6">
        <v>5038.94</v>
      </c>
      <c r="AS121" s="4"/>
      <c r="AT121" s="6"/>
      <c r="AU121" s="5"/>
      <c r="AV121" s="5"/>
      <c r="AW121" s="4">
        <v>87</v>
      </c>
      <c r="AX121" s="6">
        <v>3164.7</v>
      </c>
      <c r="AY121" s="4">
        <v>71</v>
      </c>
      <c r="AZ121" s="6">
        <v>2609.4</v>
      </c>
      <c r="BA121" s="5">
        <v>0.2254</v>
      </c>
      <c r="BB121" s="5">
        <v>0.2128</v>
      </c>
      <c r="BC121" s="4">
        <v>12</v>
      </c>
      <c r="BD121" s="6">
        <v>461.14</v>
      </c>
      <c r="BE121" s="4">
        <v>31</v>
      </c>
      <c r="BF121" s="6">
        <v>1229.03</v>
      </c>
      <c r="BG121" s="5">
        <v>-0.6129</v>
      </c>
      <c r="BH121" s="5">
        <v>-0.6248</v>
      </c>
      <c r="BI121" s="4">
        <v>55</v>
      </c>
      <c r="BJ121" s="6">
        <v>1961.82</v>
      </c>
      <c r="BK121" s="4">
        <v>90</v>
      </c>
      <c r="BL121" s="6">
        <v>3242.92</v>
      </c>
      <c r="BM121" s="5">
        <v>-0.3889</v>
      </c>
      <c r="BN121" s="5">
        <v>-0.395</v>
      </c>
      <c r="BO121" s="4">
        <v>31</v>
      </c>
      <c r="BP121" s="6">
        <v>1071.62</v>
      </c>
      <c r="BQ121" s="4">
        <v>6</v>
      </c>
      <c r="BR121" s="6">
        <v>203.61</v>
      </c>
      <c r="BS121" s="5">
        <v>4.1667</v>
      </c>
      <c r="BT121" s="5">
        <v>4.2631</v>
      </c>
      <c r="BU121" s="4">
        <v>144</v>
      </c>
      <c r="BV121" s="6">
        <v>5363.46</v>
      </c>
      <c r="BW121" s="4">
        <v>300</v>
      </c>
      <c r="BX121" s="6">
        <v>10901.46</v>
      </c>
      <c r="BY121" s="5">
        <v>-0.52</v>
      </c>
      <c r="BZ121" s="5">
        <v>-0.508</v>
      </c>
      <c r="CA121" s="4">
        <v>5</v>
      </c>
      <c r="CB121" s="6">
        <v>182.88</v>
      </c>
      <c r="CC121" s="4">
        <v>10</v>
      </c>
      <c r="CD121" s="6">
        <v>373.99</v>
      </c>
      <c r="CE121" s="5">
        <v>-0.5</v>
      </c>
      <c r="CF121" s="5">
        <v>-0.511</v>
      </c>
      <c r="CG121" s="4">
        <v>11</v>
      </c>
      <c r="CH121" s="6">
        <v>407.33</v>
      </c>
      <c r="CI121" s="4"/>
      <c r="CJ121" s="6"/>
      <c r="CK121" s="5"/>
      <c r="CL121" s="5"/>
      <c r="CM121" s="4">
        <v>20</v>
      </c>
      <c r="CN121" s="6">
        <v>690.66</v>
      </c>
      <c r="CO121" s="4">
        <v>10</v>
      </c>
      <c r="CP121" s="6">
        <v>328.46</v>
      </c>
      <c r="CQ121" s="5">
        <v>1</v>
      </c>
      <c r="CR121" s="5">
        <v>1.1027</v>
      </c>
      <c r="CS121" s="4">
        <v>20</v>
      </c>
      <c r="CT121" s="6">
        <v>681.08</v>
      </c>
      <c r="CU121" s="4"/>
      <c r="CV121" s="6"/>
      <c r="CW121" s="5"/>
      <c r="CX121" s="5"/>
      <c r="CY121" s="4">
        <v>2</v>
      </c>
      <c r="CZ121" s="6">
        <v>70.03</v>
      </c>
      <c r="DA121" s="4">
        <v>15</v>
      </c>
      <c r="DB121" s="6">
        <v>514.38</v>
      </c>
      <c r="DC121" s="5">
        <v>-0.8667</v>
      </c>
      <c r="DD121" s="5">
        <v>-0.8639</v>
      </c>
      <c r="DE121" s="4">
        <v>25</v>
      </c>
      <c r="DF121" s="6">
        <v>710.51</v>
      </c>
      <c r="DG121" s="4">
        <v>9</v>
      </c>
      <c r="DH121" s="6">
        <v>318.81</v>
      </c>
      <c r="DI121" s="5">
        <v>1.7778</v>
      </c>
      <c r="DJ121" s="5">
        <v>1.2286</v>
      </c>
      <c r="DK121" s="4">
        <v>1</v>
      </c>
      <c r="DL121" s="6">
        <v>69.99</v>
      </c>
      <c r="DM121" s="4">
        <v>1</v>
      </c>
      <c r="DN121" s="6">
        <v>62.99</v>
      </c>
      <c r="DO121" s="5"/>
      <c r="DP121" s="5">
        <v>0.1111</v>
      </c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>
        <v>4</v>
      </c>
      <c r="EV121" s="6">
        <v>157.66</v>
      </c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>
        <v>6</v>
      </c>
      <c r="FH121" s="6">
        <v>207.68</v>
      </c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>
        <v>38</v>
      </c>
      <c r="FV121" s="6">
        <v>1537.67</v>
      </c>
      <c r="FW121" s="5"/>
      <c r="FX121" s="5"/>
      <c r="FY121" s="4"/>
      <c r="FZ121" s="6"/>
      <c r="GA121" s="4">
        <v>17</v>
      </c>
      <c r="GB121" s="6">
        <v>579.59</v>
      </c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  <c r="IA121" s="4"/>
      <c r="IB121" s="6"/>
      <c r="IC121" s="4"/>
      <c r="ID121" s="6"/>
      <c r="IE121" s="5"/>
      <c r="IF121" s="5"/>
      <c r="IG121" s="4"/>
      <c r="IH121" s="6"/>
      <c r="II121" s="4"/>
      <c r="IJ121" s="6"/>
      <c r="IK121" s="5"/>
      <c r="IL121" s="5"/>
      <c r="IM121" s="4"/>
      <c r="IN121" s="6"/>
      <c r="IO121" s="4"/>
      <c r="IP121" s="6"/>
      <c r="IQ121" s="5"/>
      <c r="IR121" s="5"/>
      <c r="IS121" s="4"/>
      <c r="IT121" s="6"/>
      <c r="IU121" s="4"/>
      <c r="IV121" s="6"/>
      <c r="IW121" s="5"/>
      <c r="IX121" s="5"/>
      <c r="IY121" s="4"/>
      <c r="IZ121" s="6"/>
      <c r="JA121" s="4"/>
      <c r="JB121" s="6"/>
      <c r="JC121" s="5"/>
      <c r="JD121" s="5"/>
      <c r="JE121" s="4"/>
      <c r="JF121" s="6"/>
      <c r="JG121" s="4"/>
      <c r="JH121" s="6"/>
      <c r="JI121" s="5"/>
      <c r="JJ121" s="5"/>
      <c r="JK121" s="4">
        <v>624</v>
      </c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>
        <v>740</v>
      </c>
      <c r="KG121" s="4"/>
      <c r="KH121" s="4">
        <v>262</v>
      </c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>
        <v>670</v>
      </c>
      <c r="LB121" s="4"/>
      <c r="LC121" s="4"/>
      <c r="LD121" s="4">
        <v>730</v>
      </c>
      <c r="LE121" s="4"/>
      <c r="LF121" s="4"/>
      <c r="LG121" s="4"/>
      <c r="LH121" s="4"/>
      <c r="LI121" s="4">
        <v>1680</v>
      </c>
      <c r="LJ121" s="4"/>
      <c r="LK121" s="4"/>
      <c r="LL121" s="4"/>
      <c r="LM121" s="4"/>
    </row>
    <row r="122">
      <c r="A122" s="3" t="s">
        <v>136</v>
      </c>
      <c r="B122" s="3" t="s">
        <v>164</v>
      </c>
      <c r="C122" s="3" t="s">
        <v>138</v>
      </c>
      <c r="D122" s="3" t="s">
        <v>139</v>
      </c>
      <c r="E122" s="3" t="s">
        <v>165</v>
      </c>
      <c r="F122" s="3" t="s">
        <v>165</v>
      </c>
      <c r="G122" s="3" t="s">
        <v>165</v>
      </c>
      <c r="H122" s="3" t="s">
        <v>141</v>
      </c>
      <c r="I122" s="3" t="s">
        <v>231</v>
      </c>
      <c r="J122" s="3" t="s">
        <v>242</v>
      </c>
      <c r="K122" s="4">
        <v>1049</v>
      </c>
      <c r="L122" s="4">
        <f>=ROUNDDOWN(6.76774193548387,0)</f>
      </c>
      <c r="M122" s="4">
        <v>3670</v>
      </c>
      <c r="N122" s="5">
        <v>1</v>
      </c>
      <c r="O122" s="4"/>
      <c r="P122" s="4">
        <f>=ROUNDDOWN({0},0)</f>
      </c>
      <c r="Q122" s="4"/>
      <c r="R122" s="5"/>
      <c r="S122" s="4">
        <v>1453</v>
      </c>
      <c r="T122" s="6">
        <v>55627.22</v>
      </c>
      <c r="U122" s="4">
        <v>627</v>
      </c>
      <c r="V122" s="6">
        <v>23289.47</v>
      </c>
      <c r="W122" s="5">
        <v>1.3174</v>
      </c>
      <c r="X122" s="5">
        <v>1.3885</v>
      </c>
      <c r="Y122" s="4">
        <v>86</v>
      </c>
      <c r="Z122" s="6">
        <v>3225.74</v>
      </c>
      <c r="AA122" s="4">
        <v>84</v>
      </c>
      <c r="AB122" s="6">
        <v>3150.36</v>
      </c>
      <c r="AC122" s="5">
        <v>0.0238</v>
      </c>
      <c r="AD122" s="5">
        <v>0.0239</v>
      </c>
      <c r="AE122" s="4">
        <v>781</v>
      </c>
      <c r="AF122" s="6">
        <v>31323.35</v>
      </c>
      <c r="AG122" s="4">
        <v>9</v>
      </c>
      <c r="AH122" s="6">
        <v>368.31</v>
      </c>
      <c r="AI122" s="5">
        <v>85.7778</v>
      </c>
      <c r="AJ122" s="5">
        <v>84.0462</v>
      </c>
      <c r="AK122" s="4"/>
      <c r="AL122" s="6"/>
      <c r="AM122" s="4"/>
      <c r="AN122" s="6"/>
      <c r="AO122" s="5"/>
      <c r="AP122" s="5"/>
      <c r="AQ122" s="4">
        <v>157</v>
      </c>
      <c r="AR122" s="6">
        <v>6004.51</v>
      </c>
      <c r="AS122" s="4"/>
      <c r="AT122" s="6"/>
      <c r="AU122" s="5"/>
      <c r="AV122" s="5"/>
      <c r="AW122" s="4">
        <v>93</v>
      </c>
      <c r="AX122" s="6">
        <v>3423.42</v>
      </c>
      <c r="AY122" s="4">
        <v>97</v>
      </c>
      <c r="AZ122" s="6">
        <v>3626.38</v>
      </c>
      <c r="BA122" s="5">
        <v>-0.0412</v>
      </c>
      <c r="BB122" s="5">
        <v>-0.056</v>
      </c>
      <c r="BC122" s="4">
        <v>10</v>
      </c>
      <c r="BD122" s="6">
        <v>380.5</v>
      </c>
      <c r="BE122" s="4">
        <v>21</v>
      </c>
      <c r="BF122" s="6">
        <v>819.91</v>
      </c>
      <c r="BG122" s="5">
        <v>-0.5238</v>
      </c>
      <c r="BH122" s="5">
        <v>-0.5359</v>
      </c>
      <c r="BI122" s="4">
        <v>53</v>
      </c>
      <c r="BJ122" s="6">
        <v>1886.34</v>
      </c>
      <c r="BK122" s="4">
        <v>100</v>
      </c>
      <c r="BL122" s="6">
        <v>3603.46</v>
      </c>
      <c r="BM122" s="5">
        <v>-0.47</v>
      </c>
      <c r="BN122" s="5">
        <v>-0.4765</v>
      </c>
      <c r="BO122" s="4">
        <v>32</v>
      </c>
      <c r="BP122" s="6">
        <v>1092.14</v>
      </c>
      <c r="BQ122" s="4">
        <v>5</v>
      </c>
      <c r="BR122" s="6">
        <v>189.93</v>
      </c>
      <c r="BS122" s="5">
        <v>5.4</v>
      </c>
      <c r="BT122" s="5">
        <v>4.7502</v>
      </c>
      <c r="BU122" s="4">
        <v>112</v>
      </c>
      <c r="BV122" s="6">
        <v>4075.06</v>
      </c>
      <c r="BW122" s="4">
        <v>208</v>
      </c>
      <c r="BX122" s="6">
        <v>7693.88</v>
      </c>
      <c r="BY122" s="5">
        <v>-0.4615</v>
      </c>
      <c r="BZ122" s="5">
        <v>-0.4704</v>
      </c>
      <c r="CA122" s="4"/>
      <c r="CB122" s="6"/>
      <c r="CC122" s="4">
        <v>8</v>
      </c>
      <c r="CD122" s="6">
        <v>315.29</v>
      </c>
      <c r="CE122" s="5"/>
      <c r="CF122" s="5"/>
      <c r="CG122" s="4">
        <v>11</v>
      </c>
      <c r="CH122" s="6">
        <v>409.98</v>
      </c>
      <c r="CI122" s="4"/>
      <c r="CJ122" s="6"/>
      <c r="CK122" s="5"/>
      <c r="CL122" s="5"/>
      <c r="CM122" s="4">
        <v>51</v>
      </c>
      <c r="CN122" s="6">
        <v>1753.23</v>
      </c>
      <c r="CO122" s="4">
        <v>26</v>
      </c>
      <c r="CP122" s="6">
        <v>881.47</v>
      </c>
      <c r="CQ122" s="5">
        <v>0.9615</v>
      </c>
      <c r="CR122" s="5">
        <v>0.989</v>
      </c>
      <c r="CS122" s="4">
        <v>15</v>
      </c>
      <c r="CT122" s="6">
        <v>526.52</v>
      </c>
      <c r="CU122" s="4"/>
      <c r="CV122" s="6"/>
      <c r="CW122" s="5"/>
      <c r="CX122" s="5"/>
      <c r="CY122" s="4">
        <v>5</v>
      </c>
      <c r="CZ122" s="6">
        <v>173.87</v>
      </c>
      <c r="DA122" s="4">
        <v>15</v>
      </c>
      <c r="DB122" s="6">
        <v>531.25</v>
      </c>
      <c r="DC122" s="5">
        <v>-0.6667</v>
      </c>
      <c r="DD122" s="5">
        <v>-0.6727</v>
      </c>
      <c r="DE122" s="4">
        <v>39</v>
      </c>
      <c r="DF122" s="6">
        <v>1053.26</v>
      </c>
      <c r="DG122" s="4">
        <v>12</v>
      </c>
      <c r="DH122" s="6">
        <v>423.02</v>
      </c>
      <c r="DI122" s="5">
        <v>2.25</v>
      </c>
      <c r="DJ122" s="5">
        <v>1.4899</v>
      </c>
      <c r="DK122" s="4">
        <v>2</v>
      </c>
      <c r="DL122" s="6">
        <v>74.98</v>
      </c>
      <c r="DM122" s="4">
        <v>2</v>
      </c>
      <c r="DN122" s="6">
        <v>139.98</v>
      </c>
      <c r="DO122" s="5"/>
      <c r="DP122" s="5">
        <v>-0.4644</v>
      </c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>
        <v>2</v>
      </c>
      <c r="EV122" s="6">
        <v>84.26</v>
      </c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>
        <v>4</v>
      </c>
      <c r="FH122" s="6">
        <v>140.06</v>
      </c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>
        <v>26</v>
      </c>
      <c r="FV122" s="6">
        <v>1063.25</v>
      </c>
      <c r="FW122" s="5"/>
      <c r="FX122" s="5"/>
      <c r="FY122" s="4"/>
      <c r="FZ122" s="6"/>
      <c r="GA122" s="4">
        <v>14</v>
      </c>
      <c r="GB122" s="6">
        <v>482.98</v>
      </c>
      <c r="GC122" s="5"/>
      <c r="GD122" s="5"/>
      <c r="GE122" s="4"/>
      <c r="GF122" s="6"/>
      <c r="GG122" s="4"/>
      <c r="GH122" s="6"/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  <c r="IA122" s="4"/>
      <c r="IB122" s="6"/>
      <c r="IC122" s="4"/>
      <c r="ID122" s="6"/>
      <c r="IE122" s="5"/>
      <c r="IF122" s="5"/>
      <c r="IG122" s="4"/>
      <c r="IH122" s="6"/>
      <c r="II122" s="4"/>
      <c r="IJ122" s="6"/>
      <c r="IK122" s="5"/>
      <c r="IL122" s="5"/>
      <c r="IM122" s="4"/>
      <c r="IN122" s="6"/>
      <c r="IO122" s="4"/>
      <c r="IP122" s="6"/>
      <c r="IQ122" s="5"/>
      <c r="IR122" s="5"/>
      <c r="IS122" s="4"/>
      <c r="IT122" s="6"/>
      <c r="IU122" s="4"/>
      <c r="IV122" s="6"/>
      <c r="IW122" s="5"/>
      <c r="IX122" s="5"/>
      <c r="IY122" s="4"/>
      <c r="IZ122" s="6"/>
      <c r="JA122" s="4"/>
      <c r="JB122" s="6"/>
      <c r="JC122" s="5"/>
      <c r="JD122" s="5"/>
      <c r="JE122" s="4"/>
      <c r="JF122" s="6"/>
      <c r="JG122" s="4"/>
      <c r="JH122" s="6"/>
      <c r="JI122" s="5"/>
      <c r="JJ122" s="5"/>
      <c r="JK122" s="4">
        <v>1049</v>
      </c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>
        <v>478</v>
      </c>
      <c r="KI122" s="4"/>
      <c r="KJ122" s="4">
        <v>211</v>
      </c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>
        <v>540</v>
      </c>
      <c r="LB122" s="4">
        <v>51</v>
      </c>
      <c r="LC122" s="4"/>
      <c r="LD122" s="4">
        <v>500</v>
      </c>
      <c r="LE122" s="4"/>
      <c r="LF122" s="4"/>
      <c r="LG122" s="4"/>
      <c r="LH122" s="4"/>
      <c r="LI122" s="4">
        <v>1890</v>
      </c>
      <c r="LJ122" s="4"/>
      <c r="LK122" s="4"/>
      <c r="LL122" s="4"/>
      <c r="LM122" s="4"/>
    </row>
    <row r="123">
      <c r="A123" s="3" t="s">
        <v>136</v>
      </c>
      <c r="B123" s="3" t="s">
        <v>164</v>
      </c>
      <c r="C123" s="3" t="s">
        <v>138</v>
      </c>
      <c r="D123" s="3" t="s">
        <v>139</v>
      </c>
      <c r="E123" s="3" t="s">
        <v>165</v>
      </c>
      <c r="F123" s="3" t="s">
        <v>165</v>
      </c>
      <c r="G123" s="3" t="s">
        <v>165</v>
      </c>
      <c r="H123" s="3" t="s">
        <v>141</v>
      </c>
      <c r="I123" s="3" t="s">
        <v>240</v>
      </c>
      <c r="J123" s="3" t="s">
        <v>242</v>
      </c>
      <c r="K123" s="4">
        <v>1678</v>
      </c>
      <c r="L123" s="4">
        <f>=ROUNDDOWN(12.6260346124906,0)</f>
      </c>
      <c r="M123" s="4">
        <v>2444</v>
      </c>
      <c r="N123" s="5">
        <v>1</v>
      </c>
      <c r="O123" s="4"/>
      <c r="P123" s="4">
        <f>=ROUNDDOWN({0},0)</f>
      </c>
      <c r="Q123" s="4"/>
      <c r="R123" s="5"/>
      <c r="S123" s="4">
        <v>1350</v>
      </c>
      <c r="T123" s="6">
        <v>51344.69</v>
      </c>
      <c r="U123" s="4">
        <v>608</v>
      </c>
      <c r="V123" s="6">
        <v>22340.43</v>
      </c>
      <c r="W123" s="5">
        <v>1.2204</v>
      </c>
      <c r="X123" s="5">
        <v>1.2983</v>
      </c>
      <c r="Y123" s="4">
        <v>97</v>
      </c>
      <c r="Z123" s="6">
        <v>3618.23</v>
      </c>
      <c r="AA123" s="4">
        <v>62</v>
      </c>
      <c r="AB123" s="6">
        <v>2295.18</v>
      </c>
      <c r="AC123" s="5">
        <v>0.5645</v>
      </c>
      <c r="AD123" s="5">
        <v>0.5764</v>
      </c>
      <c r="AE123" s="4">
        <v>697</v>
      </c>
      <c r="AF123" s="6">
        <v>27610.35</v>
      </c>
      <c r="AG123" s="4">
        <v>8</v>
      </c>
      <c r="AH123" s="6">
        <v>318.94</v>
      </c>
      <c r="AI123" s="5">
        <v>86.125</v>
      </c>
      <c r="AJ123" s="5">
        <v>85.5691</v>
      </c>
      <c r="AK123" s="4"/>
      <c r="AL123" s="6"/>
      <c r="AM123" s="4"/>
      <c r="AN123" s="6"/>
      <c r="AO123" s="5"/>
      <c r="AP123" s="5"/>
      <c r="AQ123" s="4">
        <v>55</v>
      </c>
      <c r="AR123" s="6">
        <v>2065.8</v>
      </c>
      <c r="AS123" s="4"/>
      <c r="AT123" s="6"/>
      <c r="AU123" s="5"/>
      <c r="AV123" s="5"/>
      <c r="AW123" s="4">
        <v>117</v>
      </c>
      <c r="AX123" s="6">
        <v>4262.72</v>
      </c>
      <c r="AY123" s="4">
        <v>115</v>
      </c>
      <c r="AZ123" s="6">
        <v>4204.42</v>
      </c>
      <c r="BA123" s="5">
        <v>0.0174</v>
      </c>
      <c r="BB123" s="5">
        <v>0.0139</v>
      </c>
      <c r="BC123" s="4">
        <v>12</v>
      </c>
      <c r="BD123" s="6">
        <v>481.54</v>
      </c>
      <c r="BE123" s="4">
        <v>18</v>
      </c>
      <c r="BF123" s="6">
        <v>697.14</v>
      </c>
      <c r="BG123" s="5">
        <v>-0.3333</v>
      </c>
      <c r="BH123" s="5">
        <v>-0.3093</v>
      </c>
      <c r="BI123" s="4">
        <v>62</v>
      </c>
      <c r="BJ123" s="6">
        <v>2190.3</v>
      </c>
      <c r="BK123" s="4">
        <v>74</v>
      </c>
      <c r="BL123" s="6">
        <v>2646.88</v>
      </c>
      <c r="BM123" s="5">
        <v>-0.1622</v>
      </c>
      <c r="BN123" s="5">
        <v>-0.1725</v>
      </c>
      <c r="BO123" s="4">
        <v>27</v>
      </c>
      <c r="BP123" s="6">
        <v>895.03</v>
      </c>
      <c r="BQ123" s="4">
        <v>4</v>
      </c>
      <c r="BR123" s="6">
        <v>144.64</v>
      </c>
      <c r="BS123" s="5">
        <v>5.75</v>
      </c>
      <c r="BT123" s="5">
        <v>5.188</v>
      </c>
      <c r="BU123" s="4">
        <v>172</v>
      </c>
      <c r="BV123" s="6">
        <v>6321.9</v>
      </c>
      <c r="BW123" s="4">
        <v>261</v>
      </c>
      <c r="BX123" s="6">
        <v>9549.98</v>
      </c>
      <c r="BY123" s="5">
        <v>-0.341</v>
      </c>
      <c r="BZ123" s="5">
        <v>-0.338</v>
      </c>
      <c r="CA123" s="4"/>
      <c r="CB123" s="6"/>
      <c r="CC123" s="4">
        <v>5</v>
      </c>
      <c r="CD123" s="6">
        <v>173.11</v>
      </c>
      <c r="CE123" s="5"/>
      <c r="CF123" s="5"/>
      <c r="CG123" s="4">
        <v>9</v>
      </c>
      <c r="CH123" s="6">
        <v>335.92</v>
      </c>
      <c r="CI123" s="4"/>
      <c r="CJ123" s="6"/>
      <c r="CK123" s="5"/>
      <c r="CL123" s="5"/>
      <c r="CM123" s="4">
        <v>43</v>
      </c>
      <c r="CN123" s="6">
        <v>1485.16</v>
      </c>
      <c r="CO123" s="4">
        <v>20</v>
      </c>
      <c r="CP123" s="6">
        <v>695.48</v>
      </c>
      <c r="CQ123" s="5">
        <v>1.15</v>
      </c>
      <c r="CR123" s="5">
        <v>1.1354</v>
      </c>
      <c r="CS123" s="4">
        <v>23</v>
      </c>
      <c r="CT123" s="6">
        <v>787.35</v>
      </c>
      <c r="CU123" s="4"/>
      <c r="CV123" s="6"/>
      <c r="CW123" s="5"/>
      <c r="CX123" s="5"/>
      <c r="CY123" s="4">
        <v>3</v>
      </c>
      <c r="CZ123" s="6">
        <v>101.43</v>
      </c>
      <c r="DA123" s="4">
        <v>8</v>
      </c>
      <c r="DB123" s="6">
        <v>280.12</v>
      </c>
      <c r="DC123" s="5">
        <v>-0.625</v>
      </c>
      <c r="DD123" s="5">
        <v>-0.6379</v>
      </c>
      <c r="DE123" s="4">
        <v>24</v>
      </c>
      <c r="DF123" s="6">
        <v>773.16</v>
      </c>
      <c r="DG123" s="4">
        <v>7</v>
      </c>
      <c r="DH123" s="6">
        <v>247.47</v>
      </c>
      <c r="DI123" s="5">
        <v>2.4286</v>
      </c>
      <c r="DJ123" s="5">
        <v>2.1243</v>
      </c>
      <c r="DK123" s="4">
        <v>3</v>
      </c>
      <c r="DL123" s="6">
        <v>194.57</v>
      </c>
      <c r="DM123" s="4">
        <v>2</v>
      </c>
      <c r="DN123" s="6">
        <v>129.98</v>
      </c>
      <c r="DO123" s="5">
        <v>0.5</v>
      </c>
      <c r="DP123" s="5">
        <v>0.4969</v>
      </c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>
        <v>3</v>
      </c>
      <c r="EV123" s="6">
        <v>112.57</v>
      </c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>
        <v>3</v>
      </c>
      <c r="FH123" s="6">
        <v>108.66</v>
      </c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>
        <v>22</v>
      </c>
      <c r="FV123" s="6">
        <v>884.65</v>
      </c>
      <c r="FW123" s="5"/>
      <c r="FX123" s="5"/>
      <c r="FY123" s="4"/>
      <c r="FZ123" s="6"/>
      <c r="GA123" s="4">
        <v>2</v>
      </c>
      <c r="GB123" s="6">
        <v>72.44</v>
      </c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  <c r="IA123" s="4"/>
      <c r="IB123" s="6"/>
      <c r="IC123" s="4"/>
      <c r="ID123" s="6"/>
      <c r="IE123" s="5"/>
      <c r="IF123" s="5"/>
      <c r="IG123" s="4"/>
      <c r="IH123" s="6"/>
      <c r="II123" s="4"/>
      <c r="IJ123" s="6"/>
      <c r="IK123" s="5"/>
      <c r="IL123" s="5"/>
      <c r="IM123" s="4"/>
      <c r="IN123" s="6"/>
      <c r="IO123" s="4"/>
      <c r="IP123" s="6"/>
      <c r="IQ123" s="5"/>
      <c r="IR123" s="5"/>
      <c r="IS123" s="4"/>
      <c r="IT123" s="6"/>
      <c r="IU123" s="4"/>
      <c r="IV123" s="6"/>
      <c r="IW123" s="5"/>
      <c r="IX123" s="5"/>
      <c r="IY123" s="4"/>
      <c r="IZ123" s="6"/>
      <c r="JA123" s="4"/>
      <c r="JB123" s="6"/>
      <c r="JC123" s="5"/>
      <c r="JD123" s="5"/>
      <c r="JE123" s="4"/>
      <c r="JF123" s="6"/>
      <c r="JG123" s="4"/>
      <c r="JH123" s="6"/>
      <c r="JI123" s="5"/>
      <c r="JJ123" s="5"/>
      <c r="JK123" s="4">
        <v>1678</v>
      </c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>
        <v>340</v>
      </c>
      <c r="KI123" s="4"/>
      <c r="KJ123" s="4">
        <v>121</v>
      </c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>
        <v>570</v>
      </c>
      <c r="LB123" s="4">
        <v>73</v>
      </c>
      <c r="LC123" s="4"/>
      <c r="LD123" s="4"/>
      <c r="LE123" s="4"/>
      <c r="LF123" s="4"/>
      <c r="LG123" s="4"/>
      <c r="LH123" s="4"/>
      <c r="LI123" s="4">
        <v>1340</v>
      </c>
      <c r="LJ123" s="4"/>
      <c r="LK123" s="4"/>
      <c r="LL123" s="4"/>
      <c r="LM123" s="4"/>
    </row>
    <row r="124">
      <c r="A124" s="3" t="s">
        <v>136</v>
      </c>
      <c r="B124" s="3" t="s">
        <v>164</v>
      </c>
      <c r="C124" s="3" t="s">
        <v>138</v>
      </c>
      <c r="D124" s="3" t="s">
        <v>139</v>
      </c>
      <c r="E124" s="3" t="s">
        <v>165</v>
      </c>
      <c r="F124" s="3" t="s">
        <v>165</v>
      </c>
      <c r="G124" s="3" t="s">
        <v>165</v>
      </c>
      <c r="H124" s="3" t="s">
        <v>141</v>
      </c>
      <c r="I124" s="3" t="s">
        <v>244</v>
      </c>
      <c r="J124" s="3" t="s">
        <v>243</v>
      </c>
      <c r="K124" s="4">
        <v>2373</v>
      </c>
      <c r="L124" s="4">
        <f>=ROUNDDOWN(25.0845665961945,0)</f>
      </c>
      <c r="M124" s="4">
        <v>520</v>
      </c>
      <c r="N124" s="5">
        <v>1</v>
      </c>
      <c r="O124" s="4"/>
      <c r="P124" s="4">
        <f>=ROUNDDOWN({0},0)</f>
      </c>
      <c r="Q124" s="4"/>
      <c r="R124" s="5"/>
      <c r="S124" s="4">
        <v>1018</v>
      </c>
      <c r="T124" s="6">
        <v>38498.23</v>
      </c>
      <c r="U124" s="4">
        <v>652</v>
      </c>
      <c r="V124" s="6">
        <v>23983.47</v>
      </c>
      <c r="W124" s="5">
        <v>0.5613</v>
      </c>
      <c r="X124" s="5">
        <v>0.6052</v>
      </c>
      <c r="Y124" s="4">
        <v>72</v>
      </c>
      <c r="Z124" s="6">
        <v>2695.48</v>
      </c>
      <c r="AA124" s="4">
        <v>102</v>
      </c>
      <c r="AB124" s="6">
        <v>3820.98</v>
      </c>
      <c r="AC124" s="5">
        <v>-0.2941</v>
      </c>
      <c r="AD124" s="5">
        <v>-0.2946</v>
      </c>
      <c r="AE124" s="4">
        <v>543</v>
      </c>
      <c r="AF124" s="6">
        <v>21414.23</v>
      </c>
      <c r="AG124" s="4">
        <v>15</v>
      </c>
      <c r="AH124" s="6">
        <v>592.79</v>
      </c>
      <c r="AI124" s="5">
        <v>35.2</v>
      </c>
      <c r="AJ124" s="5">
        <v>35.1245</v>
      </c>
      <c r="AK124" s="4"/>
      <c r="AL124" s="6"/>
      <c r="AM124" s="4"/>
      <c r="AN124" s="6"/>
      <c r="AO124" s="5"/>
      <c r="AP124" s="5"/>
      <c r="AQ124" s="4">
        <v>50</v>
      </c>
      <c r="AR124" s="6">
        <v>1878</v>
      </c>
      <c r="AS124" s="4"/>
      <c r="AT124" s="6"/>
      <c r="AU124" s="5"/>
      <c r="AV124" s="5"/>
      <c r="AW124" s="4">
        <v>75</v>
      </c>
      <c r="AX124" s="6">
        <v>2736.16</v>
      </c>
      <c r="AY124" s="4">
        <v>88</v>
      </c>
      <c r="AZ124" s="6">
        <v>3190.04</v>
      </c>
      <c r="BA124" s="5">
        <v>-0.1477</v>
      </c>
      <c r="BB124" s="5">
        <v>-0.1423</v>
      </c>
      <c r="BC124" s="4">
        <v>5</v>
      </c>
      <c r="BD124" s="6">
        <v>203.41</v>
      </c>
      <c r="BE124" s="4">
        <v>15</v>
      </c>
      <c r="BF124" s="6">
        <v>586.21</v>
      </c>
      <c r="BG124" s="5">
        <v>-0.6667</v>
      </c>
      <c r="BH124" s="5">
        <v>-0.653</v>
      </c>
      <c r="BI124" s="4">
        <v>73</v>
      </c>
      <c r="BJ124" s="6">
        <v>2540.14</v>
      </c>
      <c r="BK124" s="4">
        <v>102</v>
      </c>
      <c r="BL124" s="6">
        <v>3633.36</v>
      </c>
      <c r="BM124" s="5">
        <v>-0.2843</v>
      </c>
      <c r="BN124" s="5">
        <v>-0.3009</v>
      </c>
      <c r="BO124" s="4">
        <v>29</v>
      </c>
      <c r="BP124" s="6">
        <v>973.56</v>
      </c>
      <c r="BQ124" s="4">
        <v>4</v>
      </c>
      <c r="BR124" s="6">
        <v>144.64</v>
      </c>
      <c r="BS124" s="5">
        <v>6.25</v>
      </c>
      <c r="BT124" s="5">
        <v>5.7309</v>
      </c>
      <c r="BU124" s="4">
        <v>99</v>
      </c>
      <c r="BV124" s="6">
        <v>3631.34</v>
      </c>
      <c r="BW124" s="4">
        <v>250</v>
      </c>
      <c r="BX124" s="6">
        <v>9136.62</v>
      </c>
      <c r="BY124" s="5">
        <v>-0.604</v>
      </c>
      <c r="BZ124" s="5">
        <v>-0.6026</v>
      </c>
      <c r="CA124" s="4">
        <v>2</v>
      </c>
      <c r="CB124" s="6">
        <v>70.97</v>
      </c>
      <c r="CC124" s="4">
        <v>2</v>
      </c>
      <c r="CD124" s="6">
        <v>67.6</v>
      </c>
      <c r="CE124" s="5"/>
      <c r="CF124" s="5">
        <v>0.0499</v>
      </c>
      <c r="CG124" s="4">
        <v>4</v>
      </c>
      <c r="CH124" s="6">
        <v>145.47</v>
      </c>
      <c r="CI124" s="4"/>
      <c r="CJ124" s="6"/>
      <c r="CK124" s="5"/>
      <c r="CL124" s="5"/>
      <c r="CM124" s="4">
        <v>31</v>
      </c>
      <c r="CN124" s="6">
        <v>1081.85</v>
      </c>
      <c r="CO124" s="4">
        <v>21</v>
      </c>
      <c r="CP124" s="6">
        <v>729.29</v>
      </c>
      <c r="CQ124" s="5">
        <v>0.4762</v>
      </c>
      <c r="CR124" s="5">
        <v>0.4834</v>
      </c>
      <c r="CS124" s="4">
        <v>16</v>
      </c>
      <c r="CT124" s="6">
        <v>538.58</v>
      </c>
      <c r="CU124" s="4"/>
      <c r="CV124" s="6"/>
      <c r="CW124" s="5"/>
      <c r="CX124" s="5"/>
      <c r="CY124" s="4">
        <v>4</v>
      </c>
      <c r="CZ124" s="6">
        <v>144.88</v>
      </c>
      <c r="DA124" s="4">
        <v>10</v>
      </c>
      <c r="DB124" s="6">
        <v>345.33</v>
      </c>
      <c r="DC124" s="5">
        <v>-0.6</v>
      </c>
      <c r="DD124" s="5">
        <v>-0.5805</v>
      </c>
      <c r="DE124" s="4">
        <v>12</v>
      </c>
      <c r="DF124" s="6">
        <v>333.33</v>
      </c>
      <c r="DG124" s="4">
        <v>12</v>
      </c>
      <c r="DH124" s="6">
        <v>431.52</v>
      </c>
      <c r="DI124" s="5"/>
      <c r="DJ124" s="5">
        <v>-0.2275</v>
      </c>
      <c r="DK124" s="4"/>
      <c r="DL124" s="6"/>
      <c r="DM124" s="4">
        <v>3</v>
      </c>
      <c r="DN124" s="6">
        <v>204.97</v>
      </c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>
        <v>2</v>
      </c>
      <c r="EV124" s="6">
        <v>77.02</v>
      </c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>
        <v>1</v>
      </c>
      <c r="FH124" s="6">
        <v>33.81</v>
      </c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>
        <v>25</v>
      </c>
      <c r="FV124" s="6">
        <v>996.28</v>
      </c>
      <c r="FW124" s="5"/>
      <c r="FX124" s="5"/>
      <c r="FY124" s="4"/>
      <c r="FZ124" s="6"/>
      <c r="GA124" s="4">
        <v>3</v>
      </c>
      <c r="GB124" s="6">
        <v>103.84</v>
      </c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  <c r="IA124" s="4"/>
      <c r="IB124" s="6"/>
      <c r="IC124" s="4"/>
      <c r="ID124" s="6"/>
      <c r="IE124" s="5"/>
      <c r="IF124" s="5"/>
      <c r="IG124" s="4"/>
      <c r="IH124" s="6"/>
      <c r="II124" s="4"/>
      <c r="IJ124" s="6"/>
      <c r="IK124" s="5"/>
      <c r="IL124" s="5"/>
      <c r="IM124" s="4"/>
      <c r="IN124" s="6"/>
      <c r="IO124" s="4"/>
      <c r="IP124" s="6"/>
      <c r="IQ124" s="5"/>
      <c r="IR124" s="5"/>
      <c r="IS124" s="4"/>
      <c r="IT124" s="6"/>
      <c r="IU124" s="4"/>
      <c r="IV124" s="6"/>
      <c r="IW124" s="5"/>
      <c r="IX124" s="5"/>
      <c r="IY124" s="4"/>
      <c r="IZ124" s="6"/>
      <c r="JA124" s="4"/>
      <c r="JB124" s="6"/>
      <c r="JC124" s="5"/>
      <c r="JD124" s="5"/>
      <c r="JE124" s="4"/>
      <c r="JF124" s="6"/>
      <c r="JG124" s="4"/>
      <c r="JH124" s="6"/>
      <c r="JI124" s="5"/>
      <c r="JJ124" s="5"/>
      <c r="JK124" s="4">
        <v>2373</v>
      </c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>
        <v>400</v>
      </c>
      <c r="LB124" s="4"/>
      <c r="LC124" s="4"/>
      <c r="LD124" s="4"/>
      <c r="LE124" s="4"/>
      <c r="LF124" s="4"/>
      <c r="LG124" s="4"/>
      <c r="LH124" s="4"/>
      <c r="LI124" s="4">
        <v>120</v>
      </c>
      <c r="LJ124" s="4"/>
      <c r="LK124" s="4"/>
      <c r="LL124" s="4"/>
      <c r="LM124" s="4"/>
    </row>
    <row r="125">
      <c r="A125" s="3" t="s">
        <v>136</v>
      </c>
      <c r="B125" s="3" t="s">
        <v>164</v>
      </c>
      <c r="C125" s="3" t="s">
        <v>138</v>
      </c>
      <c r="D125" s="3" t="s">
        <v>139</v>
      </c>
      <c r="E125" s="3" t="s">
        <v>142</v>
      </c>
      <c r="F125" s="3" t="s">
        <v>142</v>
      </c>
      <c r="G125" s="3" t="s">
        <v>142</v>
      </c>
      <c r="H125" s="3" t="s">
        <v>141</v>
      </c>
      <c r="I125" s="3" t="s">
        <v>227</v>
      </c>
      <c r="J125" s="3" t="s">
        <v>259</v>
      </c>
      <c r="K125" s="4">
        <v>3234</v>
      </c>
      <c r="L125" s="4">
        <f>=ROUNDDOWN(16.3333333333333,0)</f>
      </c>
      <c r="M125" s="4">
        <v>2540</v>
      </c>
      <c r="N125" s="5">
        <v>1</v>
      </c>
      <c r="O125" s="4"/>
      <c r="P125" s="4">
        <f>=ROUNDDOWN({0},0)</f>
      </c>
      <c r="Q125" s="4"/>
      <c r="R125" s="5"/>
      <c r="S125" s="4">
        <v>1929</v>
      </c>
      <c r="T125" s="6">
        <v>66240.36</v>
      </c>
      <c r="U125" s="4">
        <v>1744</v>
      </c>
      <c r="V125" s="6">
        <v>59698.02</v>
      </c>
      <c r="W125" s="5">
        <v>0.1061</v>
      </c>
      <c r="X125" s="5">
        <v>0.1096</v>
      </c>
      <c r="Y125" s="4">
        <v>221</v>
      </c>
      <c r="Z125" s="6">
        <v>7333.13</v>
      </c>
      <c r="AA125" s="4">
        <v>491</v>
      </c>
      <c r="AB125" s="6">
        <v>16405.85</v>
      </c>
      <c r="AC125" s="5">
        <v>-0.5499</v>
      </c>
      <c r="AD125" s="5">
        <v>-0.553</v>
      </c>
      <c r="AE125" s="4">
        <v>247</v>
      </c>
      <c r="AF125" s="6">
        <v>8995.37</v>
      </c>
      <c r="AG125" s="4">
        <v>39</v>
      </c>
      <c r="AH125" s="6">
        <v>1454.96</v>
      </c>
      <c r="AI125" s="5">
        <v>5.3333</v>
      </c>
      <c r="AJ125" s="5">
        <v>5.1826</v>
      </c>
      <c r="AK125" s="4"/>
      <c r="AL125" s="6"/>
      <c r="AM125" s="4"/>
      <c r="AN125" s="6"/>
      <c r="AO125" s="5"/>
      <c r="AP125" s="5"/>
      <c r="AQ125" s="4">
        <v>393</v>
      </c>
      <c r="AR125" s="6">
        <v>14083.79</v>
      </c>
      <c r="AS125" s="4">
        <v>100</v>
      </c>
      <c r="AT125" s="6">
        <v>3556.63</v>
      </c>
      <c r="AU125" s="5">
        <v>2.93</v>
      </c>
      <c r="AV125" s="5">
        <v>2.9599</v>
      </c>
      <c r="AW125" s="4">
        <v>163</v>
      </c>
      <c r="AX125" s="6">
        <v>5643.17</v>
      </c>
      <c r="AY125" s="4">
        <v>197</v>
      </c>
      <c r="AZ125" s="6">
        <v>6779.14</v>
      </c>
      <c r="BA125" s="5">
        <v>-0.1726</v>
      </c>
      <c r="BB125" s="5">
        <v>-0.1676</v>
      </c>
      <c r="BC125" s="4">
        <v>36</v>
      </c>
      <c r="BD125" s="6">
        <v>1376.22</v>
      </c>
      <c r="BE125" s="4">
        <v>85</v>
      </c>
      <c r="BF125" s="6">
        <v>3200.19</v>
      </c>
      <c r="BG125" s="5">
        <v>-0.5765</v>
      </c>
      <c r="BH125" s="5">
        <v>-0.57</v>
      </c>
      <c r="BI125" s="4">
        <v>88</v>
      </c>
      <c r="BJ125" s="6">
        <v>2904.63</v>
      </c>
      <c r="BK125" s="4">
        <v>93</v>
      </c>
      <c r="BL125" s="6">
        <v>3185.5</v>
      </c>
      <c r="BM125" s="5">
        <v>-0.0538</v>
      </c>
      <c r="BN125" s="5">
        <v>-0.0882</v>
      </c>
      <c r="BO125" s="4">
        <v>247</v>
      </c>
      <c r="BP125" s="6">
        <v>7762.12</v>
      </c>
      <c r="BQ125" s="4">
        <v>67</v>
      </c>
      <c r="BR125" s="6">
        <v>2247.13</v>
      </c>
      <c r="BS125" s="5">
        <v>2.6866</v>
      </c>
      <c r="BT125" s="5">
        <v>2.4542</v>
      </c>
      <c r="BU125" s="4">
        <v>36</v>
      </c>
      <c r="BV125" s="6">
        <v>1255.35</v>
      </c>
      <c r="BW125" s="4">
        <v>71</v>
      </c>
      <c r="BX125" s="6">
        <v>2461.72</v>
      </c>
      <c r="BY125" s="5">
        <v>-0.493</v>
      </c>
      <c r="BZ125" s="5">
        <v>-0.4901</v>
      </c>
      <c r="CA125" s="4">
        <v>118</v>
      </c>
      <c r="CB125" s="6">
        <v>4140.12</v>
      </c>
      <c r="CC125" s="4">
        <v>309</v>
      </c>
      <c r="CD125" s="6">
        <v>10591.5</v>
      </c>
      <c r="CE125" s="5">
        <v>-0.6181</v>
      </c>
      <c r="CF125" s="5">
        <v>-0.6091</v>
      </c>
      <c r="CG125" s="4">
        <v>90</v>
      </c>
      <c r="CH125" s="6">
        <v>3243.51</v>
      </c>
      <c r="CI125" s="4">
        <v>12</v>
      </c>
      <c r="CJ125" s="6">
        <v>419.5</v>
      </c>
      <c r="CK125" s="5">
        <v>6.5</v>
      </c>
      <c r="CL125" s="5">
        <v>6.7318</v>
      </c>
      <c r="CM125" s="4">
        <v>209</v>
      </c>
      <c r="CN125" s="6">
        <v>6904.63</v>
      </c>
      <c r="CO125" s="4">
        <v>92</v>
      </c>
      <c r="CP125" s="6">
        <v>3027.2</v>
      </c>
      <c r="CQ125" s="5">
        <v>1.2717</v>
      </c>
      <c r="CR125" s="5">
        <v>1.2809</v>
      </c>
      <c r="CS125" s="4">
        <v>15</v>
      </c>
      <c r="CT125" s="6">
        <v>493.01</v>
      </c>
      <c r="CU125" s="4">
        <v>114</v>
      </c>
      <c r="CV125" s="6">
        <v>3722.98</v>
      </c>
      <c r="CW125" s="5">
        <v>-0.8684</v>
      </c>
      <c r="CX125" s="5">
        <v>-0.8676</v>
      </c>
      <c r="CY125" s="4">
        <v>53</v>
      </c>
      <c r="CZ125" s="6">
        <v>1614.02</v>
      </c>
      <c r="DA125" s="4">
        <v>11</v>
      </c>
      <c r="DB125" s="6">
        <v>342.94</v>
      </c>
      <c r="DC125" s="5">
        <v>3.8182</v>
      </c>
      <c r="DD125" s="5">
        <v>3.7064</v>
      </c>
      <c r="DE125" s="4"/>
      <c r="DF125" s="6"/>
      <c r="DG125" s="4"/>
      <c r="DH125" s="6"/>
      <c r="DI125" s="5"/>
      <c r="DJ125" s="5"/>
      <c r="DK125" s="4">
        <v>4</v>
      </c>
      <c r="DL125" s="6">
        <v>189.66</v>
      </c>
      <c r="DM125" s="4">
        <v>1</v>
      </c>
      <c r="DN125" s="6">
        <v>59.99</v>
      </c>
      <c r="DO125" s="5">
        <v>3</v>
      </c>
      <c r="DP125" s="5">
        <v>2.1615</v>
      </c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>
        <v>5</v>
      </c>
      <c r="ED125" s="6">
        <v>165.55</v>
      </c>
      <c r="EE125" s="4">
        <v>7</v>
      </c>
      <c r="EF125" s="6">
        <v>224.43</v>
      </c>
      <c r="EG125" s="5">
        <v>-0.2857</v>
      </c>
      <c r="EH125" s="5">
        <v>-0.2624</v>
      </c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>
        <v>1</v>
      </c>
      <c r="EX125" s="6">
        <v>39.32</v>
      </c>
      <c r="EY125" s="5"/>
      <c r="EZ125" s="5"/>
      <c r="FA125" s="4"/>
      <c r="FB125" s="6"/>
      <c r="FC125" s="4"/>
      <c r="FD125" s="6"/>
      <c r="FE125" s="5"/>
      <c r="FF125" s="5"/>
      <c r="FG125" s="4">
        <v>3</v>
      </c>
      <c r="FH125" s="6">
        <v>98.57</v>
      </c>
      <c r="FI125" s="4"/>
      <c r="FJ125" s="6"/>
      <c r="FK125" s="5"/>
      <c r="FL125" s="5"/>
      <c r="FM125" s="4">
        <v>1</v>
      </c>
      <c r="FN125" s="6">
        <v>37.51</v>
      </c>
      <c r="FO125" s="4"/>
      <c r="FP125" s="6"/>
      <c r="FQ125" s="5"/>
      <c r="FR125" s="5"/>
      <c r="FS125" s="4"/>
      <c r="FT125" s="6"/>
      <c r="FU125" s="4">
        <v>32</v>
      </c>
      <c r="FV125" s="6">
        <v>1216.46</v>
      </c>
      <c r="FW125" s="5"/>
      <c r="FX125" s="5"/>
      <c r="FY125" s="4"/>
      <c r="FZ125" s="6"/>
      <c r="GA125" s="4">
        <v>3</v>
      </c>
      <c r="GB125" s="6">
        <v>101.71</v>
      </c>
      <c r="GC125" s="5"/>
      <c r="GD125" s="5"/>
      <c r="GE125" s="4"/>
      <c r="GF125" s="6"/>
      <c r="GG125" s="4">
        <v>19</v>
      </c>
      <c r="GH125" s="6">
        <v>660.87</v>
      </c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  <c r="IA125" s="4"/>
      <c r="IB125" s="6"/>
      <c r="IC125" s="4"/>
      <c r="ID125" s="6"/>
      <c r="IE125" s="5"/>
      <c r="IF125" s="5"/>
      <c r="IG125" s="4"/>
      <c r="IH125" s="6"/>
      <c r="II125" s="4"/>
      <c r="IJ125" s="6"/>
      <c r="IK125" s="5"/>
      <c r="IL125" s="5"/>
      <c r="IM125" s="4"/>
      <c r="IN125" s="6"/>
      <c r="IO125" s="4"/>
      <c r="IP125" s="6"/>
      <c r="IQ125" s="5"/>
      <c r="IR125" s="5"/>
      <c r="IS125" s="4"/>
      <c r="IT125" s="6"/>
      <c r="IU125" s="4"/>
      <c r="IV125" s="6"/>
      <c r="IW125" s="5"/>
      <c r="IX125" s="5"/>
      <c r="IY125" s="4"/>
      <c r="IZ125" s="6"/>
      <c r="JA125" s="4"/>
      <c r="JB125" s="6"/>
      <c r="JC125" s="5"/>
      <c r="JD125" s="5"/>
      <c r="JE125" s="4"/>
      <c r="JF125" s="6"/>
      <c r="JG125" s="4"/>
      <c r="JH125" s="6"/>
      <c r="JI125" s="5"/>
      <c r="JJ125" s="5"/>
      <c r="JK125" s="4">
        <v>2838</v>
      </c>
      <c r="JL125" s="4"/>
      <c r="JM125" s="4"/>
      <c r="JN125" s="4"/>
      <c r="JO125" s="4"/>
      <c r="JP125" s="4"/>
      <c r="JQ125" s="4"/>
      <c r="JR125" s="4">
        <v>396</v>
      </c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>
        <v>1000</v>
      </c>
      <c r="KD125" s="4"/>
      <c r="KE125" s="4"/>
      <c r="KF125" s="4"/>
      <c r="KG125" s="4"/>
      <c r="KH125" s="4">
        <v>226</v>
      </c>
      <c r="KI125" s="4"/>
      <c r="KJ125" s="4">
        <v>690</v>
      </c>
      <c r="KK125" s="4"/>
      <c r="KL125" s="4"/>
      <c r="KM125" s="4"/>
      <c r="KN125" s="4"/>
      <c r="KO125" s="4"/>
      <c r="KP125" s="4"/>
      <c r="KQ125" s="4"/>
      <c r="KR125" s="4">
        <v>14</v>
      </c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>
        <v>610</v>
      </c>
      <c r="LH125" s="4"/>
      <c r="LI125" s="4"/>
      <c r="LJ125" s="4"/>
      <c r="LK125" s="4"/>
      <c r="LL125" s="4"/>
      <c r="LM125" s="4"/>
    </row>
    <row r="126">
      <c r="A126" s="3" t="s">
        <v>136</v>
      </c>
      <c r="B126" s="3" t="s">
        <v>164</v>
      </c>
      <c r="C126" s="3" t="s">
        <v>138</v>
      </c>
      <c r="D126" s="3" t="s">
        <v>139</v>
      </c>
      <c r="E126" s="3" t="s">
        <v>142</v>
      </c>
      <c r="F126" s="3" t="s">
        <v>142</v>
      </c>
      <c r="G126" s="3" t="s">
        <v>142</v>
      </c>
      <c r="H126" s="3" t="s">
        <v>141</v>
      </c>
      <c r="I126" s="3" t="s">
        <v>230</v>
      </c>
      <c r="J126" s="3" t="s">
        <v>242</v>
      </c>
      <c r="K126" s="4">
        <v>2775</v>
      </c>
      <c r="L126" s="4">
        <f>=ROUNDDOWN(26.657060518732,0)</f>
      </c>
      <c r="M126" s="4">
        <v>1590</v>
      </c>
      <c r="N126" s="5">
        <v>1</v>
      </c>
      <c r="O126" s="4"/>
      <c r="P126" s="4">
        <f>=ROUNDDOWN({0},0)</f>
      </c>
      <c r="Q126" s="4"/>
      <c r="R126" s="5"/>
      <c r="S126" s="4">
        <v>936</v>
      </c>
      <c r="T126" s="6">
        <v>32342.89</v>
      </c>
      <c r="U126" s="4">
        <v>1507</v>
      </c>
      <c r="V126" s="6">
        <v>51368.57</v>
      </c>
      <c r="W126" s="5">
        <v>-0.3789</v>
      </c>
      <c r="X126" s="5">
        <v>-0.3704</v>
      </c>
      <c r="Y126" s="4">
        <v>181</v>
      </c>
      <c r="Z126" s="6">
        <v>6089.08</v>
      </c>
      <c r="AA126" s="4">
        <v>327</v>
      </c>
      <c r="AB126" s="6">
        <v>10958.67</v>
      </c>
      <c r="AC126" s="5">
        <v>-0.4465</v>
      </c>
      <c r="AD126" s="5">
        <v>-0.4444</v>
      </c>
      <c r="AE126" s="4">
        <v>127</v>
      </c>
      <c r="AF126" s="6">
        <v>4725.33</v>
      </c>
      <c r="AG126" s="4">
        <v>30</v>
      </c>
      <c r="AH126" s="6">
        <v>1117.43</v>
      </c>
      <c r="AI126" s="5">
        <v>3.2333</v>
      </c>
      <c r="AJ126" s="5">
        <v>3.2287</v>
      </c>
      <c r="AK126" s="4"/>
      <c r="AL126" s="6"/>
      <c r="AM126" s="4"/>
      <c r="AN126" s="6"/>
      <c r="AO126" s="5"/>
      <c r="AP126" s="5"/>
      <c r="AQ126" s="4">
        <v>101</v>
      </c>
      <c r="AR126" s="6">
        <v>3529.88</v>
      </c>
      <c r="AS126" s="4">
        <v>87</v>
      </c>
      <c r="AT126" s="6">
        <v>3009.79</v>
      </c>
      <c r="AU126" s="5">
        <v>0.1609</v>
      </c>
      <c r="AV126" s="5">
        <v>0.1728</v>
      </c>
      <c r="AW126" s="4">
        <v>158</v>
      </c>
      <c r="AX126" s="6">
        <v>5515.24</v>
      </c>
      <c r="AY126" s="4">
        <v>183</v>
      </c>
      <c r="AZ126" s="6">
        <v>6369.42</v>
      </c>
      <c r="BA126" s="5">
        <v>-0.1366</v>
      </c>
      <c r="BB126" s="5">
        <v>-0.1341</v>
      </c>
      <c r="BC126" s="4">
        <v>47</v>
      </c>
      <c r="BD126" s="6">
        <v>1784.47</v>
      </c>
      <c r="BE126" s="4">
        <v>53</v>
      </c>
      <c r="BF126" s="6">
        <v>1998.51</v>
      </c>
      <c r="BG126" s="5">
        <v>-0.1132</v>
      </c>
      <c r="BH126" s="5">
        <v>-0.1071</v>
      </c>
      <c r="BI126" s="4">
        <v>93</v>
      </c>
      <c r="BJ126" s="6">
        <v>3095.58</v>
      </c>
      <c r="BK126" s="4">
        <v>174</v>
      </c>
      <c r="BL126" s="6">
        <v>5851.25</v>
      </c>
      <c r="BM126" s="5">
        <v>-0.4655</v>
      </c>
      <c r="BN126" s="5">
        <v>-0.471</v>
      </c>
      <c r="BO126" s="4">
        <v>87</v>
      </c>
      <c r="BP126" s="6">
        <v>2737.96</v>
      </c>
      <c r="BQ126" s="4">
        <v>38</v>
      </c>
      <c r="BR126" s="6">
        <v>1253.51</v>
      </c>
      <c r="BS126" s="5">
        <v>1.2895</v>
      </c>
      <c r="BT126" s="5">
        <v>1.1842</v>
      </c>
      <c r="BU126" s="4">
        <v>15</v>
      </c>
      <c r="BV126" s="6">
        <v>505.83</v>
      </c>
      <c r="BW126" s="4">
        <v>45</v>
      </c>
      <c r="BX126" s="6">
        <v>1556.1</v>
      </c>
      <c r="BY126" s="5">
        <v>-0.6667</v>
      </c>
      <c r="BZ126" s="5">
        <v>-0.6749</v>
      </c>
      <c r="CA126" s="4">
        <v>3</v>
      </c>
      <c r="CB126" s="6">
        <v>128.97</v>
      </c>
      <c r="CC126" s="4">
        <v>210</v>
      </c>
      <c r="CD126" s="6">
        <v>7313.47</v>
      </c>
      <c r="CE126" s="5">
        <v>-0.9857</v>
      </c>
      <c r="CF126" s="5">
        <v>-0.9824</v>
      </c>
      <c r="CG126" s="4"/>
      <c r="CH126" s="6"/>
      <c r="CI126" s="4">
        <v>3</v>
      </c>
      <c r="CJ126" s="6">
        <v>107.91</v>
      </c>
      <c r="CK126" s="5"/>
      <c r="CL126" s="5"/>
      <c r="CM126" s="4">
        <v>61</v>
      </c>
      <c r="CN126" s="6">
        <v>2067.95</v>
      </c>
      <c r="CO126" s="4">
        <v>29</v>
      </c>
      <c r="CP126" s="6">
        <v>984.69</v>
      </c>
      <c r="CQ126" s="5">
        <v>1.1034</v>
      </c>
      <c r="CR126" s="5">
        <v>1.1001</v>
      </c>
      <c r="CS126" s="4">
        <v>32</v>
      </c>
      <c r="CT126" s="6">
        <v>1068.54</v>
      </c>
      <c r="CU126" s="4">
        <v>271</v>
      </c>
      <c r="CV126" s="6">
        <v>8865.29</v>
      </c>
      <c r="CW126" s="5">
        <v>-0.8819</v>
      </c>
      <c r="CX126" s="5">
        <v>-0.8795</v>
      </c>
      <c r="CY126" s="4">
        <v>9</v>
      </c>
      <c r="CZ126" s="6">
        <v>272.18</v>
      </c>
      <c r="DA126" s="4">
        <v>15</v>
      </c>
      <c r="DB126" s="6">
        <v>449.1</v>
      </c>
      <c r="DC126" s="5">
        <v>-0.4</v>
      </c>
      <c r="DD126" s="5">
        <v>-0.3939</v>
      </c>
      <c r="DE126" s="4"/>
      <c r="DF126" s="6"/>
      <c r="DG126" s="4"/>
      <c r="DH126" s="6"/>
      <c r="DI126" s="5"/>
      <c r="DJ126" s="5"/>
      <c r="DK126" s="4">
        <v>3</v>
      </c>
      <c r="DL126" s="6">
        <v>195.17</v>
      </c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>
        <v>5</v>
      </c>
      <c r="ED126" s="6">
        <v>163.07</v>
      </c>
      <c r="EE126" s="4">
        <v>3</v>
      </c>
      <c r="EF126" s="6">
        <v>101.71</v>
      </c>
      <c r="EG126" s="5">
        <v>0.6667</v>
      </c>
      <c r="EH126" s="5">
        <v>0.6033</v>
      </c>
      <c r="EI126" s="4">
        <v>6</v>
      </c>
      <c r="EJ126" s="6">
        <v>203.16</v>
      </c>
      <c r="EK126" s="4">
        <v>4</v>
      </c>
      <c r="EL126" s="6">
        <v>135.44</v>
      </c>
      <c r="EM126" s="5">
        <v>0.5</v>
      </c>
      <c r="EN126" s="5">
        <v>0.5</v>
      </c>
      <c r="EO126" s="4"/>
      <c r="EP126" s="6"/>
      <c r="EQ126" s="4"/>
      <c r="ER126" s="6"/>
      <c r="ES126" s="5"/>
      <c r="ET126" s="5"/>
      <c r="EU126" s="4">
        <v>1</v>
      </c>
      <c r="EV126" s="6">
        <v>36.05</v>
      </c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>
        <v>7</v>
      </c>
      <c r="FH126" s="6">
        <v>224.43</v>
      </c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>
        <v>33</v>
      </c>
      <c r="FV126" s="6">
        <v>1224.84</v>
      </c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>
        <v>2</v>
      </c>
      <c r="GH126" s="6">
        <v>71.44</v>
      </c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  <c r="IA126" s="4"/>
      <c r="IB126" s="6"/>
      <c r="IC126" s="4"/>
      <c r="ID126" s="6"/>
      <c r="IE126" s="5"/>
      <c r="IF126" s="5"/>
      <c r="IG126" s="4"/>
      <c r="IH126" s="6"/>
      <c r="II126" s="4"/>
      <c r="IJ126" s="6"/>
      <c r="IK126" s="5"/>
      <c r="IL126" s="5"/>
      <c r="IM126" s="4"/>
      <c r="IN126" s="6"/>
      <c r="IO126" s="4"/>
      <c r="IP126" s="6"/>
      <c r="IQ126" s="5"/>
      <c r="IR126" s="5"/>
      <c r="IS126" s="4"/>
      <c r="IT126" s="6"/>
      <c r="IU126" s="4"/>
      <c r="IV126" s="6"/>
      <c r="IW126" s="5"/>
      <c r="IX126" s="5"/>
      <c r="IY126" s="4"/>
      <c r="IZ126" s="6"/>
      <c r="JA126" s="4"/>
      <c r="JB126" s="6"/>
      <c r="JC126" s="5"/>
      <c r="JD126" s="5"/>
      <c r="JE126" s="4"/>
      <c r="JF126" s="6"/>
      <c r="JG126" s="4"/>
      <c r="JH126" s="6"/>
      <c r="JI126" s="5"/>
      <c r="JJ126" s="5"/>
      <c r="JK126" s="4">
        <v>2667</v>
      </c>
      <c r="JL126" s="4"/>
      <c r="JM126" s="4"/>
      <c r="JN126" s="4"/>
      <c r="JO126" s="4"/>
      <c r="JP126" s="4"/>
      <c r="JQ126" s="4"/>
      <c r="JR126" s="4">
        <v>108</v>
      </c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>
        <v>230</v>
      </c>
      <c r="KD126" s="4"/>
      <c r="KE126" s="4"/>
      <c r="KF126" s="4"/>
      <c r="KG126" s="4"/>
      <c r="KH126" s="4">
        <v>212</v>
      </c>
      <c r="KI126" s="4"/>
      <c r="KJ126" s="4">
        <v>519</v>
      </c>
      <c r="KK126" s="4"/>
      <c r="KL126" s="4"/>
      <c r="KM126" s="4"/>
      <c r="KN126" s="4"/>
      <c r="KO126" s="4"/>
      <c r="KP126" s="4"/>
      <c r="KQ126" s="4"/>
      <c r="KR126" s="4">
        <v>19</v>
      </c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>
        <v>610</v>
      </c>
      <c r="LH126" s="4"/>
      <c r="LI126" s="4"/>
      <c r="LJ126" s="4"/>
      <c r="LK126" s="4"/>
      <c r="LL126" s="4"/>
      <c r="LM126" s="4"/>
    </row>
    <row r="127">
      <c r="A127" s="3" t="s">
        <v>136</v>
      </c>
      <c r="B127" s="3" t="s">
        <v>164</v>
      </c>
      <c r="C127" s="3" t="s">
        <v>138</v>
      </c>
      <c r="D127" s="3" t="s">
        <v>139</v>
      </c>
      <c r="E127" s="3" t="s">
        <v>142</v>
      </c>
      <c r="F127" s="3" t="s">
        <v>142</v>
      </c>
      <c r="G127" s="3" t="s">
        <v>142</v>
      </c>
      <c r="H127" s="3" t="s">
        <v>141</v>
      </c>
      <c r="I127" s="3" t="s">
        <v>229</v>
      </c>
      <c r="J127" s="3" t="s">
        <v>242</v>
      </c>
      <c r="K127" s="4">
        <v>2514</v>
      </c>
      <c r="L127" s="4">
        <f>=ROUNDDOWN(22.5876010781671,0)</f>
      </c>
      <c r="M127" s="4">
        <v>845</v>
      </c>
      <c r="N127" s="5">
        <v>1</v>
      </c>
      <c r="O127" s="4"/>
      <c r="P127" s="4">
        <f>=ROUNDDOWN({0},0)</f>
      </c>
      <c r="Q127" s="4"/>
      <c r="R127" s="5"/>
      <c r="S127" s="4">
        <v>909</v>
      </c>
      <c r="T127" s="6">
        <v>30950.39</v>
      </c>
      <c r="U127" s="4">
        <v>1205</v>
      </c>
      <c r="V127" s="6">
        <v>41078.75</v>
      </c>
      <c r="W127" s="5">
        <v>-0.2456</v>
      </c>
      <c r="X127" s="5">
        <v>-0.2466</v>
      </c>
      <c r="Y127" s="4">
        <v>181</v>
      </c>
      <c r="Z127" s="6">
        <v>6011.4</v>
      </c>
      <c r="AA127" s="4">
        <v>325</v>
      </c>
      <c r="AB127" s="6">
        <v>10840.13</v>
      </c>
      <c r="AC127" s="5">
        <v>-0.4431</v>
      </c>
      <c r="AD127" s="5">
        <v>-0.4454</v>
      </c>
      <c r="AE127" s="4">
        <v>97</v>
      </c>
      <c r="AF127" s="6">
        <v>3555.55</v>
      </c>
      <c r="AG127" s="4">
        <v>16</v>
      </c>
      <c r="AH127" s="6">
        <v>589.86</v>
      </c>
      <c r="AI127" s="5">
        <v>5.0625</v>
      </c>
      <c r="AJ127" s="5">
        <v>5.0278</v>
      </c>
      <c r="AK127" s="4"/>
      <c r="AL127" s="6"/>
      <c r="AM127" s="4"/>
      <c r="AN127" s="6"/>
      <c r="AO127" s="5"/>
      <c r="AP127" s="5"/>
      <c r="AQ127" s="4"/>
      <c r="AR127" s="6"/>
      <c r="AS127" s="4"/>
      <c r="AT127" s="6"/>
      <c r="AU127" s="5"/>
      <c r="AV127" s="5"/>
      <c r="AW127" s="4">
        <v>234</v>
      </c>
      <c r="AX127" s="6">
        <v>8122.92</v>
      </c>
      <c r="AY127" s="4">
        <v>295</v>
      </c>
      <c r="AZ127" s="6">
        <v>10202.06</v>
      </c>
      <c r="BA127" s="5">
        <v>-0.2068</v>
      </c>
      <c r="BB127" s="5">
        <v>-0.2038</v>
      </c>
      <c r="BC127" s="4">
        <v>42</v>
      </c>
      <c r="BD127" s="6">
        <v>1593.52</v>
      </c>
      <c r="BE127" s="4">
        <v>41</v>
      </c>
      <c r="BF127" s="6">
        <v>1553.99</v>
      </c>
      <c r="BG127" s="5">
        <v>0.0244</v>
      </c>
      <c r="BH127" s="5">
        <v>0.0254</v>
      </c>
      <c r="BI127" s="4">
        <v>90</v>
      </c>
      <c r="BJ127" s="6">
        <v>2979.84</v>
      </c>
      <c r="BK127" s="4">
        <v>105</v>
      </c>
      <c r="BL127" s="6">
        <v>3572.2</v>
      </c>
      <c r="BM127" s="5">
        <v>-0.1429</v>
      </c>
      <c r="BN127" s="5">
        <v>-0.1658</v>
      </c>
      <c r="BO127" s="4">
        <v>81</v>
      </c>
      <c r="BP127" s="6">
        <v>2514.64</v>
      </c>
      <c r="BQ127" s="4">
        <v>34</v>
      </c>
      <c r="BR127" s="6">
        <v>1158.35</v>
      </c>
      <c r="BS127" s="5">
        <v>1.3824</v>
      </c>
      <c r="BT127" s="5">
        <v>1.1709</v>
      </c>
      <c r="BU127" s="4">
        <v>12</v>
      </c>
      <c r="BV127" s="6">
        <v>415.38</v>
      </c>
      <c r="BW127" s="4">
        <v>36</v>
      </c>
      <c r="BX127" s="6">
        <v>1261.95</v>
      </c>
      <c r="BY127" s="5">
        <v>-0.6667</v>
      </c>
      <c r="BZ127" s="5">
        <v>-0.6708</v>
      </c>
      <c r="CA127" s="4">
        <v>8</v>
      </c>
      <c r="CB127" s="6">
        <v>253.51</v>
      </c>
      <c r="CC127" s="4">
        <v>108</v>
      </c>
      <c r="CD127" s="6">
        <v>3725.27</v>
      </c>
      <c r="CE127" s="5">
        <v>-0.9259</v>
      </c>
      <c r="CF127" s="5">
        <v>-0.9319</v>
      </c>
      <c r="CG127" s="4">
        <v>8</v>
      </c>
      <c r="CH127" s="6">
        <v>290.06</v>
      </c>
      <c r="CI127" s="4"/>
      <c r="CJ127" s="6"/>
      <c r="CK127" s="5"/>
      <c r="CL127" s="5"/>
      <c r="CM127" s="4">
        <v>96</v>
      </c>
      <c r="CN127" s="6">
        <v>3204.3</v>
      </c>
      <c r="CO127" s="4">
        <v>29</v>
      </c>
      <c r="CP127" s="6">
        <v>956.25</v>
      </c>
      <c r="CQ127" s="5">
        <v>2.3103</v>
      </c>
      <c r="CR127" s="5">
        <v>2.3509</v>
      </c>
      <c r="CS127" s="4">
        <v>24</v>
      </c>
      <c r="CT127" s="6">
        <v>774.5</v>
      </c>
      <c r="CU127" s="4">
        <v>148</v>
      </c>
      <c r="CV127" s="6">
        <v>4848.42</v>
      </c>
      <c r="CW127" s="5">
        <v>-0.8378</v>
      </c>
      <c r="CX127" s="5">
        <v>-0.8403</v>
      </c>
      <c r="CY127" s="4">
        <v>4</v>
      </c>
      <c r="CZ127" s="6">
        <v>114.32</v>
      </c>
      <c r="DA127" s="4">
        <v>10</v>
      </c>
      <c r="DB127" s="6">
        <v>293.96</v>
      </c>
      <c r="DC127" s="5">
        <v>-0.6</v>
      </c>
      <c r="DD127" s="5">
        <v>-0.6111</v>
      </c>
      <c r="DE127" s="4"/>
      <c r="DF127" s="6"/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>
        <v>4</v>
      </c>
      <c r="ED127" s="6">
        <v>136.44</v>
      </c>
      <c r="EE127" s="4">
        <v>2</v>
      </c>
      <c r="EF127" s="6">
        <v>69.46</v>
      </c>
      <c r="EG127" s="5">
        <v>1</v>
      </c>
      <c r="EH127" s="5">
        <v>0.9643</v>
      </c>
      <c r="EI127" s="4">
        <v>26</v>
      </c>
      <c r="EJ127" s="6">
        <v>919.51</v>
      </c>
      <c r="EK127" s="4">
        <v>29</v>
      </c>
      <c r="EL127" s="6">
        <v>1034.14</v>
      </c>
      <c r="EM127" s="5">
        <v>-0.1034</v>
      </c>
      <c r="EN127" s="5">
        <v>-0.1108</v>
      </c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>
        <v>2</v>
      </c>
      <c r="FH127" s="6">
        <v>64.5</v>
      </c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>
        <v>14</v>
      </c>
      <c r="FV127" s="6">
        <v>532.46</v>
      </c>
      <c r="FW127" s="5"/>
      <c r="FX127" s="5"/>
      <c r="FY127" s="4"/>
      <c r="FZ127" s="6"/>
      <c r="GA127" s="4">
        <v>13</v>
      </c>
      <c r="GB127" s="6">
        <v>440.25</v>
      </c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  <c r="IA127" s="4"/>
      <c r="IB127" s="6"/>
      <c r="IC127" s="4"/>
      <c r="ID127" s="6"/>
      <c r="IE127" s="5"/>
      <c r="IF127" s="5"/>
      <c r="IG127" s="4"/>
      <c r="IH127" s="6"/>
      <c r="II127" s="4"/>
      <c r="IJ127" s="6"/>
      <c r="IK127" s="5"/>
      <c r="IL127" s="5"/>
      <c r="IM127" s="4"/>
      <c r="IN127" s="6"/>
      <c r="IO127" s="4"/>
      <c r="IP127" s="6"/>
      <c r="IQ127" s="5"/>
      <c r="IR127" s="5"/>
      <c r="IS127" s="4"/>
      <c r="IT127" s="6"/>
      <c r="IU127" s="4"/>
      <c r="IV127" s="6"/>
      <c r="IW127" s="5"/>
      <c r="IX127" s="5"/>
      <c r="IY127" s="4"/>
      <c r="IZ127" s="6"/>
      <c r="JA127" s="4"/>
      <c r="JB127" s="6"/>
      <c r="JC127" s="5"/>
      <c r="JD127" s="5"/>
      <c r="JE127" s="4"/>
      <c r="JF127" s="6"/>
      <c r="JG127" s="4"/>
      <c r="JH127" s="6"/>
      <c r="JI127" s="5"/>
      <c r="JJ127" s="5"/>
      <c r="JK127" s="4">
        <v>2514</v>
      </c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>
        <v>240</v>
      </c>
      <c r="KD127" s="4"/>
      <c r="KE127" s="4"/>
      <c r="KF127" s="4"/>
      <c r="KG127" s="4"/>
      <c r="KH127" s="4">
        <v>174</v>
      </c>
      <c r="KI127" s="4"/>
      <c r="KJ127" s="4">
        <v>385</v>
      </c>
      <c r="KK127" s="4"/>
      <c r="KL127" s="4"/>
      <c r="KM127" s="4"/>
      <c r="KN127" s="4"/>
      <c r="KO127" s="4"/>
      <c r="KP127" s="4"/>
      <c r="KQ127" s="4"/>
      <c r="KR127" s="4">
        <v>46</v>
      </c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</row>
    <row r="128">
      <c r="A128" s="3" t="s">
        <v>136</v>
      </c>
      <c r="B128" s="3" t="s">
        <v>164</v>
      </c>
      <c r="C128" s="3" t="s">
        <v>138</v>
      </c>
      <c r="D128" s="3" t="s">
        <v>139</v>
      </c>
      <c r="E128" s="3" t="s">
        <v>142</v>
      </c>
      <c r="F128" s="3" t="s">
        <v>142</v>
      </c>
      <c r="G128" s="3" t="s">
        <v>142</v>
      </c>
      <c r="H128" s="3" t="s">
        <v>141</v>
      </c>
      <c r="I128" s="3" t="s">
        <v>244</v>
      </c>
      <c r="J128" s="3" t="s">
        <v>242</v>
      </c>
      <c r="K128" s="4">
        <v>1994</v>
      </c>
      <c r="L128" s="4">
        <f>=ROUNDDOWN(17.4912280701754,0)</f>
      </c>
      <c r="M128" s="4">
        <v>1907</v>
      </c>
      <c r="N128" s="5">
        <v>1</v>
      </c>
      <c r="O128" s="4"/>
      <c r="P128" s="4">
        <f>=ROUNDDOWN({0},0)</f>
      </c>
      <c r="Q128" s="4"/>
      <c r="R128" s="5"/>
      <c r="S128" s="4">
        <v>903</v>
      </c>
      <c r="T128" s="6">
        <v>30483.38</v>
      </c>
      <c r="U128" s="4">
        <v>1257</v>
      </c>
      <c r="V128" s="6">
        <v>42487.69</v>
      </c>
      <c r="W128" s="5">
        <v>-0.2816</v>
      </c>
      <c r="X128" s="5">
        <v>-0.2825</v>
      </c>
      <c r="Y128" s="4">
        <v>223</v>
      </c>
      <c r="Z128" s="6">
        <v>7388.3</v>
      </c>
      <c r="AA128" s="4">
        <v>341</v>
      </c>
      <c r="AB128" s="6">
        <v>11339.09</v>
      </c>
      <c r="AC128" s="5">
        <v>-0.346</v>
      </c>
      <c r="AD128" s="5">
        <v>-0.3484</v>
      </c>
      <c r="AE128" s="4">
        <v>95</v>
      </c>
      <c r="AF128" s="6">
        <v>3457.25</v>
      </c>
      <c r="AG128" s="4">
        <v>13</v>
      </c>
      <c r="AH128" s="6">
        <v>465.34</v>
      </c>
      <c r="AI128" s="5">
        <v>6.3077</v>
      </c>
      <c r="AJ128" s="5">
        <v>6.4295</v>
      </c>
      <c r="AK128" s="4"/>
      <c r="AL128" s="6"/>
      <c r="AM128" s="4"/>
      <c r="AN128" s="6"/>
      <c r="AO128" s="5"/>
      <c r="AP128" s="5"/>
      <c r="AQ128" s="4">
        <v>13</v>
      </c>
      <c r="AR128" s="6">
        <v>431.1</v>
      </c>
      <c r="AS128" s="4"/>
      <c r="AT128" s="6"/>
      <c r="AU128" s="5"/>
      <c r="AV128" s="5"/>
      <c r="AW128" s="4">
        <v>204</v>
      </c>
      <c r="AX128" s="6">
        <v>7074.27</v>
      </c>
      <c r="AY128" s="4">
        <v>240</v>
      </c>
      <c r="AZ128" s="6">
        <v>8346.42</v>
      </c>
      <c r="BA128" s="5">
        <v>-0.15</v>
      </c>
      <c r="BB128" s="5">
        <v>-0.1524</v>
      </c>
      <c r="BC128" s="4">
        <v>33</v>
      </c>
      <c r="BD128" s="6">
        <v>1224.81</v>
      </c>
      <c r="BE128" s="4">
        <v>37</v>
      </c>
      <c r="BF128" s="6">
        <v>1389.37</v>
      </c>
      <c r="BG128" s="5">
        <v>-0.1081</v>
      </c>
      <c r="BH128" s="5">
        <v>-0.1184</v>
      </c>
      <c r="BI128" s="4">
        <v>144</v>
      </c>
      <c r="BJ128" s="6">
        <v>4759.1</v>
      </c>
      <c r="BK128" s="4">
        <v>151</v>
      </c>
      <c r="BL128" s="6">
        <v>5127.96</v>
      </c>
      <c r="BM128" s="5">
        <v>-0.0464</v>
      </c>
      <c r="BN128" s="5">
        <v>-0.0719</v>
      </c>
      <c r="BO128" s="4">
        <v>59</v>
      </c>
      <c r="BP128" s="6">
        <v>1820.77</v>
      </c>
      <c r="BQ128" s="4">
        <v>23</v>
      </c>
      <c r="BR128" s="6">
        <v>772.34</v>
      </c>
      <c r="BS128" s="5">
        <v>1.5652</v>
      </c>
      <c r="BT128" s="5">
        <v>1.3575</v>
      </c>
      <c r="BU128" s="4">
        <v>14</v>
      </c>
      <c r="BV128" s="6">
        <v>472.66</v>
      </c>
      <c r="BW128" s="4">
        <v>38</v>
      </c>
      <c r="BX128" s="6">
        <v>1323.07</v>
      </c>
      <c r="BY128" s="5">
        <v>-0.6316</v>
      </c>
      <c r="BZ128" s="5">
        <v>-0.6428</v>
      </c>
      <c r="CA128" s="4">
        <v>9</v>
      </c>
      <c r="CB128" s="6">
        <v>289.52</v>
      </c>
      <c r="CC128" s="4">
        <v>134</v>
      </c>
      <c r="CD128" s="6">
        <v>4521.05</v>
      </c>
      <c r="CE128" s="5">
        <v>-0.9328</v>
      </c>
      <c r="CF128" s="5">
        <v>-0.936</v>
      </c>
      <c r="CG128" s="4">
        <v>9</v>
      </c>
      <c r="CH128" s="6">
        <v>319.73</v>
      </c>
      <c r="CI128" s="4"/>
      <c r="CJ128" s="6"/>
      <c r="CK128" s="5"/>
      <c r="CL128" s="5"/>
      <c r="CM128" s="4">
        <v>41</v>
      </c>
      <c r="CN128" s="6">
        <v>1342.09</v>
      </c>
      <c r="CO128" s="4">
        <v>16</v>
      </c>
      <c r="CP128" s="6">
        <v>523.44</v>
      </c>
      <c r="CQ128" s="5">
        <v>1.5625</v>
      </c>
      <c r="CR128" s="5">
        <v>1.564</v>
      </c>
      <c r="CS128" s="4">
        <v>33</v>
      </c>
      <c r="CT128" s="6">
        <v>1080.79</v>
      </c>
      <c r="CU128" s="4">
        <v>197</v>
      </c>
      <c r="CV128" s="6">
        <v>6433.47</v>
      </c>
      <c r="CW128" s="5">
        <v>-0.8325</v>
      </c>
      <c r="CX128" s="5">
        <v>-0.832</v>
      </c>
      <c r="CY128" s="4">
        <v>9</v>
      </c>
      <c r="CZ128" s="6">
        <v>264.02</v>
      </c>
      <c r="DA128" s="4">
        <v>12</v>
      </c>
      <c r="DB128" s="6">
        <v>356.56</v>
      </c>
      <c r="DC128" s="5">
        <v>-0.25</v>
      </c>
      <c r="DD128" s="5">
        <v>-0.2595</v>
      </c>
      <c r="DE128" s="4"/>
      <c r="DF128" s="6"/>
      <c r="DG128" s="4"/>
      <c r="DH128" s="6"/>
      <c r="DI128" s="5"/>
      <c r="DJ128" s="5"/>
      <c r="DK128" s="4"/>
      <c r="DL128" s="6"/>
      <c r="DM128" s="4">
        <v>1</v>
      </c>
      <c r="DN128" s="6">
        <v>59.99</v>
      </c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>
        <v>12</v>
      </c>
      <c r="ED128" s="6">
        <v>390.64</v>
      </c>
      <c r="EE128" s="4">
        <v>11</v>
      </c>
      <c r="EF128" s="6">
        <v>356.57</v>
      </c>
      <c r="EG128" s="5">
        <v>0.0909</v>
      </c>
      <c r="EH128" s="5">
        <v>0.0955</v>
      </c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>
        <v>1</v>
      </c>
      <c r="EX128" s="6">
        <v>39.32</v>
      </c>
      <c r="EY128" s="5"/>
      <c r="EZ128" s="5"/>
      <c r="FA128" s="4"/>
      <c r="FB128" s="6"/>
      <c r="FC128" s="4"/>
      <c r="FD128" s="6"/>
      <c r="FE128" s="5"/>
      <c r="FF128" s="5"/>
      <c r="FG128" s="4">
        <v>4</v>
      </c>
      <c r="FH128" s="6">
        <v>130.82</v>
      </c>
      <c r="FI128" s="4"/>
      <c r="FJ128" s="6"/>
      <c r="FK128" s="5"/>
      <c r="FL128" s="5"/>
      <c r="FM128" s="4">
        <v>1</v>
      </c>
      <c r="FN128" s="6">
        <v>37.51</v>
      </c>
      <c r="FO128" s="4"/>
      <c r="FP128" s="6"/>
      <c r="FQ128" s="5"/>
      <c r="FR128" s="5"/>
      <c r="FS128" s="4"/>
      <c r="FT128" s="6"/>
      <c r="FU128" s="4">
        <v>12</v>
      </c>
      <c r="FV128" s="6">
        <v>454.62</v>
      </c>
      <c r="FW128" s="5"/>
      <c r="FX128" s="5"/>
      <c r="FY128" s="4"/>
      <c r="FZ128" s="6"/>
      <c r="GA128" s="4">
        <v>30</v>
      </c>
      <c r="GB128" s="6">
        <v>979.08</v>
      </c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  <c r="IA128" s="4"/>
      <c r="IB128" s="6"/>
      <c r="IC128" s="4"/>
      <c r="ID128" s="6"/>
      <c r="IE128" s="5"/>
      <c r="IF128" s="5"/>
      <c r="IG128" s="4"/>
      <c r="IH128" s="6"/>
      <c r="II128" s="4"/>
      <c r="IJ128" s="6"/>
      <c r="IK128" s="5"/>
      <c r="IL128" s="5"/>
      <c r="IM128" s="4"/>
      <c r="IN128" s="6"/>
      <c r="IO128" s="4"/>
      <c r="IP128" s="6"/>
      <c r="IQ128" s="5"/>
      <c r="IR128" s="5"/>
      <c r="IS128" s="4"/>
      <c r="IT128" s="6"/>
      <c r="IU128" s="4"/>
      <c r="IV128" s="6"/>
      <c r="IW128" s="5"/>
      <c r="IX128" s="5"/>
      <c r="IY128" s="4"/>
      <c r="IZ128" s="6"/>
      <c r="JA128" s="4"/>
      <c r="JB128" s="6"/>
      <c r="JC128" s="5"/>
      <c r="JD128" s="5"/>
      <c r="JE128" s="4"/>
      <c r="JF128" s="6"/>
      <c r="JG128" s="4"/>
      <c r="JH128" s="6"/>
      <c r="JI128" s="5"/>
      <c r="JJ128" s="5"/>
      <c r="JK128" s="4">
        <v>1677</v>
      </c>
      <c r="JL128" s="4"/>
      <c r="JM128" s="4"/>
      <c r="JN128" s="4"/>
      <c r="JO128" s="4"/>
      <c r="JP128" s="4"/>
      <c r="JQ128" s="4"/>
      <c r="JR128" s="4">
        <v>317</v>
      </c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>
        <v>842</v>
      </c>
      <c r="KD128" s="4"/>
      <c r="KE128" s="4">
        <v>121</v>
      </c>
      <c r="KF128" s="4"/>
      <c r="KG128" s="4"/>
      <c r="KH128" s="4"/>
      <c r="KI128" s="4"/>
      <c r="KJ128" s="4">
        <v>444</v>
      </c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>
        <v>250</v>
      </c>
      <c r="LH128" s="4"/>
      <c r="LI128" s="4"/>
      <c r="LJ128" s="4"/>
      <c r="LK128" s="4"/>
      <c r="LL128" s="4"/>
      <c r="LM128" s="4">
        <v>250</v>
      </c>
    </row>
    <row r="129">
      <c r="A129" s="3" t="s">
        <v>136</v>
      </c>
      <c r="B129" s="3" t="s">
        <v>164</v>
      </c>
      <c r="C129" s="3" t="s">
        <v>138</v>
      </c>
      <c r="D129" s="3" t="s">
        <v>139</v>
      </c>
      <c r="E129" s="3" t="s">
        <v>142</v>
      </c>
      <c r="F129" s="3" t="s">
        <v>142</v>
      </c>
      <c r="G129" s="3" t="s">
        <v>142</v>
      </c>
      <c r="H129" s="3" t="s">
        <v>141</v>
      </c>
      <c r="I129" s="3" t="s">
        <v>225</v>
      </c>
      <c r="J129" s="3" t="s">
        <v>243</v>
      </c>
      <c r="K129" s="4">
        <v>1567</v>
      </c>
      <c r="L129" s="4">
        <f>=ROUNDDOWN(19.5875,0)</f>
      </c>
      <c r="M129" s="4">
        <v>1234</v>
      </c>
      <c r="N129" s="5">
        <v>1</v>
      </c>
      <c r="O129" s="4"/>
      <c r="P129" s="4">
        <f>=ROUNDDOWN({0},0)</f>
      </c>
      <c r="Q129" s="4"/>
      <c r="R129" s="5"/>
      <c r="S129" s="4">
        <v>695</v>
      </c>
      <c r="T129" s="6">
        <v>23931.51</v>
      </c>
      <c r="U129" s="4">
        <v>803</v>
      </c>
      <c r="V129" s="6">
        <v>27625.44</v>
      </c>
      <c r="W129" s="5">
        <v>-0.1345</v>
      </c>
      <c r="X129" s="5">
        <v>-0.1337</v>
      </c>
      <c r="Y129" s="4">
        <v>133</v>
      </c>
      <c r="Z129" s="6">
        <v>4505.11</v>
      </c>
      <c r="AA129" s="4">
        <v>225</v>
      </c>
      <c r="AB129" s="6">
        <v>7601.07</v>
      </c>
      <c r="AC129" s="5">
        <v>-0.4089</v>
      </c>
      <c r="AD129" s="5">
        <v>-0.4073</v>
      </c>
      <c r="AE129" s="4">
        <v>118</v>
      </c>
      <c r="AF129" s="6">
        <v>4364.98</v>
      </c>
      <c r="AG129" s="4">
        <v>25</v>
      </c>
      <c r="AH129" s="6">
        <v>933.93</v>
      </c>
      <c r="AI129" s="5">
        <v>3.72</v>
      </c>
      <c r="AJ129" s="5">
        <v>3.6738</v>
      </c>
      <c r="AK129" s="4"/>
      <c r="AL129" s="6"/>
      <c r="AM129" s="4"/>
      <c r="AN129" s="6"/>
      <c r="AO129" s="5"/>
      <c r="AP129" s="5"/>
      <c r="AQ129" s="4"/>
      <c r="AR129" s="6"/>
      <c r="AS129" s="4"/>
      <c r="AT129" s="6"/>
      <c r="AU129" s="5"/>
      <c r="AV129" s="5"/>
      <c r="AW129" s="4">
        <v>183</v>
      </c>
      <c r="AX129" s="6">
        <v>6353.61</v>
      </c>
      <c r="AY129" s="4">
        <v>190</v>
      </c>
      <c r="AZ129" s="6">
        <v>6622.79</v>
      </c>
      <c r="BA129" s="5">
        <v>-0.0368</v>
      </c>
      <c r="BB129" s="5">
        <v>-0.0406</v>
      </c>
      <c r="BC129" s="4">
        <v>12</v>
      </c>
      <c r="BD129" s="6">
        <v>441.18</v>
      </c>
      <c r="BE129" s="4">
        <v>19</v>
      </c>
      <c r="BF129" s="6">
        <v>711.13</v>
      </c>
      <c r="BG129" s="5">
        <v>-0.3684</v>
      </c>
      <c r="BH129" s="5">
        <v>-0.3796</v>
      </c>
      <c r="BI129" s="4">
        <v>98</v>
      </c>
      <c r="BJ129" s="6">
        <v>3266.34</v>
      </c>
      <c r="BK129" s="4">
        <v>146</v>
      </c>
      <c r="BL129" s="6">
        <v>4927.14</v>
      </c>
      <c r="BM129" s="5">
        <v>-0.3288</v>
      </c>
      <c r="BN129" s="5">
        <v>-0.3371</v>
      </c>
      <c r="BO129" s="4">
        <v>47</v>
      </c>
      <c r="BP129" s="6">
        <v>1478.47</v>
      </c>
      <c r="BQ129" s="4">
        <v>13</v>
      </c>
      <c r="BR129" s="6">
        <v>432.7</v>
      </c>
      <c r="BS129" s="5">
        <v>2.6154</v>
      </c>
      <c r="BT129" s="5">
        <v>2.4168</v>
      </c>
      <c r="BU129" s="4">
        <v>27</v>
      </c>
      <c r="BV129" s="6">
        <v>951.3</v>
      </c>
      <c r="BW129" s="4">
        <v>80</v>
      </c>
      <c r="BX129" s="6">
        <v>2777.05</v>
      </c>
      <c r="BY129" s="5">
        <v>-0.6625</v>
      </c>
      <c r="BZ129" s="5">
        <v>-0.6574</v>
      </c>
      <c r="CA129" s="4">
        <v>20</v>
      </c>
      <c r="CB129" s="6">
        <v>643.98</v>
      </c>
      <c r="CC129" s="4">
        <v>19</v>
      </c>
      <c r="CD129" s="6">
        <v>662.9</v>
      </c>
      <c r="CE129" s="5">
        <v>0.0526</v>
      </c>
      <c r="CF129" s="5">
        <v>-0.0285</v>
      </c>
      <c r="CG129" s="4"/>
      <c r="CH129" s="6"/>
      <c r="CI129" s="4"/>
      <c r="CJ129" s="6"/>
      <c r="CK129" s="5"/>
      <c r="CL129" s="5"/>
      <c r="CM129" s="4">
        <v>27</v>
      </c>
      <c r="CN129" s="6">
        <v>920.85</v>
      </c>
      <c r="CO129" s="4">
        <v>13</v>
      </c>
      <c r="CP129" s="6">
        <v>429.01</v>
      </c>
      <c r="CQ129" s="5">
        <v>1.0769</v>
      </c>
      <c r="CR129" s="5">
        <v>1.1465</v>
      </c>
      <c r="CS129" s="4">
        <v>23</v>
      </c>
      <c r="CT129" s="6">
        <v>747.87</v>
      </c>
      <c r="CU129" s="4"/>
      <c r="CV129" s="6"/>
      <c r="CW129" s="5"/>
      <c r="CX129" s="5"/>
      <c r="CY129" s="4">
        <v>5</v>
      </c>
      <c r="CZ129" s="6">
        <v>160.66</v>
      </c>
      <c r="DA129" s="4">
        <v>13</v>
      </c>
      <c r="DB129" s="6">
        <v>418.19</v>
      </c>
      <c r="DC129" s="5">
        <v>-0.6154</v>
      </c>
      <c r="DD129" s="5">
        <v>-0.6158</v>
      </c>
      <c r="DE129" s="4"/>
      <c r="DF129" s="6"/>
      <c r="DG129" s="4"/>
      <c r="DH129" s="6"/>
      <c r="DI129" s="5"/>
      <c r="DJ129" s="5"/>
      <c r="DK129" s="4">
        <v>1</v>
      </c>
      <c r="DL129" s="6">
        <v>64.39</v>
      </c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>
        <v>1</v>
      </c>
      <c r="EV129" s="6">
        <v>32.77</v>
      </c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>
        <v>33</v>
      </c>
      <c r="FV129" s="6">
        <v>1207.2</v>
      </c>
      <c r="FW129" s="5"/>
      <c r="FX129" s="5"/>
      <c r="FY129" s="4"/>
      <c r="FZ129" s="6"/>
      <c r="GA129" s="4">
        <v>27</v>
      </c>
      <c r="GB129" s="6">
        <v>902.33</v>
      </c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  <c r="IA129" s="4"/>
      <c r="IB129" s="6"/>
      <c r="IC129" s="4"/>
      <c r="ID129" s="6"/>
      <c r="IE129" s="5"/>
      <c r="IF129" s="5"/>
      <c r="IG129" s="4"/>
      <c r="IH129" s="6"/>
      <c r="II129" s="4"/>
      <c r="IJ129" s="6"/>
      <c r="IK129" s="5"/>
      <c r="IL129" s="5"/>
      <c r="IM129" s="4"/>
      <c r="IN129" s="6"/>
      <c r="IO129" s="4"/>
      <c r="IP129" s="6"/>
      <c r="IQ129" s="5"/>
      <c r="IR129" s="5"/>
      <c r="IS129" s="4"/>
      <c r="IT129" s="6"/>
      <c r="IU129" s="4"/>
      <c r="IV129" s="6"/>
      <c r="IW129" s="5"/>
      <c r="IX129" s="5"/>
      <c r="IY129" s="4"/>
      <c r="IZ129" s="6"/>
      <c r="JA129" s="4"/>
      <c r="JB129" s="6"/>
      <c r="JC129" s="5"/>
      <c r="JD129" s="5"/>
      <c r="JE129" s="4"/>
      <c r="JF129" s="6"/>
      <c r="JG129" s="4"/>
      <c r="JH129" s="6"/>
      <c r="JI129" s="5"/>
      <c r="JJ129" s="5"/>
      <c r="JK129" s="4">
        <v>1459</v>
      </c>
      <c r="JL129" s="4"/>
      <c r="JM129" s="4"/>
      <c r="JN129" s="4"/>
      <c r="JO129" s="4"/>
      <c r="JP129" s="4"/>
      <c r="JQ129" s="4"/>
      <c r="JR129" s="4">
        <v>108</v>
      </c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>
        <v>390</v>
      </c>
      <c r="KD129" s="4"/>
      <c r="KE129" s="4"/>
      <c r="KF129" s="4"/>
      <c r="KG129" s="4"/>
      <c r="KH129" s="4">
        <v>40</v>
      </c>
      <c r="KI129" s="4"/>
      <c r="KJ129" s="4">
        <v>254</v>
      </c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>
        <v>550</v>
      </c>
      <c r="LH129" s="4"/>
      <c r="LI129" s="4"/>
      <c r="LJ129" s="4"/>
      <c r="LK129" s="4"/>
      <c r="LL129" s="4"/>
      <c r="LM129" s="4"/>
    </row>
    <row r="130">
      <c r="A130" s="3" t="s">
        <v>136</v>
      </c>
      <c r="B130" s="3" t="s">
        <v>164</v>
      </c>
      <c r="C130" s="3" t="s">
        <v>138</v>
      </c>
      <c r="D130" s="3" t="s">
        <v>139</v>
      </c>
      <c r="E130" s="3" t="s">
        <v>142</v>
      </c>
      <c r="F130" s="3" t="s">
        <v>142</v>
      </c>
      <c r="G130" s="3" t="s">
        <v>142</v>
      </c>
      <c r="H130" s="3" t="s">
        <v>141</v>
      </c>
      <c r="I130" s="3" t="s">
        <v>232</v>
      </c>
      <c r="J130" s="3" t="s">
        <v>243</v>
      </c>
      <c r="K130" s="4">
        <v>999</v>
      </c>
      <c r="L130" s="4">
        <f>=ROUNDDOWN(12.8076923076923,0)</f>
      </c>
      <c r="M130" s="4">
        <v>1433</v>
      </c>
      <c r="N130" s="5">
        <v>1</v>
      </c>
      <c r="O130" s="4"/>
      <c r="P130" s="4">
        <f>=ROUNDDOWN({0},0)</f>
      </c>
      <c r="Q130" s="4"/>
      <c r="R130" s="5"/>
      <c r="S130" s="4">
        <v>665</v>
      </c>
      <c r="T130" s="6">
        <v>22556.43</v>
      </c>
      <c r="U130" s="4">
        <v>542</v>
      </c>
      <c r="V130" s="6">
        <v>18219.43</v>
      </c>
      <c r="W130" s="5">
        <v>0.2269</v>
      </c>
      <c r="X130" s="5">
        <v>0.238</v>
      </c>
      <c r="Y130" s="4">
        <v>133</v>
      </c>
      <c r="Z130" s="6">
        <v>4433.81</v>
      </c>
      <c r="AA130" s="4">
        <v>150</v>
      </c>
      <c r="AB130" s="6">
        <v>4949.41</v>
      </c>
      <c r="AC130" s="5">
        <v>-0.1133</v>
      </c>
      <c r="AD130" s="5">
        <v>-0.1042</v>
      </c>
      <c r="AE130" s="4">
        <v>104</v>
      </c>
      <c r="AF130" s="6">
        <v>3788.27</v>
      </c>
      <c r="AG130" s="4">
        <v>10</v>
      </c>
      <c r="AH130" s="6">
        <v>347.37</v>
      </c>
      <c r="AI130" s="5">
        <v>9.4</v>
      </c>
      <c r="AJ130" s="5">
        <v>9.9056</v>
      </c>
      <c r="AK130" s="4"/>
      <c r="AL130" s="6"/>
      <c r="AM130" s="4"/>
      <c r="AN130" s="6"/>
      <c r="AO130" s="5"/>
      <c r="AP130" s="5"/>
      <c r="AQ130" s="4"/>
      <c r="AR130" s="6"/>
      <c r="AS130" s="4"/>
      <c r="AT130" s="6"/>
      <c r="AU130" s="5"/>
      <c r="AV130" s="5"/>
      <c r="AW130" s="4">
        <v>156</v>
      </c>
      <c r="AX130" s="6">
        <v>5424.57</v>
      </c>
      <c r="AY130" s="4">
        <v>118</v>
      </c>
      <c r="AZ130" s="6">
        <v>4055.06</v>
      </c>
      <c r="BA130" s="5">
        <v>0.322</v>
      </c>
      <c r="BB130" s="5">
        <v>0.3377</v>
      </c>
      <c r="BC130" s="4"/>
      <c r="BD130" s="6"/>
      <c r="BE130" s="4"/>
      <c r="BF130" s="6"/>
      <c r="BG130" s="5"/>
      <c r="BH130" s="5"/>
      <c r="BI130" s="4">
        <v>83</v>
      </c>
      <c r="BJ130" s="6">
        <v>2704.93</v>
      </c>
      <c r="BK130" s="4">
        <v>112</v>
      </c>
      <c r="BL130" s="6">
        <v>3678.23</v>
      </c>
      <c r="BM130" s="5">
        <v>-0.2589</v>
      </c>
      <c r="BN130" s="5">
        <v>-0.2646</v>
      </c>
      <c r="BO130" s="4">
        <v>62</v>
      </c>
      <c r="BP130" s="6">
        <v>1926.73</v>
      </c>
      <c r="BQ130" s="4">
        <v>19</v>
      </c>
      <c r="BR130" s="6">
        <v>642.35</v>
      </c>
      <c r="BS130" s="5">
        <v>2.2632</v>
      </c>
      <c r="BT130" s="5">
        <v>1.9995</v>
      </c>
      <c r="BU130" s="4">
        <v>39</v>
      </c>
      <c r="BV130" s="6">
        <v>1349.1</v>
      </c>
      <c r="BW130" s="4">
        <v>51</v>
      </c>
      <c r="BX130" s="6">
        <v>1751.58</v>
      </c>
      <c r="BY130" s="5">
        <v>-0.2353</v>
      </c>
      <c r="BZ130" s="5">
        <v>-0.2298</v>
      </c>
      <c r="CA130" s="4">
        <v>4</v>
      </c>
      <c r="CB130" s="6">
        <v>136.43</v>
      </c>
      <c r="CC130" s="4">
        <v>2</v>
      </c>
      <c r="CD130" s="6">
        <v>68.71</v>
      </c>
      <c r="CE130" s="5">
        <v>1</v>
      </c>
      <c r="CF130" s="5">
        <v>0.9856</v>
      </c>
      <c r="CG130" s="4"/>
      <c r="CH130" s="6"/>
      <c r="CI130" s="4"/>
      <c r="CJ130" s="6"/>
      <c r="CK130" s="5"/>
      <c r="CL130" s="5"/>
      <c r="CM130" s="4">
        <v>56</v>
      </c>
      <c r="CN130" s="6">
        <v>1841.72</v>
      </c>
      <c r="CO130" s="4">
        <v>33</v>
      </c>
      <c r="CP130" s="6">
        <v>1088.89</v>
      </c>
      <c r="CQ130" s="5">
        <v>0.697</v>
      </c>
      <c r="CR130" s="5">
        <v>0.6914</v>
      </c>
      <c r="CS130" s="4">
        <v>21</v>
      </c>
      <c r="CT130" s="6">
        <v>704.53</v>
      </c>
      <c r="CU130" s="4"/>
      <c r="CV130" s="6"/>
      <c r="CW130" s="5"/>
      <c r="CX130" s="5"/>
      <c r="CY130" s="4">
        <v>4</v>
      </c>
      <c r="CZ130" s="6">
        <v>132.32</v>
      </c>
      <c r="DA130" s="4">
        <v>3</v>
      </c>
      <c r="DB130" s="6">
        <v>89.14</v>
      </c>
      <c r="DC130" s="5">
        <v>0.3333</v>
      </c>
      <c r="DD130" s="5">
        <v>0.4844</v>
      </c>
      <c r="DE130" s="4"/>
      <c r="DF130" s="6"/>
      <c r="DG130" s="4"/>
      <c r="DH130" s="6"/>
      <c r="DI130" s="5"/>
      <c r="DJ130" s="5"/>
      <c r="DK130" s="4">
        <v>2</v>
      </c>
      <c r="DL130" s="6">
        <v>79.29</v>
      </c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>
        <v>1</v>
      </c>
      <c r="EX130" s="6">
        <v>39.32</v>
      </c>
      <c r="EY130" s="5"/>
      <c r="EZ130" s="5"/>
      <c r="FA130" s="4"/>
      <c r="FB130" s="6"/>
      <c r="FC130" s="4"/>
      <c r="FD130" s="6"/>
      <c r="FE130" s="5"/>
      <c r="FF130" s="5"/>
      <c r="FG130" s="4">
        <v>1</v>
      </c>
      <c r="FH130" s="6">
        <v>34.73</v>
      </c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>
        <v>29</v>
      </c>
      <c r="FV130" s="6">
        <v>1046.13</v>
      </c>
      <c r="FW130" s="5"/>
      <c r="FX130" s="5"/>
      <c r="FY130" s="4"/>
      <c r="FZ130" s="6"/>
      <c r="GA130" s="4">
        <v>14</v>
      </c>
      <c r="GB130" s="6">
        <v>463.24</v>
      </c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  <c r="IA130" s="4"/>
      <c r="IB130" s="6"/>
      <c r="IC130" s="4"/>
      <c r="ID130" s="6"/>
      <c r="IE130" s="5"/>
      <c r="IF130" s="5"/>
      <c r="IG130" s="4"/>
      <c r="IH130" s="6"/>
      <c r="II130" s="4"/>
      <c r="IJ130" s="6"/>
      <c r="IK130" s="5"/>
      <c r="IL130" s="5"/>
      <c r="IM130" s="4"/>
      <c r="IN130" s="6"/>
      <c r="IO130" s="4"/>
      <c r="IP130" s="6"/>
      <c r="IQ130" s="5"/>
      <c r="IR130" s="5"/>
      <c r="IS130" s="4"/>
      <c r="IT130" s="6"/>
      <c r="IU130" s="4"/>
      <c r="IV130" s="6"/>
      <c r="IW130" s="5"/>
      <c r="IX130" s="5"/>
      <c r="IY130" s="4"/>
      <c r="IZ130" s="6"/>
      <c r="JA130" s="4"/>
      <c r="JB130" s="6"/>
      <c r="JC130" s="5"/>
      <c r="JD130" s="5"/>
      <c r="JE130" s="4"/>
      <c r="JF130" s="6"/>
      <c r="JG130" s="4"/>
      <c r="JH130" s="6"/>
      <c r="JI130" s="5"/>
      <c r="JJ130" s="5"/>
      <c r="JK130" s="4">
        <v>871</v>
      </c>
      <c r="JL130" s="4"/>
      <c r="JM130" s="4"/>
      <c r="JN130" s="4"/>
      <c r="JO130" s="4"/>
      <c r="JP130" s="4"/>
      <c r="JQ130" s="4"/>
      <c r="JR130" s="4">
        <v>128</v>
      </c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>
        <v>560</v>
      </c>
      <c r="KD130" s="4"/>
      <c r="KE130" s="4"/>
      <c r="KF130" s="4"/>
      <c r="KG130" s="4"/>
      <c r="KH130" s="4"/>
      <c r="KI130" s="4"/>
      <c r="KJ130" s="4">
        <v>293</v>
      </c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>
        <v>580</v>
      </c>
      <c r="LH130" s="4"/>
      <c r="LI130" s="4"/>
      <c r="LJ130" s="4"/>
      <c r="LK130" s="4"/>
      <c r="LL130" s="4"/>
      <c r="LM130" s="4"/>
    </row>
    <row r="131">
      <c r="A131" s="3" t="s">
        <v>136</v>
      </c>
      <c r="B131" s="3" t="s">
        <v>164</v>
      </c>
      <c r="C131" s="3" t="s">
        <v>138</v>
      </c>
      <c r="D131" s="3" t="s">
        <v>139</v>
      </c>
      <c r="E131" s="3" t="s">
        <v>142</v>
      </c>
      <c r="F131" s="3" t="s">
        <v>142</v>
      </c>
      <c r="G131" s="3" t="s">
        <v>142</v>
      </c>
      <c r="H131" s="3" t="s">
        <v>141</v>
      </c>
      <c r="I131" s="3" t="s">
        <v>240</v>
      </c>
      <c r="J131" s="3" t="s">
        <v>243</v>
      </c>
      <c r="K131" s="4">
        <v>1983</v>
      </c>
      <c r="L131" s="4">
        <f>=ROUNDDOWN(24.4814814814815,0)</f>
      </c>
      <c r="M131" s="4">
        <v>685</v>
      </c>
      <c r="N131" s="5">
        <v>1</v>
      </c>
      <c r="O131" s="4"/>
      <c r="P131" s="4">
        <f>=ROUNDDOWN({0},0)</f>
      </c>
      <c r="Q131" s="4"/>
      <c r="R131" s="5"/>
      <c r="S131" s="4">
        <v>645</v>
      </c>
      <c r="T131" s="6">
        <v>22034.23</v>
      </c>
      <c r="U131" s="4">
        <v>896</v>
      </c>
      <c r="V131" s="6">
        <v>30309.93</v>
      </c>
      <c r="W131" s="5">
        <v>-0.2801</v>
      </c>
      <c r="X131" s="5">
        <v>-0.273</v>
      </c>
      <c r="Y131" s="4">
        <v>148</v>
      </c>
      <c r="Z131" s="6">
        <v>4906.74</v>
      </c>
      <c r="AA131" s="4">
        <v>226</v>
      </c>
      <c r="AB131" s="6">
        <v>7530.72</v>
      </c>
      <c r="AC131" s="5">
        <v>-0.3451</v>
      </c>
      <c r="AD131" s="5">
        <v>-0.3484</v>
      </c>
      <c r="AE131" s="4">
        <v>109</v>
      </c>
      <c r="AF131" s="6">
        <v>4024.18</v>
      </c>
      <c r="AG131" s="4">
        <v>19</v>
      </c>
      <c r="AH131" s="6">
        <v>707.82</v>
      </c>
      <c r="AI131" s="5">
        <v>4.7368</v>
      </c>
      <c r="AJ131" s="5">
        <v>4.6853</v>
      </c>
      <c r="AK131" s="4"/>
      <c r="AL131" s="6"/>
      <c r="AM131" s="4"/>
      <c r="AN131" s="6"/>
      <c r="AO131" s="5"/>
      <c r="AP131" s="5"/>
      <c r="AQ131" s="4">
        <v>4</v>
      </c>
      <c r="AR131" s="6">
        <v>133.58</v>
      </c>
      <c r="AS131" s="4"/>
      <c r="AT131" s="6"/>
      <c r="AU131" s="5"/>
      <c r="AV131" s="5"/>
      <c r="AW131" s="4">
        <v>142</v>
      </c>
      <c r="AX131" s="6">
        <v>4889.66</v>
      </c>
      <c r="AY131" s="4">
        <v>120</v>
      </c>
      <c r="AZ131" s="6">
        <v>4152.03</v>
      </c>
      <c r="BA131" s="5">
        <v>0.1833</v>
      </c>
      <c r="BB131" s="5">
        <v>0.1777</v>
      </c>
      <c r="BC131" s="4">
        <v>22</v>
      </c>
      <c r="BD131" s="6">
        <v>816.54</v>
      </c>
      <c r="BE131" s="4">
        <v>31</v>
      </c>
      <c r="BF131" s="6">
        <v>1149.05</v>
      </c>
      <c r="BG131" s="5">
        <v>-0.2903</v>
      </c>
      <c r="BH131" s="5">
        <v>-0.2894</v>
      </c>
      <c r="BI131" s="4">
        <v>66</v>
      </c>
      <c r="BJ131" s="6">
        <v>2181.36</v>
      </c>
      <c r="BK131" s="4">
        <v>103</v>
      </c>
      <c r="BL131" s="6">
        <v>3424.46</v>
      </c>
      <c r="BM131" s="5">
        <v>-0.3592</v>
      </c>
      <c r="BN131" s="5">
        <v>-0.363</v>
      </c>
      <c r="BO131" s="4">
        <v>72</v>
      </c>
      <c r="BP131" s="6">
        <v>2271.61</v>
      </c>
      <c r="BQ131" s="4">
        <v>17</v>
      </c>
      <c r="BR131" s="6">
        <v>578.74</v>
      </c>
      <c r="BS131" s="5">
        <v>3.2353</v>
      </c>
      <c r="BT131" s="5">
        <v>2.9251</v>
      </c>
      <c r="BU131" s="4">
        <v>15</v>
      </c>
      <c r="BV131" s="6">
        <v>516.27</v>
      </c>
      <c r="BW131" s="4">
        <v>23</v>
      </c>
      <c r="BX131" s="6">
        <v>809.41</v>
      </c>
      <c r="BY131" s="5">
        <v>-0.3478</v>
      </c>
      <c r="BZ131" s="5">
        <v>-0.3622</v>
      </c>
      <c r="CA131" s="4">
        <v>7</v>
      </c>
      <c r="CB131" s="6">
        <v>232.27</v>
      </c>
      <c r="CC131" s="4">
        <v>159</v>
      </c>
      <c r="CD131" s="6">
        <v>5451.75</v>
      </c>
      <c r="CE131" s="5">
        <v>-0.956</v>
      </c>
      <c r="CF131" s="5">
        <v>-0.9574</v>
      </c>
      <c r="CG131" s="4">
        <v>9</v>
      </c>
      <c r="CH131" s="6">
        <v>325.8</v>
      </c>
      <c r="CI131" s="4"/>
      <c r="CJ131" s="6"/>
      <c r="CK131" s="5"/>
      <c r="CL131" s="5"/>
      <c r="CM131" s="4">
        <v>13</v>
      </c>
      <c r="CN131" s="6">
        <v>451.49</v>
      </c>
      <c r="CO131" s="4">
        <v>7</v>
      </c>
      <c r="CP131" s="6">
        <v>243.11</v>
      </c>
      <c r="CQ131" s="5">
        <v>0.8571</v>
      </c>
      <c r="CR131" s="5">
        <v>0.8571</v>
      </c>
      <c r="CS131" s="4">
        <v>25</v>
      </c>
      <c r="CT131" s="6">
        <v>821.63</v>
      </c>
      <c r="CU131" s="4">
        <v>161</v>
      </c>
      <c r="CV131" s="6">
        <v>5234.61</v>
      </c>
      <c r="CW131" s="5">
        <v>-0.8447</v>
      </c>
      <c r="CX131" s="5">
        <v>-0.843</v>
      </c>
      <c r="CY131" s="4">
        <v>9</v>
      </c>
      <c r="CZ131" s="6">
        <v>266.74</v>
      </c>
      <c r="DA131" s="4">
        <v>7</v>
      </c>
      <c r="DB131" s="6">
        <v>212.3</v>
      </c>
      <c r="DC131" s="5">
        <v>0.2857</v>
      </c>
      <c r="DD131" s="5">
        <v>0.2564</v>
      </c>
      <c r="DE131" s="4"/>
      <c r="DF131" s="6"/>
      <c r="DG131" s="4"/>
      <c r="DH131" s="6"/>
      <c r="DI131" s="5"/>
      <c r="DJ131" s="5"/>
      <c r="DK131" s="4">
        <v>2</v>
      </c>
      <c r="DL131" s="6">
        <v>125.58</v>
      </c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>
        <v>1</v>
      </c>
      <c r="ED131" s="6">
        <v>34.73</v>
      </c>
      <c r="EE131" s="4">
        <v>1</v>
      </c>
      <c r="EF131" s="6">
        <v>32.25</v>
      </c>
      <c r="EG131" s="5"/>
      <c r="EH131" s="5">
        <v>0.0769</v>
      </c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>
        <v>1</v>
      </c>
      <c r="EV131" s="6">
        <v>36.05</v>
      </c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>
        <v>8</v>
      </c>
      <c r="FV131" s="6">
        <v>303.08</v>
      </c>
      <c r="FW131" s="5"/>
      <c r="FX131" s="5"/>
      <c r="FY131" s="4"/>
      <c r="FZ131" s="6"/>
      <c r="GA131" s="4">
        <v>14</v>
      </c>
      <c r="GB131" s="6">
        <v>480.6</v>
      </c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  <c r="IA131" s="4"/>
      <c r="IB131" s="6"/>
      <c r="IC131" s="4"/>
      <c r="ID131" s="6"/>
      <c r="IE131" s="5"/>
      <c r="IF131" s="5"/>
      <c r="IG131" s="4"/>
      <c r="IH131" s="6"/>
      <c r="II131" s="4"/>
      <c r="IJ131" s="6"/>
      <c r="IK131" s="5"/>
      <c r="IL131" s="5"/>
      <c r="IM131" s="4"/>
      <c r="IN131" s="6"/>
      <c r="IO131" s="4"/>
      <c r="IP131" s="6"/>
      <c r="IQ131" s="5"/>
      <c r="IR131" s="5"/>
      <c r="IS131" s="4"/>
      <c r="IT131" s="6"/>
      <c r="IU131" s="4"/>
      <c r="IV131" s="6"/>
      <c r="IW131" s="5"/>
      <c r="IX131" s="5"/>
      <c r="IY131" s="4"/>
      <c r="IZ131" s="6"/>
      <c r="JA131" s="4"/>
      <c r="JB131" s="6"/>
      <c r="JC131" s="5"/>
      <c r="JD131" s="5"/>
      <c r="JE131" s="4"/>
      <c r="JF131" s="6"/>
      <c r="JG131" s="4"/>
      <c r="JH131" s="6"/>
      <c r="JI131" s="5"/>
      <c r="JJ131" s="5"/>
      <c r="JK131" s="4">
        <v>1983</v>
      </c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>
        <v>100</v>
      </c>
      <c r="KD131" s="4"/>
      <c r="KE131" s="4"/>
      <c r="KF131" s="4"/>
      <c r="KG131" s="4"/>
      <c r="KH131" s="4">
        <v>82</v>
      </c>
      <c r="KI131" s="4"/>
      <c r="KJ131" s="4">
        <v>310</v>
      </c>
      <c r="KK131" s="4"/>
      <c r="KL131" s="4"/>
      <c r="KM131" s="4"/>
      <c r="KN131" s="4"/>
      <c r="KO131" s="4"/>
      <c r="KP131" s="4"/>
      <c r="KQ131" s="4"/>
      <c r="KR131" s="4">
        <v>193</v>
      </c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</row>
    <row r="132">
      <c r="A132" s="3" t="s">
        <v>136</v>
      </c>
      <c r="B132" s="3" t="s">
        <v>164</v>
      </c>
      <c r="C132" s="3" t="s">
        <v>138</v>
      </c>
      <c r="D132" s="3" t="s">
        <v>139</v>
      </c>
      <c r="E132" s="3" t="s">
        <v>142</v>
      </c>
      <c r="F132" s="3" t="s">
        <v>142</v>
      </c>
      <c r="G132" s="3" t="s">
        <v>142</v>
      </c>
      <c r="H132" s="3" t="s">
        <v>141</v>
      </c>
      <c r="I132" s="3" t="s">
        <v>231</v>
      </c>
      <c r="J132" s="3" t="s">
        <v>243</v>
      </c>
      <c r="K132" s="4">
        <v>1892</v>
      </c>
      <c r="L132" s="4">
        <f>=ROUNDDOWN(28.6666666666667,0)</f>
      </c>
      <c r="M132" s="4">
        <v>1473</v>
      </c>
      <c r="N132" s="5">
        <v>1</v>
      </c>
      <c r="O132" s="4"/>
      <c r="P132" s="4">
        <f>=ROUNDDOWN({0},0)</f>
      </c>
      <c r="Q132" s="4"/>
      <c r="R132" s="5"/>
      <c r="S132" s="4">
        <v>520</v>
      </c>
      <c r="T132" s="6">
        <v>17944.58</v>
      </c>
      <c r="U132" s="4">
        <v>740</v>
      </c>
      <c r="V132" s="6">
        <v>25374.13</v>
      </c>
      <c r="W132" s="5">
        <v>-0.2973</v>
      </c>
      <c r="X132" s="5">
        <v>-0.2928</v>
      </c>
      <c r="Y132" s="4">
        <v>96</v>
      </c>
      <c r="Z132" s="6">
        <v>3232.17</v>
      </c>
      <c r="AA132" s="4">
        <v>177</v>
      </c>
      <c r="AB132" s="6">
        <v>5988.91</v>
      </c>
      <c r="AC132" s="5">
        <v>-0.4576</v>
      </c>
      <c r="AD132" s="5">
        <v>-0.4603</v>
      </c>
      <c r="AE132" s="4">
        <v>64</v>
      </c>
      <c r="AF132" s="6">
        <v>2372.54</v>
      </c>
      <c r="AG132" s="4">
        <v>12</v>
      </c>
      <c r="AH132" s="6">
        <v>452.21</v>
      </c>
      <c r="AI132" s="5">
        <v>4.3333</v>
      </c>
      <c r="AJ132" s="5">
        <v>4.2465</v>
      </c>
      <c r="AK132" s="4"/>
      <c r="AL132" s="6"/>
      <c r="AM132" s="4"/>
      <c r="AN132" s="6"/>
      <c r="AO132" s="5"/>
      <c r="AP132" s="5"/>
      <c r="AQ132" s="4">
        <v>45</v>
      </c>
      <c r="AR132" s="6">
        <v>1601.96</v>
      </c>
      <c r="AS132" s="4">
        <v>68</v>
      </c>
      <c r="AT132" s="6">
        <v>2426.19</v>
      </c>
      <c r="AU132" s="5">
        <v>-0.3382</v>
      </c>
      <c r="AV132" s="5">
        <v>-0.3397</v>
      </c>
      <c r="AW132" s="4">
        <v>88</v>
      </c>
      <c r="AX132" s="6">
        <v>3086.54</v>
      </c>
      <c r="AY132" s="4">
        <v>84</v>
      </c>
      <c r="AZ132" s="6">
        <v>2926.23</v>
      </c>
      <c r="BA132" s="5">
        <v>0.0476</v>
      </c>
      <c r="BB132" s="5">
        <v>0.0548</v>
      </c>
      <c r="BC132" s="4">
        <v>18</v>
      </c>
      <c r="BD132" s="6">
        <v>691.4</v>
      </c>
      <c r="BE132" s="4">
        <v>11</v>
      </c>
      <c r="BF132" s="6">
        <v>408.27</v>
      </c>
      <c r="BG132" s="5">
        <v>0.6364</v>
      </c>
      <c r="BH132" s="5">
        <v>0.6935</v>
      </c>
      <c r="BI132" s="4">
        <v>42</v>
      </c>
      <c r="BJ132" s="6">
        <v>1414.75</v>
      </c>
      <c r="BK132" s="4">
        <v>46</v>
      </c>
      <c r="BL132" s="6">
        <v>1552.86</v>
      </c>
      <c r="BM132" s="5">
        <v>-0.087</v>
      </c>
      <c r="BN132" s="5">
        <v>-0.0889</v>
      </c>
      <c r="BO132" s="4">
        <v>32</v>
      </c>
      <c r="BP132" s="6">
        <v>982.67</v>
      </c>
      <c r="BQ132" s="4">
        <v>14</v>
      </c>
      <c r="BR132" s="6">
        <v>474.94</v>
      </c>
      <c r="BS132" s="5">
        <v>1.2857</v>
      </c>
      <c r="BT132" s="5">
        <v>1.069</v>
      </c>
      <c r="BU132" s="4">
        <v>18</v>
      </c>
      <c r="BV132" s="6">
        <v>630.36</v>
      </c>
      <c r="BW132" s="4">
        <v>21</v>
      </c>
      <c r="BX132" s="6">
        <v>731.25</v>
      </c>
      <c r="BY132" s="5">
        <v>-0.1429</v>
      </c>
      <c r="BZ132" s="5">
        <v>-0.138</v>
      </c>
      <c r="CA132" s="4">
        <v>6</v>
      </c>
      <c r="CB132" s="6">
        <v>198.42</v>
      </c>
      <c r="CC132" s="4">
        <v>134</v>
      </c>
      <c r="CD132" s="6">
        <v>4665.25</v>
      </c>
      <c r="CE132" s="5">
        <v>-0.9552</v>
      </c>
      <c r="CF132" s="5">
        <v>-0.9575</v>
      </c>
      <c r="CG132" s="4"/>
      <c r="CH132" s="6"/>
      <c r="CI132" s="4">
        <v>1</v>
      </c>
      <c r="CJ132" s="6">
        <v>36.43</v>
      </c>
      <c r="CK132" s="5"/>
      <c r="CL132" s="5"/>
      <c r="CM132" s="4">
        <v>77</v>
      </c>
      <c r="CN132" s="6">
        <v>2570.05</v>
      </c>
      <c r="CO132" s="4">
        <v>17</v>
      </c>
      <c r="CP132" s="6">
        <v>580.49</v>
      </c>
      <c r="CQ132" s="5">
        <v>3.5294</v>
      </c>
      <c r="CR132" s="5">
        <v>3.4274</v>
      </c>
      <c r="CS132" s="4">
        <v>21</v>
      </c>
      <c r="CT132" s="6">
        <v>702.05</v>
      </c>
      <c r="CU132" s="4">
        <v>142</v>
      </c>
      <c r="CV132" s="6">
        <v>4658.72</v>
      </c>
      <c r="CW132" s="5">
        <v>-0.8521</v>
      </c>
      <c r="CX132" s="5">
        <v>-0.8493</v>
      </c>
      <c r="CY132" s="4">
        <v>1</v>
      </c>
      <c r="CZ132" s="6">
        <v>32.66</v>
      </c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>
        <v>1</v>
      </c>
      <c r="DL132" s="6">
        <v>64.39</v>
      </c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>
        <v>4</v>
      </c>
      <c r="ED132" s="6">
        <v>128.34</v>
      </c>
      <c r="EE132" s="4">
        <v>1</v>
      </c>
      <c r="EF132" s="6">
        <v>29.11</v>
      </c>
      <c r="EG132" s="5">
        <v>3</v>
      </c>
      <c r="EH132" s="5">
        <v>3.4088</v>
      </c>
      <c r="EI132" s="4">
        <v>5</v>
      </c>
      <c r="EJ132" s="6">
        <v>169.3</v>
      </c>
      <c r="EK132" s="4">
        <v>3</v>
      </c>
      <c r="EL132" s="6">
        <v>101.58</v>
      </c>
      <c r="EM132" s="5">
        <v>0.6667</v>
      </c>
      <c r="EN132" s="5">
        <v>0.6667</v>
      </c>
      <c r="EO132" s="4"/>
      <c r="EP132" s="6"/>
      <c r="EQ132" s="4"/>
      <c r="ER132" s="6"/>
      <c r="ES132" s="5"/>
      <c r="ET132" s="5"/>
      <c r="EU132" s="4"/>
      <c r="EV132" s="6"/>
      <c r="EW132" s="4">
        <v>2</v>
      </c>
      <c r="EX132" s="6">
        <v>78.64</v>
      </c>
      <c r="EY132" s="5"/>
      <c r="EZ132" s="5"/>
      <c r="FA132" s="4"/>
      <c r="FB132" s="6"/>
      <c r="FC132" s="4"/>
      <c r="FD132" s="6"/>
      <c r="FE132" s="5"/>
      <c r="FF132" s="5"/>
      <c r="FG132" s="4">
        <v>2</v>
      </c>
      <c r="FH132" s="6">
        <v>66.98</v>
      </c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>
        <v>7</v>
      </c>
      <c r="FV132" s="6">
        <v>263.05</v>
      </c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  <c r="IA132" s="4"/>
      <c r="IB132" s="6"/>
      <c r="IC132" s="4"/>
      <c r="ID132" s="6"/>
      <c r="IE132" s="5"/>
      <c r="IF132" s="5"/>
      <c r="IG132" s="4"/>
      <c r="IH132" s="6"/>
      <c r="II132" s="4"/>
      <c r="IJ132" s="6"/>
      <c r="IK132" s="5"/>
      <c r="IL132" s="5"/>
      <c r="IM132" s="4"/>
      <c r="IN132" s="6"/>
      <c r="IO132" s="4"/>
      <c r="IP132" s="6"/>
      <c r="IQ132" s="5"/>
      <c r="IR132" s="5"/>
      <c r="IS132" s="4"/>
      <c r="IT132" s="6"/>
      <c r="IU132" s="4"/>
      <c r="IV132" s="6"/>
      <c r="IW132" s="5"/>
      <c r="IX132" s="5"/>
      <c r="IY132" s="4"/>
      <c r="IZ132" s="6"/>
      <c r="JA132" s="4"/>
      <c r="JB132" s="6"/>
      <c r="JC132" s="5"/>
      <c r="JD132" s="5"/>
      <c r="JE132" s="4"/>
      <c r="JF132" s="6"/>
      <c r="JG132" s="4"/>
      <c r="JH132" s="6"/>
      <c r="JI132" s="5"/>
      <c r="JJ132" s="5"/>
      <c r="JK132" s="4">
        <v>1652</v>
      </c>
      <c r="JL132" s="4"/>
      <c r="JM132" s="4"/>
      <c r="JN132" s="4"/>
      <c r="JO132" s="4"/>
      <c r="JP132" s="4"/>
      <c r="JQ132" s="4"/>
      <c r="JR132" s="4">
        <v>240</v>
      </c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>
        <v>240</v>
      </c>
      <c r="KD132" s="4"/>
      <c r="KE132" s="4"/>
      <c r="KF132" s="4"/>
      <c r="KG132" s="4"/>
      <c r="KH132" s="4">
        <v>352</v>
      </c>
      <c r="KI132" s="4"/>
      <c r="KJ132" s="4">
        <v>355</v>
      </c>
      <c r="KK132" s="4"/>
      <c r="KL132" s="4"/>
      <c r="KM132" s="4"/>
      <c r="KN132" s="4"/>
      <c r="KO132" s="4"/>
      <c r="KP132" s="4"/>
      <c r="KQ132" s="4"/>
      <c r="KR132" s="4">
        <v>26</v>
      </c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>
        <v>310</v>
      </c>
      <c r="LH132" s="4"/>
      <c r="LI132" s="4"/>
      <c r="LJ132" s="4"/>
      <c r="LK132" s="4"/>
      <c r="LL132" s="4"/>
      <c r="LM132" s="4">
        <v>190</v>
      </c>
    </row>
    <row r="133">
      <c r="A133" s="3" t="s">
        <v>136</v>
      </c>
      <c r="B133" s="3" t="s">
        <v>164</v>
      </c>
      <c r="C133" s="3" t="s">
        <v>138</v>
      </c>
      <c r="D133" s="3" t="s">
        <v>139</v>
      </c>
      <c r="E133" s="3" t="s">
        <v>142</v>
      </c>
      <c r="F133" s="3" t="s">
        <v>142</v>
      </c>
      <c r="G133" s="3" t="s">
        <v>142</v>
      </c>
      <c r="H133" s="3" t="s">
        <v>141</v>
      </c>
      <c r="I133" s="3" t="s">
        <v>233</v>
      </c>
      <c r="J133" s="3" t="s">
        <v>226</v>
      </c>
      <c r="K133" s="4">
        <v>917</v>
      </c>
      <c r="L133" s="4">
        <f>=ROUNDDOWN(14.7903225806452,0)</f>
      </c>
      <c r="M133" s="4">
        <v>1290</v>
      </c>
      <c r="N133" s="5">
        <v>1</v>
      </c>
      <c r="O133" s="4"/>
      <c r="P133" s="4">
        <f>=ROUNDDOWN({0},0)</f>
      </c>
      <c r="Q133" s="4"/>
      <c r="R133" s="5"/>
      <c r="S133" s="4">
        <v>478</v>
      </c>
      <c r="T133" s="6">
        <v>16353.02</v>
      </c>
      <c r="U133" s="4">
        <v>607</v>
      </c>
      <c r="V133" s="6">
        <v>20864.83</v>
      </c>
      <c r="W133" s="5">
        <v>-0.2125</v>
      </c>
      <c r="X133" s="5">
        <v>-0.2162</v>
      </c>
      <c r="Y133" s="4">
        <v>83</v>
      </c>
      <c r="Z133" s="6">
        <v>2747.25</v>
      </c>
      <c r="AA133" s="4">
        <v>163</v>
      </c>
      <c r="AB133" s="6">
        <v>5429.85</v>
      </c>
      <c r="AC133" s="5">
        <v>-0.4908</v>
      </c>
      <c r="AD133" s="5">
        <v>-0.494</v>
      </c>
      <c r="AE133" s="4">
        <v>59</v>
      </c>
      <c r="AF133" s="6">
        <v>2169.38</v>
      </c>
      <c r="AG133" s="4">
        <v>12</v>
      </c>
      <c r="AH133" s="6">
        <v>445.67</v>
      </c>
      <c r="AI133" s="5">
        <v>3.9167</v>
      </c>
      <c r="AJ133" s="5">
        <v>3.8677</v>
      </c>
      <c r="AK133" s="4"/>
      <c r="AL133" s="6"/>
      <c r="AM133" s="4"/>
      <c r="AN133" s="6"/>
      <c r="AO133" s="5"/>
      <c r="AP133" s="5"/>
      <c r="AQ133" s="4"/>
      <c r="AR133" s="6"/>
      <c r="AS133" s="4"/>
      <c r="AT133" s="6"/>
      <c r="AU133" s="5"/>
      <c r="AV133" s="5"/>
      <c r="AW133" s="4">
        <v>127</v>
      </c>
      <c r="AX133" s="6">
        <v>4400.87</v>
      </c>
      <c r="AY133" s="4">
        <v>151</v>
      </c>
      <c r="AZ133" s="6">
        <v>5279.6</v>
      </c>
      <c r="BA133" s="5">
        <v>-0.1589</v>
      </c>
      <c r="BB133" s="5">
        <v>-0.1664</v>
      </c>
      <c r="BC133" s="4">
        <v>26</v>
      </c>
      <c r="BD133" s="6">
        <v>984.44</v>
      </c>
      <c r="BE133" s="4">
        <v>48</v>
      </c>
      <c r="BF133" s="6">
        <v>1794.34</v>
      </c>
      <c r="BG133" s="5">
        <v>-0.4583</v>
      </c>
      <c r="BH133" s="5">
        <v>-0.4514</v>
      </c>
      <c r="BI133" s="4">
        <v>54</v>
      </c>
      <c r="BJ133" s="6">
        <v>1790.78</v>
      </c>
      <c r="BK133" s="4">
        <v>87</v>
      </c>
      <c r="BL133" s="6">
        <v>2899.01</v>
      </c>
      <c r="BM133" s="5">
        <v>-0.3793</v>
      </c>
      <c r="BN133" s="5">
        <v>-0.3823</v>
      </c>
      <c r="BO133" s="4">
        <v>48</v>
      </c>
      <c r="BP133" s="6">
        <v>1508.64</v>
      </c>
      <c r="BQ133" s="4">
        <v>20</v>
      </c>
      <c r="BR133" s="6">
        <v>673.91</v>
      </c>
      <c r="BS133" s="5">
        <v>1.4</v>
      </c>
      <c r="BT133" s="5">
        <v>1.2386</v>
      </c>
      <c r="BU133" s="4">
        <v>26</v>
      </c>
      <c r="BV133" s="6">
        <v>905.08</v>
      </c>
      <c r="BW133" s="4">
        <v>54</v>
      </c>
      <c r="BX133" s="6">
        <v>1864.14</v>
      </c>
      <c r="BY133" s="5">
        <v>-0.5185</v>
      </c>
      <c r="BZ133" s="5">
        <v>-0.5145</v>
      </c>
      <c r="CA133" s="4">
        <v>6</v>
      </c>
      <c r="CB133" s="6">
        <v>210.06</v>
      </c>
      <c r="CC133" s="4">
        <v>11</v>
      </c>
      <c r="CD133" s="6">
        <v>364.6</v>
      </c>
      <c r="CE133" s="5">
        <v>-0.4545</v>
      </c>
      <c r="CF133" s="5">
        <v>-0.4239</v>
      </c>
      <c r="CG133" s="4"/>
      <c r="CH133" s="6"/>
      <c r="CI133" s="4"/>
      <c r="CJ133" s="6"/>
      <c r="CK133" s="5"/>
      <c r="CL133" s="5"/>
      <c r="CM133" s="4">
        <v>33</v>
      </c>
      <c r="CN133" s="6">
        <v>1117.99</v>
      </c>
      <c r="CO133" s="4">
        <v>10</v>
      </c>
      <c r="CP133" s="6">
        <v>341.68</v>
      </c>
      <c r="CQ133" s="5">
        <v>2.3</v>
      </c>
      <c r="CR133" s="5">
        <v>2.272</v>
      </c>
      <c r="CS133" s="4">
        <v>13</v>
      </c>
      <c r="CT133" s="6">
        <v>427.85</v>
      </c>
      <c r="CU133" s="4"/>
      <c r="CV133" s="6"/>
      <c r="CW133" s="5"/>
      <c r="CX133" s="5"/>
      <c r="CY133" s="4">
        <v>2</v>
      </c>
      <c r="CZ133" s="6">
        <v>58.43</v>
      </c>
      <c r="DA133" s="4">
        <v>7</v>
      </c>
      <c r="DB133" s="6">
        <v>223.83</v>
      </c>
      <c r="DC133" s="5">
        <v>-0.7143</v>
      </c>
      <c r="DD133" s="5">
        <v>-0.739</v>
      </c>
      <c r="DE133" s="4"/>
      <c r="DF133" s="6"/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>
        <v>1</v>
      </c>
      <c r="FH133" s="6">
        <v>32.25</v>
      </c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>
        <v>25</v>
      </c>
      <c r="FV133" s="6">
        <v>922.55</v>
      </c>
      <c r="FW133" s="5"/>
      <c r="FX133" s="5"/>
      <c r="FY133" s="4"/>
      <c r="FZ133" s="6"/>
      <c r="GA133" s="4">
        <v>19</v>
      </c>
      <c r="GB133" s="6">
        <v>625.65</v>
      </c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  <c r="IA133" s="4"/>
      <c r="IB133" s="6"/>
      <c r="IC133" s="4"/>
      <c r="ID133" s="6"/>
      <c r="IE133" s="5"/>
      <c r="IF133" s="5"/>
      <c r="IG133" s="4"/>
      <c r="IH133" s="6"/>
      <c r="II133" s="4"/>
      <c r="IJ133" s="6"/>
      <c r="IK133" s="5"/>
      <c r="IL133" s="5"/>
      <c r="IM133" s="4"/>
      <c r="IN133" s="6"/>
      <c r="IO133" s="4"/>
      <c r="IP133" s="6"/>
      <c r="IQ133" s="5"/>
      <c r="IR133" s="5"/>
      <c r="IS133" s="4"/>
      <c r="IT133" s="6"/>
      <c r="IU133" s="4"/>
      <c r="IV133" s="6"/>
      <c r="IW133" s="5"/>
      <c r="IX133" s="5"/>
      <c r="IY133" s="4"/>
      <c r="IZ133" s="6"/>
      <c r="JA133" s="4"/>
      <c r="JB133" s="6"/>
      <c r="JC133" s="5"/>
      <c r="JD133" s="5"/>
      <c r="JE133" s="4"/>
      <c r="JF133" s="6"/>
      <c r="JG133" s="4"/>
      <c r="JH133" s="6"/>
      <c r="JI133" s="5"/>
      <c r="JJ133" s="5"/>
      <c r="JK133" s="4">
        <v>917</v>
      </c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>
        <v>1290</v>
      </c>
      <c r="LH133" s="4"/>
      <c r="LI133" s="4"/>
      <c r="LJ133" s="4"/>
      <c r="LK133" s="4"/>
      <c r="LL133" s="4"/>
      <c r="LM133" s="4"/>
    </row>
    <row r="134">
      <c r="A134" s="3" t="s">
        <v>136</v>
      </c>
      <c r="B134" s="3" t="s">
        <v>164</v>
      </c>
      <c r="C134" s="3" t="s">
        <v>138</v>
      </c>
      <c r="D134" s="3" t="s">
        <v>139</v>
      </c>
      <c r="E134" s="3" t="s">
        <v>166</v>
      </c>
      <c r="F134" s="3" t="s">
        <v>166</v>
      </c>
      <c r="G134" s="3" t="s">
        <v>166</v>
      </c>
      <c r="H134" s="3" t="s">
        <v>167</v>
      </c>
      <c r="I134" s="3" t="s">
        <v>269</v>
      </c>
      <c r="J134" s="3" t="s">
        <v>228</v>
      </c>
      <c r="K134" s="4">
        <v>321</v>
      </c>
      <c r="L134" s="4">
        <f>=ROUNDDOWN(14.5909090909091,0)</f>
      </c>
      <c r="M134" s="4">
        <v>40</v>
      </c>
      <c r="N134" s="5">
        <v>0.7016</v>
      </c>
      <c r="O134" s="4"/>
      <c r="P134" s="4">
        <f>=ROUNDDOWN({0},0)</f>
      </c>
      <c r="Q134" s="4"/>
      <c r="R134" s="5"/>
      <c r="S134" s="4">
        <v>732</v>
      </c>
      <c r="T134" s="6">
        <v>22420.13</v>
      </c>
      <c r="U134" s="4"/>
      <c r="V134" s="6"/>
      <c r="W134" s="5"/>
      <c r="X134" s="5"/>
      <c r="Y134" s="4">
        <v>532</v>
      </c>
      <c r="Z134" s="6">
        <v>16559.62</v>
      </c>
      <c r="AA134" s="4"/>
      <c r="AB134" s="6"/>
      <c r="AC134" s="5"/>
      <c r="AD134" s="5"/>
      <c r="AE134" s="4">
        <v>6</v>
      </c>
      <c r="AF134" s="6">
        <v>177.24</v>
      </c>
      <c r="AG134" s="4"/>
      <c r="AH134" s="6"/>
      <c r="AI134" s="5"/>
      <c r="AJ134" s="5"/>
      <c r="AK134" s="4"/>
      <c r="AL134" s="6"/>
      <c r="AM134" s="4"/>
      <c r="AN134" s="6"/>
      <c r="AO134" s="5"/>
      <c r="AP134" s="5"/>
      <c r="AQ134" s="4">
        <v>34</v>
      </c>
      <c r="AR134" s="6">
        <v>1029.14</v>
      </c>
      <c r="AS134" s="4"/>
      <c r="AT134" s="6"/>
      <c r="AU134" s="5"/>
      <c r="AV134" s="5"/>
      <c r="AW134" s="4">
        <v>28</v>
      </c>
      <c r="AX134" s="6">
        <v>909.52</v>
      </c>
      <c r="AY134" s="4"/>
      <c r="AZ134" s="6"/>
      <c r="BA134" s="5"/>
      <c r="BB134" s="5"/>
      <c r="BC134" s="4">
        <v>21</v>
      </c>
      <c r="BD134" s="6">
        <v>602.26</v>
      </c>
      <c r="BE134" s="4"/>
      <c r="BF134" s="6"/>
      <c r="BG134" s="5"/>
      <c r="BH134" s="5"/>
      <c r="BI134" s="4">
        <v>58</v>
      </c>
      <c r="BJ134" s="6">
        <v>1637.21</v>
      </c>
      <c r="BK134" s="4"/>
      <c r="BL134" s="6"/>
      <c r="BM134" s="5"/>
      <c r="BN134" s="5"/>
      <c r="BO134" s="4">
        <v>25</v>
      </c>
      <c r="BP134" s="6">
        <v>671.67</v>
      </c>
      <c r="BQ134" s="4"/>
      <c r="BR134" s="6"/>
      <c r="BS134" s="5"/>
      <c r="BT134" s="5"/>
      <c r="BU134" s="4"/>
      <c r="BV134" s="6"/>
      <c r="BW134" s="4"/>
      <c r="BX134" s="6"/>
      <c r="BY134" s="5"/>
      <c r="BZ134" s="5"/>
      <c r="CA134" s="4">
        <v>19</v>
      </c>
      <c r="CB134" s="6">
        <v>529.43</v>
      </c>
      <c r="CC134" s="4"/>
      <c r="CD134" s="6"/>
      <c r="CE134" s="5"/>
      <c r="CF134" s="5"/>
      <c r="CG134" s="4">
        <v>1</v>
      </c>
      <c r="CH134" s="6">
        <v>29.73</v>
      </c>
      <c r="CI134" s="4"/>
      <c r="CJ134" s="6"/>
      <c r="CK134" s="5"/>
      <c r="CL134" s="5"/>
      <c r="CM134" s="4"/>
      <c r="CN134" s="6"/>
      <c r="CO134" s="4"/>
      <c r="CP134" s="6"/>
      <c r="CQ134" s="5"/>
      <c r="CR134" s="5"/>
      <c r="CS134" s="4"/>
      <c r="CT134" s="6"/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>
        <v>7</v>
      </c>
      <c r="DF134" s="6">
        <v>215.1</v>
      </c>
      <c r="DG134" s="4"/>
      <c r="DH134" s="6"/>
      <c r="DI134" s="5"/>
      <c r="DJ134" s="5"/>
      <c r="DK134" s="4">
        <v>1</v>
      </c>
      <c r="DL134" s="6">
        <v>59.21</v>
      </c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  <c r="IA134" s="4"/>
      <c r="IB134" s="6"/>
      <c r="IC134" s="4"/>
      <c r="ID134" s="6"/>
      <c r="IE134" s="5"/>
      <c r="IF134" s="5"/>
      <c r="IG134" s="4"/>
      <c r="IH134" s="6"/>
      <c r="II134" s="4"/>
      <c r="IJ134" s="6"/>
      <c r="IK134" s="5"/>
      <c r="IL134" s="5"/>
      <c r="IM134" s="4"/>
      <c r="IN134" s="6"/>
      <c r="IO134" s="4"/>
      <c r="IP134" s="6"/>
      <c r="IQ134" s="5"/>
      <c r="IR134" s="5"/>
      <c r="IS134" s="4"/>
      <c r="IT134" s="6"/>
      <c r="IU134" s="4"/>
      <c r="IV134" s="6"/>
      <c r="IW134" s="5"/>
      <c r="IX134" s="5"/>
      <c r="IY134" s="4"/>
      <c r="IZ134" s="6"/>
      <c r="JA134" s="4"/>
      <c r="JB134" s="6"/>
      <c r="JC134" s="5"/>
      <c r="JD134" s="5"/>
      <c r="JE134" s="4"/>
      <c r="JF134" s="6"/>
      <c r="JG134" s="4"/>
      <c r="JH134" s="6"/>
      <c r="JI134" s="5"/>
      <c r="JJ134" s="5"/>
      <c r="JK134" s="4">
        <v>321</v>
      </c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>
        <v>40</v>
      </c>
      <c r="LF134" s="4"/>
      <c r="LG134" s="4"/>
      <c r="LH134" s="4"/>
      <c r="LI134" s="4"/>
      <c r="LJ134" s="4"/>
      <c r="LK134" s="4"/>
      <c r="LL134" s="4"/>
      <c r="LM134" s="4"/>
    </row>
    <row r="135">
      <c r="A135" s="3" t="s">
        <v>136</v>
      </c>
      <c r="B135" s="3" t="s">
        <v>164</v>
      </c>
      <c r="C135" s="3" t="s">
        <v>138</v>
      </c>
      <c r="D135" s="3" t="s">
        <v>139</v>
      </c>
      <c r="E135" s="3" t="s">
        <v>166</v>
      </c>
      <c r="F135" s="3" t="s">
        <v>166</v>
      </c>
      <c r="G135" s="3" t="s">
        <v>166</v>
      </c>
      <c r="H135" s="3" t="s">
        <v>167</v>
      </c>
      <c r="I135" s="3" t="s">
        <v>270</v>
      </c>
      <c r="J135" s="3" t="s">
        <v>228</v>
      </c>
      <c r="K135" s="4">
        <v>469</v>
      </c>
      <c r="L135" s="4">
        <f>=ROUNDDOWN(33.5,0)</f>
      </c>
      <c r="M135" s="4"/>
      <c r="N135" s="5">
        <v>0.7199</v>
      </c>
      <c r="O135" s="4"/>
      <c r="P135" s="4">
        <f>=ROUNDDOWN({0},0)</f>
      </c>
      <c r="Q135" s="4"/>
      <c r="R135" s="5"/>
      <c r="S135" s="4">
        <v>721</v>
      </c>
      <c r="T135" s="6">
        <v>21811.53</v>
      </c>
      <c r="U135" s="4"/>
      <c r="V135" s="6"/>
      <c r="W135" s="5"/>
      <c r="X135" s="5"/>
      <c r="Y135" s="4">
        <v>520</v>
      </c>
      <c r="Z135" s="6">
        <v>15793.3</v>
      </c>
      <c r="AA135" s="4"/>
      <c r="AB135" s="6"/>
      <c r="AC135" s="5"/>
      <c r="AD135" s="5"/>
      <c r="AE135" s="4">
        <v>15</v>
      </c>
      <c r="AF135" s="6">
        <v>448.22</v>
      </c>
      <c r="AG135" s="4"/>
      <c r="AH135" s="6"/>
      <c r="AI135" s="5"/>
      <c r="AJ135" s="5"/>
      <c r="AK135" s="4"/>
      <c r="AL135" s="6"/>
      <c r="AM135" s="4"/>
      <c r="AN135" s="6"/>
      <c r="AO135" s="5"/>
      <c r="AP135" s="5"/>
      <c r="AQ135" s="4">
        <v>61</v>
      </c>
      <c r="AR135" s="6">
        <v>1880.02</v>
      </c>
      <c r="AS135" s="4"/>
      <c r="AT135" s="6"/>
      <c r="AU135" s="5"/>
      <c r="AV135" s="5"/>
      <c r="AW135" s="4"/>
      <c r="AX135" s="6"/>
      <c r="AY135" s="4"/>
      <c r="AZ135" s="6"/>
      <c r="BA135" s="5"/>
      <c r="BB135" s="5"/>
      <c r="BC135" s="4">
        <v>38</v>
      </c>
      <c r="BD135" s="6">
        <v>1093.64</v>
      </c>
      <c r="BE135" s="4"/>
      <c r="BF135" s="6"/>
      <c r="BG135" s="5"/>
      <c r="BH135" s="5"/>
      <c r="BI135" s="4">
        <v>23</v>
      </c>
      <c r="BJ135" s="6">
        <v>659.32</v>
      </c>
      <c r="BK135" s="4"/>
      <c r="BL135" s="6"/>
      <c r="BM135" s="5"/>
      <c r="BN135" s="5"/>
      <c r="BO135" s="4">
        <v>22</v>
      </c>
      <c r="BP135" s="6">
        <v>571.94</v>
      </c>
      <c r="BQ135" s="4"/>
      <c r="BR135" s="6"/>
      <c r="BS135" s="5"/>
      <c r="BT135" s="5"/>
      <c r="BU135" s="4"/>
      <c r="BV135" s="6"/>
      <c r="BW135" s="4"/>
      <c r="BX135" s="6"/>
      <c r="BY135" s="5"/>
      <c r="BZ135" s="5"/>
      <c r="CA135" s="4">
        <v>25</v>
      </c>
      <c r="CB135" s="6">
        <v>694.06</v>
      </c>
      <c r="CC135" s="4"/>
      <c r="CD135" s="6"/>
      <c r="CE135" s="5"/>
      <c r="CF135" s="5"/>
      <c r="CG135" s="4">
        <v>3</v>
      </c>
      <c r="CH135" s="6">
        <v>95.69</v>
      </c>
      <c r="CI135" s="4"/>
      <c r="CJ135" s="6"/>
      <c r="CK135" s="5"/>
      <c r="CL135" s="5"/>
      <c r="CM135" s="4"/>
      <c r="CN135" s="6"/>
      <c r="CO135" s="4"/>
      <c r="CP135" s="6"/>
      <c r="CQ135" s="5"/>
      <c r="CR135" s="5"/>
      <c r="CS135" s="4"/>
      <c r="CT135" s="6"/>
      <c r="CU135" s="4"/>
      <c r="CV135" s="6"/>
      <c r="CW135" s="5"/>
      <c r="CX135" s="5"/>
      <c r="CY135" s="4"/>
      <c r="CZ135" s="6"/>
      <c r="DA135" s="4"/>
      <c r="DB135" s="6"/>
      <c r="DC135" s="5"/>
      <c r="DD135" s="5"/>
      <c r="DE135" s="4">
        <v>8</v>
      </c>
      <c r="DF135" s="6">
        <v>243.6</v>
      </c>
      <c r="DG135" s="4"/>
      <c r="DH135" s="6"/>
      <c r="DI135" s="5"/>
      <c r="DJ135" s="5"/>
      <c r="DK135" s="4">
        <v>6</v>
      </c>
      <c r="DL135" s="6">
        <v>331.74</v>
      </c>
      <c r="DM135" s="4"/>
      <c r="DN135" s="6"/>
      <c r="DO135" s="5"/>
      <c r="DP135" s="5"/>
      <c r="DQ135" s="4"/>
      <c r="DR135" s="6"/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  <c r="IA135" s="4"/>
      <c r="IB135" s="6"/>
      <c r="IC135" s="4"/>
      <c r="ID135" s="6"/>
      <c r="IE135" s="5"/>
      <c r="IF135" s="5"/>
      <c r="IG135" s="4"/>
      <c r="IH135" s="6"/>
      <c r="II135" s="4"/>
      <c r="IJ135" s="6"/>
      <c r="IK135" s="5"/>
      <c r="IL135" s="5"/>
      <c r="IM135" s="4"/>
      <c r="IN135" s="6"/>
      <c r="IO135" s="4"/>
      <c r="IP135" s="6"/>
      <c r="IQ135" s="5"/>
      <c r="IR135" s="5"/>
      <c r="IS135" s="4"/>
      <c r="IT135" s="6"/>
      <c r="IU135" s="4"/>
      <c r="IV135" s="6"/>
      <c r="IW135" s="5"/>
      <c r="IX135" s="5"/>
      <c r="IY135" s="4"/>
      <c r="IZ135" s="6"/>
      <c r="JA135" s="4"/>
      <c r="JB135" s="6"/>
      <c r="JC135" s="5"/>
      <c r="JD135" s="5"/>
      <c r="JE135" s="4"/>
      <c r="JF135" s="6"/>
      <c r="JG135" s="4"/>
      <c r="JH135" s="6"/>
      <c r="JI135" s="5"/>
      <c r="JJ135" s="5"/>
      <c r="JK135" s="4">
        <v>469</v>
      </c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</row>
    <row r="136">
      <c r="A136" s="3" t="s">
        <v>136</v>
      </c>
      <c r="B136" s="3" t="s">
        <v>164</v>
      </c>
      <c r="C136" s="3" t="s">
        <v>138</v>
      </c>
      <c r="D136" s="3" t="s">
        <v>139</v>
      </c>
      <c r="E136" s="3" t="s">
        <v>166</v>
      </c>
      <c r="F136" s="3" t="s">
        <v>166</v>
      </c>
      <c r="G136" s="3" t="s">
        <v>166</v>
      </c>
      <c r="H136" s="3" t="s">
        <v>167</v>
      </c>
      <c r="I136" s="3" t="s">
        <v>271</v>
      </c>
      <c r="J136" s="3" t="s">
        <v>226</v>
      </c>
      <c r="K136" s="4">
        <v>16</v>
      </c>
      <c r="L136" s="4">
        <f>=ROUNDDOWN(0.216216216216216,0)</f>
      </c>
      <c r="M136" s="4">
        <v>582</v>
      </c>
      <c r="N136" s="5">
        <v>0.6507</v>
      </c>
      <c r="O136" s="4"/>
      <c r="P136" s="4">
        <f>=ROUNDDOWN({0},0)</f>
      </c>
      <c r="Q136" s="4"/>
      <c r="R136" s="5"/>
      <c r="S136" s="4">
        <v>330</v>
      </c>
      <c r="T136" s="6">
        <v>10723.18</v>
      </c>
      <c r="U136" s="4">
        <v>105</v>
      </c>
      <c r="V136" s="6">
        <v>3442.92</v>
      </c>
      <c r="W136" s="5">
        <v>2.1429</v>
      </c>
      <c r="X136" s="5">
        <v>2.1146</v>
      </c>
      <c r="Y136" s="4">
        <v>119</v>
      </c>
      <c r="Z136" s="6">
        <v>3842.65</v>
      </c>
      <c r="AA136" s="4">
        <v>35</v>
      </c>
      <c r="AB136" s="6">
        <v>1124.25</v>
      </c>
      <c r="AC136" s="5">
        <v>2.4</v>
      </c>
      <c r="AD136" s="5">
        <v>2.418</v>
      </c>
      <c r="AE136" s="4">
        <v>21</v>
      </c>
      <c r="AF136" s="6">
        <v>645.3</v>
      </c>
      <c r="AG136" s="4"/>
      <c r="AH136" s="6"/>
      <c r="AI136" s="5"/>
      <c r="AJ136" s="5"/>
      <c r="AK136" s="4"/>
      <c r="AL136" s="6"/>
      <c r="AM136" s="4"/>
      <c r="AN136" s="6"/>
      <c r="AO136" s="5"/>
      <c r="AP136" s="5"/>
      <c r="AQ136" s="4"/>
      <c r="AR136" s="6"/>
      <c r="AS136" s="4"/>
      <c r="AT136" s="6"/>
      <c r="AU136" s="5"/>
      <c r="AV136" s="5"/>
      <c r="AW136" s="4">
        <v>26</v>
      </c>
      <c r="AX136" s="6">
        <v>800.4</v>
      </c>
      <c r="AY136" s="4">
        <v>13</v>
      </c>
      <c r="AZ136" s="6">
        <v>432.34</v>
      </c>
      <c r="BA136" s="5">
        <v>1</v>
      </c>
      <c r="BB136" s="5">
        <v>0.8513</v>
      </c>
      <c r="BC136" s="4">
        <v>65</v>
      </c>
      <c r="BD136" s="6">
        <v>2161.01</v>
      </c>
      <c r="BE136" s="4">
        <v>16</v>
      </c>
      <c r="BF136" s="6">
        <v>551.52</v>
      </c>
      <c r="BG136" s="5">
        <v>3.0625</v>
      </c>
      <c r="BH136" s="5">
        <v>2.9183</v>
      </c>
      <c r="BI136" s="4">
        <v>7</v>
      </c>
      <c r="BJ136" s="6">
        <v>210.35</v>
      </c>
      <c r="BK136" s="4">
        <v>4</v>
      </c>
      <c r="BL136" s="6">
        <v>133.56</v>
      </c>
      <c r="BM136" s="5">
        <v>0.75</v>
      </c>
      <c r="BN136" s="5">
        <v>0.5749</v>
      </c>
      <c r="BO136" s="4">
        <v>25</v>
      </c>
      <c r="BP136" s="6">
        <v>725.78</v>
      </c>
      <c r="BQ136" s="4">
        <v>1</v>
      </c>
      <c r="BR136" s="6">
        <v>33.46</v>
      </c>
      <c r="BS136" s="5">
        <v>24</v>
      </c>
      <c r="BT136" s="5">
        <v>20.691</v>
      </c>
      <c r="BU136" s="4">
        <v>34</v>
      </c>
      <c r="BV136" s="6">
        <v>1187.8</v>
      </c>
      <c r="BW136" s="4">
        <v>5</v>
      </c>
      <c r="BX136" s="6">
        <v>159.38</v>
      </c>
      <c r="BY136" s="5">
        <v>5.8</v>
      </c>
      <c r="BZ136" s="5">
        <v>6.4526</v>
      </c>
      <c r="CA136" s="4">
        <v>11</v>
      </c>
      <c r="CB136" s="6">
        <v>367.31</v>
      </c>
      <c r="CC136" s="4">
        <v>15</v>
      </c>
      <c r="CD136" s="6">
        <v>486.56</v>
      </c>
      <c r="CE136" s="5">
        <v>-0.2667</v>
      </c>
      <c r="CF136" s="5">
        <v>-0.2451</v>
      </c>
      <c r="CG136" s="4">
        <v>13</v>
      </c>
      <c r="CH136" s="6">
        <v>472.83</v>
      </c>
      <c r="CI136" s="4">
        <v>4</v>
      </c>
      <c r="CJ136" s="6">
        <v>129.58</v>
      </c>
      <c r="CK136" s="5">
        <v>2.25</v>
      </c>
      <c r="CL136" s="5">
        <v>2.6489</v>
      </c>
      <c r="CM136" s="4">
        <v>2</v>
      </c>
      <c r="CN136" s="6">
        <v>63.74</v>
      </c>
      <c r="CO136" s="4">
        <v>1</v>
      </c>
      <c r="CP136" s="6">
        <v>31.87</v>
      </c>
      <c r="CQ136" s="5">
        <v>1</v>
      </c>
      <c r="CR136" s="5">
        <v>1</v>
      </c>
      <c r="CS136" s="4">
        <v>2</v>
      </c>
      <c r="CT136" s="6">
        <v>60.32</v>
      </c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>
        <v>4</v>
      </c>
      <c r="DF136" s="6">
        <v>126.48</v>
      </c>
      <c r="DG136" s="4">
        <v>4</v>
      </c>
      <c r="DH136" s="6">
        <v>124.2</v>
      </c>
      <c r="DI136" s="5"/>
      <c r="DJ136" s="5">
        <v>0.0184</v>
      </c>
      <c r="DK136" s="4">
        <v>1</v>
      </c>
      <c r="DL136" s="6">
        <v>59.21</v>
      </c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>
        <v>7</v>
      </c>
      <c r="FV136" s="6">
        <v>236.2</v>
      </c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  <c r="IA136" s="4"/>
      <c r="IB136" s="6"/>
      <c r="IC136" s="4"/>
      <c r="ID136" s="6"/>
      <c r="IE136" s="5"/>
      <c r="IF136" s="5"/>
      <c r="IG136" s="4"/>
      <c r="IH136" s="6"/>
      <c r="II136" s="4"/>
      <c r="IJ136" s="6"/>
      <c r="IK136" s="5"/>
      <c r="IL136" s="5"/>
      <c r="IM136" s="4"/>
      <c r="IN136" s="6"/>
      <c r="IO136" s="4"/>
      <c r="IP136" s="6"/>
      <c r="IQ136" s="5"/>
      <c r="IR136" s="5"/>
      <c r="IS136" s="4"/>
      <c r="IT136" s="6"/>
      <c r="IU136" s="4"/>
      <c r="IV136" s="6"/>
      <c r="IW136" s="5"/>
      <c r="IX136" s="5"/>
      <c r="IY136" s="4"/>
      <c r="IZ136" s="6"/>
      <c r="JA136" s="4"/>
      <c r="JB136" s="6"/>
      <c r="JC136" s="5"/>
      <c r="JD136" s="5"/>
      <c r="JE136" s="4"/>
      <c r="JF136" s="6"/>
      <c r="JG136" s="4"/>
      <c r="JH136" s="6"/>
      <c r="JI136" s="5"/>
      <c r="JJ136" s="5"/>
      <c r="JK136" s="4">
        <v>16</v>
      </c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>
        <v>582</v>
      </c>
      <c r="LF136" s="4"/>
      <c r="LG136" s="4"/>
      <c r="LH136" s="4"/>
      <c r="LI136" s="4"/>
      <c r="LJ136" s="4"/>
      <c r="LK136" s="4"/>
      <c r="LL136" s="4"/>
      <c r="LM136" s="4"/>
    </row>
    <row r="137">
      <c r="A137" s="3" t="s">
        <v>136</v>
      </c>
      <c r="B137" s="3" t="s">
        <v>164</v>
      </c>
      <c r="C137" s="3" t="s">
        <v>138</v>
      </c>
      <c r="D137" s="3" t="s">
        <v>139</v>
      </c>
      <c r="E137" s="3" t="s">
        <v>166</v>
      </c>
      <c r="F137" s="3" t="s">
        <v>166</v>
      </c>
      <c r="G137" s="3" t="s">
        <v>166</v>
      </c>
      <c r="H137" s="3" t="s">
        <v>167</v>
      </c>
      <c r="I137" s="3" t="s">
        <v>272</v>
      </c>
      <c r="J137" s="3" t="s">
        <v>228</v>
      </c>
      <c r="K137" s="4">
        <v>28</v>
      </c>
      <c r="L137" s="4">
        <f>=ROUNDDOWN(0.488656195462478,0)</f>
      </c>
      <c r="M137" s="4">
        <v>455</v>
      </c>
      <c r="N137" s="5">
        <v>0.7891</v>
      </c>
      <c r="O137" s="4"/>
      <c r="P137" s="4">
        <f>=ROUNDDOWN({0},0)</f>
      </c>
      <c r="Q137" s="4"/>
      <c r="R137" s="5"/>
      <c r="S137" s="4">
        <v>216</v>
      </c>
      <c r="T137" s="6">
        <v>7160.27</v>
      </c>
      <c r="U137" s="4">
        <v>107</v>
      </c>
      <c r="V137" s="6">
        <v>3430.57</v>
      </c>
      <c r="W137" s="5">
        <v>1.0187</v>
      </c>
      <c r="X137" s="5">
        <v>1.0872</v>
      </c>
      <c r="Y137" s="4">
        <v>69</v>
      </c>
      <c r="Z137" s="6">
        <v>2327.87</v>
      </c>
      <c r="AA137" s="4">
        <v>33</v>
      </c>
      <c r="AB137" s="6">
        <v>1042.07</v>
      </c>
      <c r="AC137" s="5">
        <v>1.0909</v>
      </c>
      <c r="AD137" s="5">
        <v>1.2339</v>
      </c>
      <c r="AE137" s="4">
        <v>2</v>
      </c>
      <c r="AF137" s="6">
        <v>63.24</v>
      </c>
      <c r="AG137" s="4">
        <v>2</v>
      </c>
      <c r="AH137" s="6">
        <v>62.1</v>
      </c>
      <c r="AI137" s="5"/>
      <c r="AJ137" s="5">
        <v>0.0184</v>
      </c>
      <c r="AK137" s="4"/>
      <c r="AL137" s="6"/>
      <c r="AM137" s="4"/>
      <c r="AN137" s="6"/>
      <c r="AO137" s="5"/>
      <c r="AP137" s="5"/>
      <c r="AQ137" s="4"/>
      <c r="AR137" s="6"/>
      <c r="AS137" s="4"/>
      <c r="AT137" s="6"/>
      <c r="AU137" s="5"/>
      <c r="AV137" s="5"/>
      <c r="AW137" s="4">
        <v>16</v>
      </c>
      <c r="AX137" s="6">
        <v>499.8</v>
      </c>
      <c r="AY137" s="4">
        <v>18</v>
      </c>
      <c r="AZ137" s="6">
        <v>559.08</v>
      </c>
      <c r="BA137" s="5">
        <v>-0.1111</v>
      </c>
      <c r="BB137" s="5">
        <v>-0.106</v>
      </c>
      <c r="BC137" s="4">
        <v>25</v>
      </c>
      <c r="BD137" s="6">
        <v>836.25</v>
      </c>
      <c r="BE137" s="4">
        <v>10</v>
      </c>
      <c r="BF137" s="6">
        <v>328.5</v>
      </c>
      <c r="BG137" s="5">
        <v>1.5</v>
      </c>
      <c r="BH137" s="5">
        <v>1.5457</v>
      </c>
      <c r="BI137" s="4">
        <v>19</v>
      </c>
      <c r="BJ137" s="6">
        <v>570.95</v>
      </c>
      <c r="BK137" s="4">
        <v>4</v>
      </c>
      <c r="BL137" s="6">
        <v>130.26</v>
      </c>
      <c r="BM137" s="5">
        <v>3.75</v>
      </c>
      <c r="BN137" s="5">
        <v>3.3832</v>
      </c>
      <c r="BO137" s="4">
        <v>11</v>
      </c>
      <c r="BP137" s="6">
        <v>328.24</v>
      </c>
      <c r="BQ137" s="4">
        <v>2</v>
      </c>
      <c r="BR137" s="6">
        <v>59.15</v>
      </c>
      <c r="BS137" s="5">
        <v>4.5</v>
      </c>
      <c r="BT137" s="5">
        <v>4.5493</v>
      </c>
      <c r="BU137" s="4">
        <v>29</v>
      </c>
      <c r="BV137" s="6">
        <v>1019.06</v>
      </c>
      <c r="BW137" s="4">
        <v>3</v>
      </c>
      <c r="BX137" s="6">
        <v>105.42</v>
      </c>
      <c r="BY137" s="5">
        <v>8.6667</v>
      </c>
      <c r="BZ137" s="5">
        <v>8.6667</v>
      </c>
      <c r="CA137" s="4">
        <v>26</v>
      </c>
      <c r="CB137" s="6">
        <v>865.06</v>
      </c>
      <c r="CC137" s="4">
        <v>9</v>
      </c>
      <c r="CD137" s="6">
        <v>293.54</v>
      </c>
      <c r="CE137" s="5">
        <v>1.8889</v>
      </c>
      <c r="CF137" s="5">
        <v>1.947</v>
      </c>
      <c r="CG137" s="4">
        <v>4</v>
      </c>
      <c r="CH137" s="6">
        <v>146.6</v>
      </c>
      <c r="CI137" s="4">
        <v>2</v>
      </c>
      <c r="CJ137" s="6">
        <v>73.3</v>
      </c>
      <c r="CK137" s="5">
        <v>1</v>
      </c>
      <c r="CL137" s="5">
        <v>1</v>
      </c>
      <c r="CM137" s="4">
        <v>5</v>
      </c>
      <c r="CN137" s="6">
        <v>156.2</v>
      </c>
      <c r="CO137" s="4">
        <v>5</v>
      </c>
      <c r="CP137" s="6">
        <v>137.15</v>
      </c>
      <c r="CQ137" s="5"/>
      <c r="CR137" s="5">
        <v>0.1389</v>
      </c>
      <c r="CS137" s="4"/>
      <c r="CT137" s="6"/>
      <c r="CU137" s="4">
        <v>4</v>
      </c>
      <c r="CV137" s="6">
        <v>127.24</v>
      </c>
      <c r="CW137" s="5"/>
      <c r="CX137" s="5"/>
      <c r="CY137" s="4"/>
      <c r="CZ137" s="6"/>
      <c r="DA137" s="4"/>
      <c r="DB137" s="6"/>
      <c r="DC137" s="5"/>
      <c r="DD137" s="5"/>
      <c r="DE137" s="4">
        <v>8</v>
      </c>
      <c r="DF137" s="6">
        <v>252.96</v>
      </c>
      <c r="DG137" s="4">
        <v>9</v>
      </c>
      <c r="DH137" s="6">
        <v>312.7</v>
      </c>
      <c r="DI137" s="5">
        <v>-0.1111</v>
      </c>
      <c r="DJ137" s="5">
        <v>-0.191</v>
      </c>
      <c r="DK137" s="4">
        <v>2</v>
      </c>
      <c r="DL137" s="6">
        <v>94.04</v>
      </c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>
        <v>6</v>
      </c>
      <c r="FV137" s="6">
        <v>200.06</v>
      </c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  <c r="IA137" s="4"/>
      <c r="IB137" s="6"/>
      <c r="IC137" s="4"/>
      <c r="ID137" s="6"/>
      <c r="IE137" s="5"/>
      <c r="IF137" s="5"/>
      <c r="IG137" s="4"/>
      <c r="IH137" s="6"/>
      <c r="II137" s="4"/>
      <c r="IJ137" s="6"/>
      <c r="IK137" s="5"/>
      <c r="IL137" s="5"/>
      <c r="IM137" s="4"/>
      <c r="IN137" s="6"/>
      <c r="IO137" s="4"/>
      <c r="IP137" s="6"/>
      <c r="IQ137" s="5"/>
      <c r="IR137" s="5"/>
      <c r="IS137" s="4"/>
      <c r="IT137" s="6"/>
      <c r="IU137" s="4"/>
      <c r="IV137" s="6"/>
      <c r="IW137" s="5"/>
      <c r="IX137" s="5"/>
      <c r="IY137" s="4"/>
      <c r="IZ137" s="6"/>
      <c r="JA137" s="4"/>
      <c r="JB137" s="6"/>
      <c r="JC137" s="5"/>
      <c r="JD137" s="5"/>
      <c r="JE137" s="4"/>
      <c r="JF137" s="6"/>
      <c r="JG137" s="4"/>
      <c r="JH137" s="6"/>
      <c r="JI137" s="5"/>
      <c r="JJ137" s="5"/>
      <c r="JK137" s="4">
        <v>28</v>
      </c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>
        <v>455</v>
      </c>
      <c r="LF137" s="4"/>
      <c r="LG137" s="4"/>
      <c r="LH137" s="4"/>
      <c r="LI137" s="4"/>
      <c r="LJ137" s="4"/>
      <c r="LK137" s="4"/>
      <c r="LL137" s="4"/>
      <c r="LM137" s="4"/>
    </row>
    <row r="138">
      <c r="A138" s="3" t="s">
        <v>136</v>
      </c>
      <c r="B138" s="3" t="s">
        <v>164</v>
      </c>
      <c r="C138" s="3" t="s">
        <v>138</v>
      </c>
      <c r="D138" s="3" t="s">
        <v>139</v>
      </c>
      <c r="E138" s="3" t="s">
        <v>166</v>
      </c>
      <c r="F138" s="3" t="s">
        <v>166</v>
      </c>
      <c r="G138" s="3" t="s">
        <v>166</v>
      </c>
      <c r="H138" s="3" t="s">
        <v>167</v>
      </c>
      <c r="I138" s="3" t="s">
        <v>273</v>
      </c>
      <c r="J138" s="3" t="s">
        <v>228</v>
      </c>
      <c r="K138" s="4">
        <v>10</v>
      </c>
      <c r="L138" s="4">
        <f>=ROUNDDOWN(0.175438596491228,0)</f>
      </c>
      <c r="M138" s="4">
        <v>463</v>
      </c>
      <c r="N138" s="5">
        <v>0.706</v>
      </c>
      <c r="O138" s="4"/>
      <c r="P138" s="4">
        <f>=ROUNDDOWN({0},0)</f>
      </c>
      <c r="Q138" s="4"/>
      <c r="R138" s="5"/>
      <c r="S138" s="4">
        <v>199</v>
      </c>
      <c r="T138" s="6">
        <v>6663.83</v>
      </c>
      <c r="U138" s="4">
        <v>45</v>
      </c>
      <c r="V138" s="6">
        <v>1358.89</v>
      </c>
      <c r="W138" s="5">
        <v>3.4222</v>
      </c>
      <c r="X138" s="5">
        <v>3.9039</v>
      </c>
      <c r="Y138" s="4">
        <v>88</v>
      </c>
      <c r="Z138" s="6">
        <v>2897.08</v>
      </c>
      <c r="AA138" s="4">
        <v>8</v>
      </c>
      <c r="AB138" s="6">
        <v>233.84</v>
      </c>
      <c r="AC138" s="5">
        <v>10</v>
      </c>
      <c r="AD138" s="5">
        <v>11.3892</v>
      </c>
      <c r="AE138" s="4">
        <v>4</v>
      </c>
      <c r="AF138" s="6">
        <v>120.24</v>
      </c>
      <c r="AG138" s="4">
        <v>1</v>
      </c>
      <c r="AH138" s="6">
        <v>26.97</v>
      </c>
      <c r="AI138" s="5">
        <v>3</v>
      </c>
      <c r="AJ138" s="5">
        <v>3.4583</v>
      </c>
      <c r="AK138" s="4"/>
      <c r="AL138" s="6"/>
      <c r="AM138" s="4"/>
      <c r="AN138" s="6"/>
      <c r="AO138" s="5"/>
      <c r="AP138" s="5"/>
      <c r="AQ138" s="4"/>
      <c r="AR138" s="6"/>
      <c r="AS138" s="4"/>
      <c r="AT138" s="6"/>
      <c r="AU138" s="5"/>
      <c r="AV138" s="5"/>
      <c r="AW138" s="4">
        <v>3</v>
      </c>
      <c r="AX138" s="6">
        <v>85.47</v>
      </c>
      <c r="AY138" s="4">
        <v>8</v>
      </c>
      <c r="AZ138" s="6">
        <v>225.2</v>
      </c>
      <c r="BA138" s="5">
        <v>-0.625</v>
      </c>
      <c r="BB138" s="5">
        <v>-0.6205</v>
      </c>
      <c r="BC138" s="4">
        <v>19</v>
      </c>
      <c r="BD138" s="6">
        <v>628.93</v>
      </c>
      <c r="BE138" s="4">
        <v>3</v>
      </c>
      <c r="BF138" s="6">
        <v>104.15</v>
      </c>
      <c r="BG138" s="5">
        <v>5.3333</v>
      </c>
      <c r="BH138" s="5">
        <v>5.0387</v>
      </c>
      <c r="BI138" s="4">
        <v>7</v>
      </c>
      <c r="BJ138" s="6">
        <v>210.35</v>
      </c>
      <c r="BK138" s="4">
        <v>2</v>
      </c>
      <c r="BL138" s="6">
        <v>51.26</v>
      </c>
      <c r="BM138" s="5">
        <v>2.5</v>
      </c>
      <c r="BN138" s="5">
        <v>3.1036</v>
      </c>
      <c r="BO138" s="4">
        <v>7</v>
      </c>
      <c r="BP138" s="6">
        <v>207.8</v>
      </c>
      <c r="BQ138" s="4"/>
      <c r="BR138" s="6"/>
      <c r="BS138" s="5"/>
      <c r="BT138" s="5"/>
      <c r="BU138" s="4">
        <v>28</v>
      </c>
      <c r="BV138" s="6">
        <v>976.96</v>
      </c>
      <c r="BW138" s="4">
        <v>6</v>
      </c>
      <c r="BX138" s="6">
        <v>184.08</v>
      </c>
      <c r="BY138" s="5">
        <v>3.6667</v>
      </c>
      <c r="BZ138" s="5">
        <v>4.3073</v>
      </c>
      <c r="CA138" s="4">
        <v>23</v>
      </c>
      <c r="CB138" s="6">
        <v>758.69</v>
      </c>
      <c r="CC138" s="4">
        <v>11</v>
      </c>
      <c r="CD138" s="6">
        <v>351.51</v>
      </c>
      <c r="CE138" s="5">
        <v>1.0909</v>
      </c>
      <c r="CF138" s="5">
        <v>1.1584</v>
      </c>
      <c r="CG138" s="4">
        <v>6</v>
      </c>
      <c r="CH138" s="6">
        <v>219.9</v>
      </c>
      <c r="CI138" s="4">
        <v>1</v>
      </c>
      <c r="CJ138" s="6">
        <v>28.14</v>
      </c>
      <c r="CK138" s="5">
        <v>5</v>
      </c>
      <c r="CL138" s="5">
        <v>6.8145</v>
      </c>
      <c r="CM138" s="4">
        <v>7</v>
      </c>
      <c r="CN138" s="6">
        <v>216.79</v>
      </c>
      <c r="CO138" s="4"/>
      <c r="CP138" s="6"/>
      <c r="CQ138" s="5"/>
      <c r="CR138" s="5"/>
      <c r="CS138" s="4"/>
      <c r="CT138" s="6"/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>
        <v>3</v>
      </c>
      <c r="DF138" s="6">
        <v>94.86</v>
      </c>
      <c r="DG138" s="4">
        <v>2</v>
      </c>
      <c r="DH138" s="6">
        <v>62.1</v>
      </c>
      <c r="DI138" s="5">
        <v>0.5</v>
      </c>
      <c r="DJ138" s="5">
        <v>0.5275</v>
      </c>
      <c r="DK138" s="4">
        <v>4</v>
      </c>
      <c r="DL138" s="6">
        <v>246.76</v>
      </c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>
        <v>3</v>
      </c>
      <c r="FV138" s="6">
        <v>91.64</v>
      </c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  <c r="IA138" s="4"/>
      <c r="IB138" s="6"/>
      <c r="IC138" s="4"/>
      <c r="ID138" s="6"/>
      <c r="IE138" s="5"/>
      <c r="IF138" s="5"/>
      <c r="IG138" s="4"/>
      <c r="IH138" s="6"/>
      <c r="II138" s="4"/>
      <c r="IJ138" s="6"/>
      <c r="IK138" s="5"/>
      <c r="IL138" s="5"/>
      <c r="IM138" s="4"/>
      <c r="IN138" s="6"/>
      <c r="IO138" s="4"/>
      <c r="IP138" s="6"/>
      <c r="IQ138" s="5"/>
      <c r="IR138" s="5"/>
      <c r="IS138" s="4"/>
      <c r="IT138" s="6"/>
      <c r="IU138" s="4"/>
      <c r="IV138" s="6"/>
      <c r="IW138" s="5"/>
      <c r="IX138" s="5"/>
      <c r="IY138" s="4"/>
      <c r="IZ138" s="6"/>
      <c r="JA138" s="4"/>
      <c r="JB138" s="6"/>
      <c r="JC138" s="5"/>
      <c r="JD138" s="5"/>
      <c r="JE138" s="4"/>
      <c r="JF138" s="6"/>
      <c r="JG138" s="4"/>
      <c r="JH138" s="6"/>
      <c r="JI138" s="5"/>
      <c r="JJ138" s="5"/>
      <c r="JK138" s="4">
        <v>10</v>
      </c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>
        <v>463</v>
      </c>
      <c r="LF138" s="4"/>
      <c r="LG138" s="4"/>
      <c r="LH138" s="4"/>
      <c r="LI138" s="4"/>
      <c r="LJ138" s="4"/>
      <c r="LK138" s="4"/>
      <c r="LL138" s="4"/>
      <c r="LM138" s="4"/>
    </row>
    <row r="139">
      <c r="A139" s="3" t="s">
        <v>136</v>
      </c>
      <c r="B139" s="3" t="s">
        <v>164</v>
      </c>
      <c r="C139" s="3" t="s">
        <v>138</v>
      </c>
      <c r="D139" s="3" t="s">
        <v>139</v>
      </c>
      <c r="E139" s="3" t="s">
        <v>166</v>
      </c>
      <c r="F139" s="3" t="s">
        <v>166</v>
      </c>
      <c r="G139" s="3" t="s">
        <v>166</v>
      </c>
      <c r="H139" s="3" t="s">
        <v>167</v>
      </c>
      <c r="I139" s="3" t="s">
        <v>274</v>
      </c>
      <c r="J139" s="3" t="s">
        <v>241</v>
      </c>
      <c r="K139" s="4"/>
      <c r="L139" s="4">
        <f>=ROUNDDOWN({0},0)</f>
      </c>
      <c r="M139" s="4"/>
      <c r="N139" s="5"/>
      <c r="O139" s="4"/>
      <c r="P139" s="4">
        <f>=ROUNDDOWN({0},0)</f>
      </c>
      <c r="Q139" s="4"/>
      <c r="R139" s="5"/>
      <c r="S139" s="4">
        <v>62</v>
      </c>
      <c r="T139" s="6">
        <v>1868.89</v>
      </c>
      <c r="U139" s="4">
        <v>311</v>
      </c>
      <c r="V139" s="6">
        <v>9805.68</v>
      </c>
      <c r="W139" s="5">
        <v>-0.8006</v>
      </c>
      <c r="X139" s="5">
        <v>-0.8094</v>
      </c>
      <c r="Y139" s="4">
        <v>55</v>
      </c>
      <c r="Z139" s="6">
        <v>1658.25</v>
      </c>
      <c r="AA139" s="4">
        <v>160</v>
      </c>
      <c r="AB139" s="6">
        <v>4991</v>
      </c>
      <c r="AC139" s="5">
        <v>-0.6562</v>
      </c>
      <c r="AD139" s="5">
        <v>-0.6678</v>
      </c>
      <c r="AE139" s="4">
        <v>1</v>
      </c>
      <c r="AF139" s="6">
        <v>31.66</v>
      </c>
      <c r="AG139" s="4">
        <v>1</v>
      </c>
      <c r="AH139" s="6">
        <v>31.66</v>
      </c>
      <c r="AI139" s="5"/>
      <c r="AJ139" s="5"/>
      <c r="AK139" s="4"/>
      <c r="AL139" s="6"/>
      <c r="AM139" s="4"/>
      <c r="AN139" s="6"/>
      <c r="AO139" s="5"/>
      <c r="AP139" s="5"/>
      <c r="AQ139" s="4"/>
      <c r="AR139" s="6"/>
      <c r="AS139" s="4"/>
      <c r="AT139" s="6"/>
      <c r="AU139" s="5"/>
      <c r="AV139" s="5"/>
      <c r="AW139" s="4">
        <v>2</v>
      </c>
      <c r="AX139" s="6">
        <v>56.98</v>
      </c>
      <c r="AY139" s="4">
        <v>34</v>
      </c>
      <c r="AZ139" s="6">
        <v>1062.4</v>
      </c>
      <c r="BA139" s="5">
        <v>-0.9412</v>
      </c>
      <c r="BB139" s="5">
        <v>-0.9464</v>
      </c>
      <c r="BC139" s="4"/>
      <c r="BD139" s="6"/>
      <c r="BE139" s="4">
        <v>21</v>
      </c>
      <c r="BF139" s="6">
        <v>730.17</v>
      </c>
      <c r="BG139" s="5"/>
      <c r="BH139" s="5"/>
      <c r="BI139" s="4">
        <v>2</v>
      </c>
      <c r="BJ139" s="6">
        <v>60.18</v>
      </c>
      <c r="BK139" s="4">
        <v>18</v>
      </c>
      <c r="BL139" s="6">
        <v>552.5</v>
      </c>
      <c r="BM139" s="5">
        <v>-0.8889</v>
      </c>
      <c r="BN139" s="5">
        <v>-0.8911</v>
      </c>
      <c r="BO139" s="4"/>
      <c r="BP139" s="6"/>
      <c r="BQ139" s="4">
        <v>4</v>
      </c>
      <c r="BR139" s="6">
        <v>114.99</v>
      </c>
      <c r="BS139" s="5"/>
      <c r="BT139" s="5"/>
      <c r="BU139" s="4">
        <v>1</v>
      </c>
      <c r="BV139" s="6">
        <v>31.66</v>
      </c>
      <c r="BW139" s="4">
        <v>7</v>
      </c>
      <c r="BX139" s="6">
        <v>232.06</v>
      </c>
      <c r="BY139" s="5">
        <v>-0.8571</v>
      </c>
      <c r="BZ139" s="5">
        <v>-0.8636</v>
      </c>
      <c r="CA139" s="4"/>
      <c r="CB139" s="6"/>
      <c r="CC139" s="4">
        <v>4</v>
      </c>
      <c r="CD139" s="6">
        <v>116.14</v>
      </c>
      <c r="CE139" s="5"/>
      <c r="CF139" s="5"/>
      <c r="CG139" s="4"/>
      <c r="CH139" s="6"/>
      <c r="CI139" s="4">
        <v>8</v>
      </c>
      <c r="CJ139" s="6">
        <v>272.56</v>
      </c>
      <c r="CK139" s="5"/>
      <c r="CL139" s="5"/>
      <c r="CM139" s="4"/>
      <c r="CN139" s="6"/>
      <c r="CO139" s="4">
        <v>7</v>
      </c>
      <c r="CP139" s="6">
        <v>216.79</v>
      </c>
      <c r="CQ139" s="5"/>
      <c r="CR139" s="5"/>
      <c r="CS139" s="4">
        <v>1</v>
      </c>
      <c r="CT139" s="6">
        <v>30.16</v>
      </c>
      <c r="CU139" s="4">
        <v>20</v>
      </c>
      <c r="CV139" s="6">
        <v>615.23</v>
      </c>
      <c r="CW139" s="5">
        <v>-0.95</v>
      </c>
      <c r="CX139" s="5">
        <v>-0.951</v>
      </c>
      <c r="CY139" s="4"/>
      <c r="CZ139" s="6"/>
      <c r="DA139" s="4"/>
      <c r="DB139" s="6"/>
      <c r="DC139" s="5"/>
      <c r="DD139" s="5"/>
      <c r="DE139" s="4"/>
      <c r="DF139" s="6"/>
      <c r="DG139" s="4">
        <v>7</v>
      </c>
      <c r="DH139" s="6">
        <v>238.97</v>
      </c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>
        <v>11</v>
      </c>
      <c r="FV139" s="6">
        <v>353.24</v>
      </c>
      <c r="FW139" s="5"/>
      <c r="FX139" s="5"/>
      <c r="FY139" s="4"/>
      <c r="FZ139" s="6"/>
      <c r="GA139" s="4">
        <v>9</v>
      </c>
      <c r="GB139" s="6">
        <v>277.97</v>
      </c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  <c r="IA139" s="4"/>
      <c r="IB139" s="6"/>
      <c r="IC139" s="4"/>
      <c r="ID139" s="6"/>
      <c r="IE139" s="5"/>
      <c r="IF139" s="5"/>
      <c r="IG139" s="4"/>
      <c r="IH139" s="6"/>
      <c r="II139" s="4"/>
      <c r="IJ139" s="6"/>
      <c r="IK139" s="5"/>
      <c r="IL139" s="5"/>
      <c r="IM139" s="4"/>
      <c r="IN139" s="6"/>
      <c r="IO139" s="4"/>
      <c r="IP139" s="6"/>
      <c r="IQ139" s="5"/>
      <c r="IR139" s="5"/>
      <c r="IS139" s="4"/>
      <c r="IT139" s="6"/>
      <c r="IU139" s="4"/>
      <c r="IV139" s="6"/>
      <c r="IW139" s="5"/>
      <c r="IX139" s="5"/>
      <c r="IY139" s="4"/>
      <c r="IZ139" s="6"/>
      <c r="JA139" s="4"/>
      <c r="JB139" s="6"/>
      <c r="JC139" s="5"/>
      <c r="JD139" s="5"/>
      <c r="JE139" s="4"/>
      <c r="JF139" s="6"/>
      <c r="JG139" s="4"/>
      <c r="JH139" s="6"/>
      <c r="JI139" s="5"/>
      <c r="JJ139" s="5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</row>
    <row r="140">
      <c r="A140" s="3" t="s">
        <v>136</v>
      </c>
      <c r="B140" s="3" t="s">
        <v>164</v>
      </c>
      <c r="C140" s="3" t="s">
        <v>138</v>
      </c>
      <c r="D140" s="3" t="s">
        <v>139</v>
      </c>
      <c r="E140" s="3" t="s">
        <v>166</v>
      </c>
      <c r="F140" s="3" t="s">
        <v>166</v>
      </c>
      <c r="G140" s="3" t="s">
        <v>166</v>
      </c>
      <c r="H140" s="3" t="s">
        <v>167</v>
      </c>
      <c r="I140" s="3" t="s">
        <v>275</v>
      </c>
      <c r="J140" s="3" t="s">
        <v>228</v>
      </c>
      <c r="K140" s="4">
        <v>3</v>
      </c>
      <c r="L140" s="4">
        <f>=ROUNDDOWN(0.05,0)</f>
      </c>
      <c r="M140" s="4">
        <v>489</v>
      </c>
      <c r="N140" s="5">
        <v>0.0156</v>
      </c>
      <c r="O140" s="4"/>
      <c r="P140" s="4">
        <f>=ROUNDDOWN({0},0)</f>
      </c>
      <c r="Q140" s="4"/>
      <c r="R140" s="5"/>
      <c r="S140" s="4">
        <v>24</v>
      </c>
      <c r="T140" s="6">
        <v>795.05</v>
      </c>
      <c r="U140" s="4">
        <v>113</v>
      </c>
      <c r="V140" s="6">
        <v>3624.01</v>
      </c>
      <c r="W140" s="5">
        <v>-0.7876</v>
      </c>
      <c r="X140" s="5">
        <v>-0.7806</v>
      </c>
      <c r="Y140" s="4">
        <v>4</v>
      </c>
      <c r="Z140" s="6">
        <v>131.52</v>
      </c>
      <c r="AA140" s="4">
        <v>29</v>
      </c>
      <c r="AB140" s="6">
        <v>899.83</v>
      </c>
      <c r="AC140" s="5">
        <v>-0.8621</v>
      </c>
      <c r="AD140" s="5">
        <v>-0.8538</v>
      </c>
      <c r="AE140" s="4"/>
      <c r="AF140" s="6"/>
      <c r="AG140" s="4">
        <v>3</v>
      </c>
      <c r="AH140" s="6">
        <v>94.98</v>
      </c>
      <c r="AI140" s="5"/>
      <c r="AJ140" s="5"/>
      <c r="AK140" s="4"/>
      <c r="AL140" s="6"/>
      <c r="AM140" s="4"/>
      <c r="AN140" s="6"/>
      <c r="AO140" s="5"/>
      <c r="AP140" s="5"/>
      <c r="AQ140" s="4"/>
      <c r="AR140" s="6"/>
      <c r="AS140" s="4"/>
      <c r="AT140" s="6"/>
      <c r="AU140" s="5"/>
      <c r="AV140" s="5"/>
      <c r="AW140" s="4">
        <v>1</v>
      </c>
      <c r="AX140" s="6">
        <v>28.49</v>
      </c>
      <c r="AY140" s="4">
        <v>12</v>
      </c>
      <c r="AZ140" s="6">
        <v>379.92</v>
      </c>
      <c r="BA140" s="5">
        <v>-0.9167</v>
      </c>
      <c r="BB140" s="5">
        <v>-0.925</v>
      </c>
      <c r="BC140" s="4">
        <v>2</v>
      </c>
      <c r="BD140" s="6">
        <v>66.9</v>
      </c>
      <c r="BE140" s="4">
        <v>11</v>
      </c>
      <c r="BF140" s="6">
        <v>379.43</v>
      </c>
      <c r="BG140" s="5">
        <v>-0.8182</v>
      </c>
      <c r="BH140" s="5">
        <v>-0.8237</v>
      </c>
      <c r="BI140" s="4"/>
      <c r="BJ140" s="6"/>
      <c r="BK140" s="4">
        <v>7</v>
      </c>
      <c r="BL140" s="6">
        <v>213.93</v>
      </c>
      <c r="BM140" s="5"/>
      <c r="BN140" s="5"/>
      <c r="BO140" s="4">
        <v>1</v>
      </c>
      <c r="BP140" s="6">
        <v>30.11</v>
      </c>
      <c r="BQ140" s="4"/>
      <c r="BR140" s="6"/>
      <c r="BS140" s="5"/>
      <c r="BT140" s="5"/>
      <c r="BU140" s="4">
        <v>2</v>
      </c>
      <c r="BV140" s="6">
        <v>70.28</v>
      </c>
      <c r="BW140" s="4">
        <v>13</v>
      </c>
      <c r="BX140" s="6">
        <v>415.06</v>
      </c>
      <c r="BY140" s="5">
        <v>-0.8462</v>
      </c>
      <c r="BZ140" s="5">
        <v>-0.8307</v>
      </c>
      <c r="CA140" s="4">
        <v>12</v>
      </c>
      <c r="CB140" s="6">
        <v>348.77</v>
      </c>
      <c r="CC140" s="4">
        <v>6</v>
      </c>
      <c r="CD140" s="6">
        <v>190.83</v>
      </c>
      <c r="CE140" s="5">
        <v>1</v>
      </c>
      <c r="CF140" s="5">
        <v>0.8276</v>
      </c>
      <c r="CG140" s="4"/>
      <c r="CH140" s="6"/>
      <c r="CI140" s="4">
        <v>7</v>
      </c>
      <c r="CJ140" s="6">
        <v>249.31</v>
      </c>
      <c r="CK140" s="5"/>
      <c r="CL140" s="5"/>
      <c r="CM140" s="4"/>
      <c r="CN140" s="6"/>
      <c r="CO140" s="4">
        <v>3</v>
      </c>
      <c r="CP140" s="6">
        <v>89.31</v>
      </c>
      <c r="CQ140" s="5"/>
      <c r="CR140" s="5"/>
      <c r="CS140" s="4"/>
      <c r="CT140" s="6"/>
      <c r="CU140" s="4">
        <v>6</v>
      </c>
      <c r="CV140" s="6">
        <v>180.96</v>
      </c>
      <c r="CW140" s="5"/>
      <c r="CX140" s="5"/>
      <c r="CY140" s="4"/>
      <c r="CZ140" s="6"/>
      <c r="DA140" s="4"/>
      <c r="DB140" s="6"/>
      <c r="DC140" s="5"/>
      <c r="DD140" s="5"/>
      <c r="DE140" s="4"/>
      <c r="DF140" s="6"/>
      <c r="DG140" s="4">
        <v>5</v>
      </c>
      <c r="DH140" s="6">
        <v>168.71</v>
      </c>
      <c r="DI140" s="5"/>
      <c r="DJ140" s="5"/>
      <c r="DK140" s="4">
        <v>2</v>
      </c>
      <c r="DL140" s="6">
        <v>118.98</v>
      </c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/>
      <c r="DX140" s="6"/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>
        <v>11</v>
      </c>
      <c r="FV140" s="6">
        <v>361.74</v>
      </c>
      <c r="FW140" s="5"/>
      <c r="FX140" s="5"/>
      <c r="FY140" s="4"/>
      <c r="FZ140" s="6"/>
      <c r="GA140" s="4"/>
      <c r="GB140" s="6"/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  <c r="IA140" s="4"/>
      <c r="IB140" s="6"/>
      <c r="IC140" s="4"/>
      <c r="ID140" s="6"/>
      <c r="IE140" s="5"/>
      <c r="IF140" s="5"/>
      <c r="IG140" s="4"/>
      <c r="IH140" s="6"/>
      <c r="II140" s="4"/>
      <c r="IJ140" s="6"/>
      <c r="IK140" s="5"/>
      <c r="IL140" s="5"/>
      <c r="IM140" s="4"/>
      <c r="IN140" s="6"/>
      <c r="IO140" s="4"/>
      <c r="IP140" s="6"/>
      <c r="IQ140" s="5"/>
      <c r="IR140" s="5"/>
      <c r="IS140" s="4"/>
      <c r="IT140" s="6"/>
      <c r="IU140" s="4"/>
      <c r="IV140" s="6"/>
      <c r="IW140" s="5"/>
      <c r="IX140" s="5"/>
      <c r="IY140" s="4"/>
      <c r="IZ140" s="6"/>
      <c r="JA140" s="4"/>
      <c r="JB140" s="6"/>
      <c r="JC140" s="5"/>
      <c r="JD140" s="5"/>
      <c r="JE140" s="4"/>
      <c r="JF140" s="6"/>
      <c r="JG140" s="4"/>
      <c r="JH140" s="6"/>
      <c r="JI140" s="5"/>
      <c r="JJ140" s="5"/>
      <c r="JK140" s="4">
        <v>3</v>
      </c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>
        <v>489</v>
      </c>
      <c r="LF140" s="4"/>
      <c r="LG140" s="4"/>
      <c r="LH140" s="4"/>
      <c r="LI140" s="4"/>
      <c r="LJ140" s="4"/>
      <c r="LK140" s="4"/>
      <c r="LL140" s="4"/>
      <c r="LM140" s="4"/>
    </row>
    <row r="141">
      <c r="A141" s="3" t="s">
        <v>136</v>
      </c>
      <c r="B141" s="3" t="s">
        <v>164</v>
      </c>
      <c r="C141" s="3" t="s">
        <v>138</v>
      </c>
      <c r="D141" s="3" t="s">
        <v>139</v>
      </c>
      <c r="E141" s="3" t="s">
        <v>166</v>
      </c>
      <c r="F141" s="3" t="s">
        <v>166</v>
      </c>
      <c r="G141" s="3" t="s">
        <v>166</v>
      </c>
      <c r="H141" s="3" t="s">
        <v>167</v>
      </c>
      <c r="I141" s="3" t="s">
        <v>276</v>
      </c>
      <c r="J141" s="3" t="s">
        <v>228</v>
      </c>
      <c r="K141" s="4">
        <v>6</v>
      </c>
      <c r="L141" s="4">
        <f>=ROUNDDOWN(0.112570356472796,0)</f>
      </c>
      <c r="M141" s="4">
        <v>434</v>
      </c>
      <c r="N141" s="5">
        <v>0.0169</v>
      </c>
      <c r="O141" s="4"/>
      <c r="P141" s="4">
        <f>=ROUNDDOWN({0},0)</f>
      </c>
      <c r="Q141" s="4"/>
      <c r="R141" s="5"/>
      <c r="S141" s="4">
        <v>15</v>
      </c>
      <c r="T141" s="6">
        <v>468.83</v>
      </c>
      <c r="U141" s="4">
        <v>250</v>
      </c>
      <c r="V141" s="6">
        <v>8314.57</v>
      </c>
      <c r="W141" s="5">
        <v>-0.94</v>
      </c>
      <c r="X141" s="5">
        <v>-0.9436</v>
      </c>
      <c r="Y141" s="4">
        <v>4</v>
      </c>
      <c r="Z141" s="6">
        <v>135.16</v>
      </c>
      <c r="AA141" s="4">
        <v>98</v>
      </c>
      <c r="AB141" s="6">
        <v>3143.72</v>
      </c>
      <c r="AC141" s="5">
        <v>-0.9592</v>
      </c>
      <c r="AD141" s="5">
        <v>-0.957</v>
      </c>
      <c r="AE141" s="4"/>
      <c r="AF141" s="6"/>
      <c r="AG141" s="4">
        <v>2</v>
      </c>
      <c r="AH141" s="6">
        <v>58.63</v>
      </c>
      <c r="AI141" s="5"/>
      <c r="AJ141" s="5"/>
      <c r="AK141" s="4"/>
      <c r="AL141" s="6"/>
      <c r="AM141" s="4"/>
      <c r="AN141" s="6"/>
      <c r="AO141" s="5"/>
      <c r="AP141" s="5"/>
      <c r="AQ141" s="4"/>
      <c r="AR141" s="6"/>
      <c r="AS141" s="4"/>
      <c r="AT141" s="6"/>
      <c r="AU141" s="5"/>
      <c r="AV141" s="5"/>
      <c r="AW141" s="4"/>
      <c r="AX141" s="6"/>
      <c r="AY141" s="4">
        <v>41</v>
      </c>
      <c r="AZ141" s="6">
        <v>1390.7</v>
      </c>
      <c r="BA141" s="5"/>
      <c r="BB141" s="5"/>
      <c r="BC141" s="4">
        <v>2</v>
      </c>
      <c r="BD141" s="6">
        <v>66.9</v>
      </c>
      <c r="BE141" s="4">
        <v>25</v>
      </c>
      <c r="BF141" s="6">
        <v>903.33</v>
      </c>
      <c r="BG141" s="5">
        <v>-0.92</v>
      </c>
      <c r="BH141" s="5">
        <v>-0.9259</v>
      </c>
      <c r="BI141" s="4">
        <v>1</v>
      </c>
      <c r="BJ141" s="6">
        <v>30.05</v>
      </c>
      <c r="BK141" s="4">
        <v>21</v>
      </c>
      <c r="BL141" s="6">
        <v>675.77</v>
      </c>
      <c r="BM141" s="5">
        <v>-0.9524</v>
      </c>
      <c r="BN141" s="5">
        <v>-0.9555</v>
      </c>
      <c r="BO141" s="4"/>
      <c r="BP141" s="6"/>
      <c r="BQ141" s="4">
        <v>4</v>
      </c>
      <c r="BR141" s="6">
        <v>133.84</v>
      </c>
      <c r="BS141" s="5"/>
      <c r="BT141" s="5"/>
      <c r="BU141" s="4">
        <v>1</v>
      </c>
      <c r="BV141" s="6">
        <v>35.14</v>
      </c>
      <c r="BW141" s="4">
        <v>18</v>
      </c>
      <c r="BX141" s="6">
        <v>590.76</v>
      </c>
      <c r="BY141" s="5">
        <v>-0.9444</v>
      </c>
      <c r="BZ141" s="5">
        <v>-0.9405</v>
      </c>
      <c r="CA141" s="4">
        <v>7</v>
      </c>
      <c r="CB141" s="6">
        <v>201.58</v>
      </c>
      <c r="CC141" s="4">
        <v>1</v>
      </c>
      <c r="CD141" s="6">
        <v>25.69</v>
      </c>
      <c r="CE141" s="5">
        <v>6</v>
      </c>
      <c r="CF141" s="5">
        <v>6.8466</v>
      </c>
      <c r="CG141" s="4"/>
      <c r="CH141" s="6"/>
      <c r="CI141" s="4">
        <v>9</v>
      </c>
      <c r="CJ141" s="6">
        <v>329.85</v>
      </c>
      <c r="CK141" s="5"/>
      <c r="CL141" s="5"/>
      <c r="CM141" s="4"/>
      <c r="CN141" s="6"/>
      <c r="CO141" s="4">
        <v>3</v>
      </c>
      <c r="CP141" s="6">
        <v>92.46</v>
      </c>
      <c r="CQ141" s="5"/>
      <c r="CR141" s="5"/>
      <c r="CS141" s="4"/>
      <c r="CT141" s="6"/>
      <c r="CU141" s="4">
        <v>6</v>
      </c>
      <c r="CV141" s="6">
        <v>190.86</v>
      </c>
      <c r="CW141" s="5"/>
      <c r="CX141" s="5"/>
      <c r="CY141" s="4"/>
      <c r="CZ141" s="6"/>
      <c r="DA141" s="4"/>
      <c r="DB141" s="6"/>
      <c r="DC141" s="5"/>
      <c r="DD141" s="5"/>
      <c r="DE141" s="4"/>
      <c r="DF141" s="6"/>
      <c r="DG141" s="4">
        <v>3</v>
      </c>
      <c r="DH141" s="6">
        <v>101.92</v>
      </c>
      <c r="DI141" s="5"/>
      <c r="DJ141" s="5"/>
      <c r="DK141" s="4"/>
      <c r="DL141" s="6"/>
      <c r="DM141" s="4">
        <v>1</v>
      </c>
      <c r="DN141" s="6">
        <v>62.99</v>
      </c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/>
      <c r="ED141" s="6"/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>
        <v>14</v>
      </c>
      <c r="FV141" s="6">
        <v>486.83</v>
      </c>
      <c r="FW141" s="5"/>
      <c r="FX141" s="5"/>
      <c r="FY141" s="4"/>
      <c r="FZ141" s="6"/>
      <c r="GA141" s="4">
        <v>4</v>
      </c>
      <c r="GB141" s="6">
        <v>127.22</v>
      </c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  <c r="IA141" s="4"/>
      <c r="IB141" s="6"/>
      <c r="IC141" s="4"/>
      <c r="ID141" s="6"/>
      <c r="IE141" s="5"/>
      <c r="IF141" s="5"/>
      <c r="IG141" s="4"/>
      <c r="IH141" s="6"/>
      <c r="II141" s="4"/>
      <c r="IJ141" s="6"/>
      <c r="IK141" s="5"/>
      <c r="IL141" s="5"/>
      <c r="IM141" s="4"/>
      <c r="IN141" s="6"/>
      <c r="IO141" s="4"/>
      <c r="IP141" s="6"/>
      <c r="IQ141" s="5"/>
      <c r="IR141" s="5"/>
      <c r="IS141" s="4"/>
      <c r="IT141" s="6"/>
      <c r="IU141" s="4"/>
      <c r="IV141" s="6"/>
      <c r="IW141" s="5"/>
      <c r="IX141" s="5"/>
      <c r="IY141" s="4"/>
      <c r="IZ141" s="6"/>
      <c r="JA141" s="4"/>
      <c r="JB141" s="6"/>
      <c r="JC141" s="5"/>
      <c r="JD141" s="5"/>
      <c r="JE141" s="4"/>
      <c r="JF141" s="6"/>
      <c r="JG141" s="4"/>
      <c r="JH141" s="6"/>
      <c r="JI141" s="5"/>
      <c r="JJ141" s="5"/>
      <c r="JK141" s="4">
        <v>6</v>
      </c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>
        <v>434</v>
      </c>
      <c r="LF141" s="4"/>
      <c r="LG141" s="4"/>
      <c r="LH141" s="4"/>
      <c r="LI141" s="4"/>
      <c r="LJ141" s="4"/>
      <c r="LK141" s="4"/>
      <c r="LL141" s="4"/>
      <c r="LM141" s="4"/>
    </row>
    <row r="142">
      <c r="A142" s="3" t="s">
        <v>136</v>
      </c>
      <c r="B142" s="3" t="s">
        <v>164</v>
      </c>
      <c r="C142" s="3" t="s">
        <v>138</v>
      </c>
      <c r="D142" s="3" t="s">
        <v>139</v>
      </c>
      <c r="E142" s="3" t="s">
        <v>168</v>
      </c>
      <c r="F142" s="3" t="s">
        <v>168</v>
      </c>
      <c r="G142" s="3" t="s">
        <v>168</v>
      </c>
      <c r="H142" s="3" t="s">
        <v>141</v>
      </c>
      <c r="I142" s="3" t="s">
        <v>227</v>
      </c>
      <c r="J142" s="3" t="s">
        <v>241</v>
      </c>
      <c r="K142" s="4">
        <v>714</v>
      </c>
      <c r="L142" s="4">
        <f>=ROUNDDOWN(29.75,0)</f>
      </c>
      <c r="M142" s="4"/>
      <c r="N142" s="5"/>
      <c r="O142" s="4"/>
      <c r="P142" s="4">
        <f>=ROUNDDOWN({0},0)</f>
      </c>
      <c r="Q142" s="4"/>
      <c r="R142" s="5"/>
      <c r="S142" s="4">
        <v>238</v>
      </c>
      <c r="T142" s="6">
        <v>8463.17</v>
      </c>
      <c r="U142" s="4">
        <v>280</v>
      </c>
      <c r="V142" s="6">
        <v>9963.11</v>
      </c>
      <c r="W142" s="5">
        <v>-0.15</v>
      </c>
      <c r="X142" s="5">
        <v>-0.1505</v>
      </c>
      <c r="Y142" s="4">
        <v>58</v>
      </c>
      <c r="Z142" s="6">
        <v>2053.7</v>
      </c>
      <c r="AA142" s="4">
        <v>53</v>
      </c>
      <c r="AB142" s="6">
        <v>1946.69</v>
      </c>
      <c r="AC142" s="5">
        <v>0.0943</v>
      </c>
      <c r="AD142" s="5">
        <v>0.055</v>
      </c>
      <c r="AE142" s="4">
        <v>38</v>
      </c>
      <c r="AF142" s="6">
        <v>1453.83</v>
      </c>
      <c r="AG142" s="4">
        <v>2</v>
      </c>
      <c r="AH142" s="6">
        <v>85.2</v>
      </c>
      <c r="AI142" s="5">
        <v>18</v>
      </c>
      <c r="AJ142" s="5">
        <v>16.0637</v>
      </c>
      <c r="AK142" s="4"/>
      <c r="AL142" s="6"/>
      <c r="AM142" s="4"/>
      <c r="AN142" s="6"/>
      <c r="AO142" s="5"/>
      <c r="AP142" s="5"/>
      <c r="AQ142" s="4"/>
      <c r="AR142" s="6"/>
      <c r="AS142" s="4"/>
      <c r="AT142" s="6"/>
      <c r="AU142" s="5"/>
      <c r="AV142" s="5"/>
      <c r="AW142" s="4">
        <v>80</v>
      </c>
      <c r="AX142" s="6">
        <v>2831.76</v>
      </c>
      <c r="AY142" s="4">
        <v>93</v>
      </c>
      <c r="AZ142" s="6">
        <v>3312.74</v>
      </c>
      <c r="BA142" s="5">
        <v>-0.1398</v>
      </c>
      <c r="BB142" s="5">
        <v>-0.1452</v>
      </c>
      <c r="BC142" s="4"/>
      <c r="BD142" s="6"/>
      <c r="BE142" s="4"/>
      <c r="BF142" s="6"/>
      <c r="BG142" s="5"/>
      <c r="BH142" s="5"/>
      <c r="BI142" s="4">
        <v>10</v>
      </c>
      <c r="BJ142" s="6">
        <v>369.52</v>
      </c>
      <c r="BK142" s="4">
        <v>3</v>
      </c>
      <c r="BL142" s="6">
        <v>106.06</v>
      </c>
      <c r="BM142" s="5">
        <v>2.3333</v>
      </c>
      <c r="BN142" s="5">
        <v>2.4841</v>
      </c>
      <c r="BO142" s="4">
        <v>3</v>
      </c>
      <c r="BP142" s="6">
        <v>94.27</v>
      </c>
      <c r="BQ142" s="4">
        <v>1</v>
      </c>
      <c r="BR142" s="6">
        <v>33.98</v>
      </c>
      <c r="BS142" s="5">
        <v>2</v>
      </c>
      <c r="BT142" s="5">
        <v>1.7743</v>
      </c>
      <c r="BU142" s="4">
        <v>12</v>
      </c>
      <c r="BV142" s="6">
        <v>429.56</v>
      </c>
      <c r="BW142" s="4">
        <v>50</v>
      </c>
      <c r="BX142" s="6">
        <v>1755.68</v>
      </c>
      <c r="BY142" s="5">
        <v>-0.76</v>
      </c>
      <c r="BZ142" s="5">
        <v>-0.7553</v>
      </c>
      <c r="CA142" s="4">
        <v>5</v>
      </c>
      <c r="CB142" s="6">
        <v>170.12</v>
      </c>
      <c r="CC142" s="4">
        <v>51</v>
      </c>
      <c r="CD142" s="6">
        <v>1758.52</v>
      </c>
      <c r="CE142" s="5">
        <v>-0.902</v>
      </c>
      <c r="CF142" s="5">
        <v>-0.9033</v>
      </c>
      <c r="CG142" s="4"/>
      <c r="CH142" s="6"/>
      <c r="CI142" s="4"/>
      <c r="CJ142" s="6"/>
      <c r="CK142" s="5"/>
      <c r="CL142" s="5"/>
      <c r="CM142" s="4">
        <v>13</v>
      </c>
      <c r="CN142" s="6">
        <v>418.48</v>
      </c>
      <c r="CO142" s="4">
        <v>5</v>
      </c>
      <c r="CP142" s="6">
        <v>164</v>
      </c>
      <c r="CQ142" s="5">
        <v>1.6</v>
      </c>
      <c r="CR142" s="5">
        <v>1.5517</v>
      </c>
      <c r="CS142" s="4">
        <v>2</v>
      </c>
      <c r="CT142" s="6">
        <v>68.88</v>
      </c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>
        <v>15</v>
      </c>
      <c r="DF142" s="6">
        <v>463.57</v>
      </c>
      <c r="DG142" s="4">
        <v>6</v>
      </c>
      <c r="DH142" s="6">
        <v>212.6</v>
      </c>
      <c r="DI142" s="5">
        <v>1.5</v>
      </c>
      <c r="DJ142" s="5">
        <v>1.1805</v>
      </c>
      <c r="DK142" s="4">
        <v>2</v>
      </c>
      <c r="DL142" s="6">
        <v>109.48</v>
      </c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>
        <v>15</v>
      </c>
      <c r="FV142" s="6">
        <v>551.12</v>
      </c>
      <c r="FW142" s="5"/>
      <c r="FX142" s="5"/>
      <c r="FY142" s="4"/>
      <c r="FZ142" s="6"/>
      <c r="GA142" s="4">
        <v>1</v>
      </c>
      <c r="GB142" s="6">
        <v>36.52</v>
      </c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  <c r="IA142" s="4"/>
      <c r="IB142" s="6"/>
      <c r="IC142" s="4"/>
      <c r="ID142" s="6"/>
      <c r="IE142" s="5"/>
      <c r="IF142" s="5"/>
      <c r="IG142" s="4"/>
      <c r="IH142" s="6"/>
      <c r="II142" s="4"/>
      <c r="IJ142" s="6"/>
      <c r="IK142" s="5"/>
      <c r="IL142" s="5"/>
      <c r="IM142" s="4"/>
      <c r="IN142" s="6"/>
      <c r="IO142" s="4"/>
      <c r="IP142" s="6"/>
      <c r="IQ142" s="5"/>
      <c r="IR142" s="5"/>
      <c r="IS142" s="4"/>
      <c r="IT142" s="6"/>
      <c r="IU142" s="4"/>
      <c r="IV142" s="6"/>
      <c r="IW142" s="5"/>
      <c r="IX142" s="5"/>
      <c r="IY142" s="4"/>
      <c r="IZ142" s="6"/>
      <c r="JA142" s="4"/>
      <c r="JB142" s="6"/>
      <c r="JC142" s="5"/>
      <c r="JD142" s="5"/>
      <c r="JE142" s="4"/>
      <c r="JF142" s="6"/>
      <c r="JG142" s="4"/>
      <c r="JH142" s="6"/>
      <c r="JI142" s="5"/>
      <c r="JJ142" s="5"/>
      <c r="JK142" s="4">
        <v>713</v>
      </c>
      <c r="JL142" s="4">
        <v>1</v>
      </c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</row>
    <row r="143">
      <c r="A143" s="3" t="s">
        <v>136</v>
      </c>
      <c r="B143" s="3" t="s">
        <v>164</v>
      </c>
      <c r="C143" s="3" t="s">
        <v>138</v>
      </c>
      <c r="D143" s="3" t="s">
        <v>139</v>
      </c>
      <c r="E143" s="3" t="s">
        <v>168</v>
      </c>
      <c r="F143" s="3" t="s">
        <v>168</v>
      </c>
      <c r="G143" s="3" t="s">
        <v>168</v>
      </c>
      <c r="H143" s="3" t="s">
        <v>141</v>
      </c>
      <c r="I143" s="3" t="s">
        <v>235</v>
      </c>
      <c r="J143" s="3" t="s">
        <v>241</v>
      </c>
      <c r="K143" s="4">
        <v>565</v>
      </c>
      <c r="L143" s="4">
        <f>=ROUNDDOWN(25.6818181818182,0)</f>
      </c>
      <c r="M143" s="4"/>
      <c r="N143" s="5"/>
      <c r="O143" s="4"/>
      <c r="P143" s="4">
        <f>=ROUNDDOWN({0},0)</f>
      </c>
      <c r="Q143" s="4"/>
      <c r="R143" s="5"/>
      <c r="S143" s="4">
        <v>233</v>
      </c>
      <c r="T143" s="6">
        <v>8317.11</v>
      </c>
      <c r="U143" s="4">
        <v>265</v>
      </c>
      <c r="V143" s="6">
        <v>9573.6</v>
      </c>
      <c r="W143" s="5">
        <v>-0.1208</v>
      </c>
      <c r="X143" s="5">
        <v>-0.1312</v>
      </c>
      <c r="Y143" s="4">
        <v>32</v>
      </c>
      <c r="Z143" s="6">
        <v>1142.36</v>
      </c>
      <c r="AA143" s="4">
        <v>32</v>
      </c>
      <c r="AB143" s="6">
        <v>1196.95</v>
      </c>
      <c r="AC143" s="5"/>
      <c r="AD143" s="5">
        <v>-0.0456</v>
      </c>
      <c r="AE143" s="4">
        <v>38</v>
      </c>
      <c r="AF143" s="6">
        <v>1514.5</v>
      </c>
      <c r="AG143" s="4">
        <v>2</v>
      </c>
      <c r="AH143" s="6">
        <v>85.2</v>
      </c>
      <c r="AI143" s="5">
        <v>18</v>
      </c>
      <c r="AJ143" s="5">
        <v>16.7758</v>
      </c>
      <c r="AK143" s="4"/>
      <c r="AL143" s="6"/>
      <c r="AM143" s="4"/>
      <c r="AN143" s="6"/>
      <c r="AO143" s="5"/>
      <c r="AP143" s="5"/>
      <c r="AQ143" s="4"/>
      <c r="AR143" s="6"/>
      <c r="AS143" s="4"/>
      <c r="AT143" s="6"/>
      <c r="AU143" s="5"/>
      <c r="AV143" s="5"/>
      <c r="AW143" s="4">
        <v>108</v>
      </c>
      <c r="AX143" s="6">
        <v>3802.82</v>
      </c>
      <c r="AY143" s="4">
        <v>151</v>
      </c>
      <c r="AZ143" s="6">
        <v>5477.6</v>
      </c>
      <c r="BA143" s="5">
        <v>-0.2848</v>
      </c>
      <c r="BB143" s="5">
        <v>-0.3058</v>
      </c>
      <c r="BC143" s="4"/>
      <c r="BD143" s="6"/>
      <c r="BE143" s="4"/>
      <c r="BF143" s="6"/>
      <c r="BG143" s="5"/>
      <c r="BH143" s="5"/>
      <c r="BI143" s="4">
        <v>8</v>
      </c>
      <c r="BJ143" s="6">
        <v>290.82</v>
      </c>
      <c r="BK143" s="4">
        <v>5</v>
      </c>
      <c r="BL143" s="6">
        <v>173.86</v>
      </c>
      <c r="BM143" s="5">
        <v>0.6</v>
      </c>
      <c r="BN143" s="5">
        <v>0.6727</v>
      </c>
      <c r="BO143" s="4">
        <v>2</v>
      </c>
      <c r="BP143" s="6">
        <v>72.32</v>
      </c>
      <c r="BQ143" s="4"/>
      <c r="BR143" s="6"/>
      <c r="BS143" s="5"/>
      <c r="BT143" s="5"/>
      <c r="BU143" s="4">
        <v>13</v>
      </c>
      <c r="BV143" s="6">
        <v>435.2</v>
      </c>
      <c r="BW143" s="4">
        <v>34</v>
      </c>
      <c r="BX143" s="6">
        <v>1238.16</v>
      </c>
      <c r="BY143" s="5">
        <v>-0.6176</v>
      </c>
      <c r="BZ143" s="5">
        <v>-0.6485</v>
      </c>
      <c r="CA143" s="4">
        <v>2</v>
      </c>
      <c r="CB143" s="6">
        <v>62.64</v>
      </c>
      <c r="CC143" s="4">
        <v>2</v>
      </c>
      <c r="CD143" s="6">
        <v>64.72</v>
      </c>
      <c r="CE143" s="5"/>
      <c r="CF143" s="5">
        <v>-0.0321</v>
      </c>
      <c r="CG143" s="4"/>
      <c r="CH143" s="6"/>
      <c r="CI143" s="4"/>
      <c r="CJ143" s="6"/>
      <c r="CK143" s="5"/>
      <c r="CL143" s="5"/>
      <c r="CM143" s="4">
        <v>18</v>
      </c>
      <c r="CN143" s="6">
        <v>611.6</v>
      </c>
      <c r="CO143" s="4">
        <v>14</v>
      </c>
      <c r="CP143" s="6">
        <v>465.52</v>
      </c>
      <c r="CQ143" s="5">
        <v>0.2857</v>
      </c>
      <c r="CR143" s="5">
        <v>0.3138</v>
      </c>
      <c r="CS143" s="4">
        <v>7</v>
      </c>
      <c r="CT143" s="6">
        <v>243.16</v>
      </c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>
        <v>5</v>
      </c>
      <c r="DF143" s="6">
        <v>141.69</v>
      </c>
      <c r="DG143" s="4">
        <v>5</v>
      </c>
      <c r="DH143" s="6">
        <v>176.44</v>
      </c>
      <c r="DI143" s="5"/>
      <c r="DJ143" s="5">
        <v>-0.197</v>
      </c>
      <c r="DK143" s="4"/>
      <c r="DL143" s="6"/>
      <c r="DM143" s="4">
        <v>1</v>
      </c>
      <c r="DN143" s="6">
        <v>36.49</v>
      </c>
      <c r="DO143" s="5"/>
      <c r="DP143" s="5"/>
      <c r="DQ143" s="4"/>
      <c r="DR143" s="6"/>
      <c r="DS143" s="4"/>
      <c r="DT143" s="6"/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/>
      <c r="EJ143" s="6"/>
      <c r="EK143" s="4"/>
      <c r="EL143" s="6"/>
      <c r="EM143" s="5"/>
      <c r="EN143" s="5"/>
      <c r="EO143" s="4"/>
      <c r="EP143" s="6"/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>
        <v>15</v>
      </c>
      <c r="FV143" s="6">
        <v>527.14</v>
      </c>
      <c r="FW143" s="5"/>
      <c r="FX143" s="5"/>
      <c r="FY143" s="4"/>
      <c r="FZ143" s="6"/>
      <c r="GA143" s="4">
        <v>4</v>
      </c>
      <c r="GB143" s="6">
        <v>131.52</v>
      </c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  <c r="IA143" s="4"/>
      <c r="IB143" s="6"/>
      <c r="IC143" s="4"/>
      <c r="ID143" s="6"/>
      <c r="IE143" s="5"/>
      <c r="IF143" s="5"/>
      <c r="IG143" s="4"/>
      <c r="IH143" s="6"/>
      <c r="II143" s="4"/>
      <c r="IJ143" s="6"/>
      <c r="IK143" s="5"/>
      <c r="IL143" s="5"/>
      <c r="IM143" s="4"/>
      <c r="IN143" s="6"/>
      <c r="IO143" s="4"/>
      <c r="IP143" s="6"/>
      <c r="IQ143" s="5"/>
      <c r="IR143" s="5"/>
      <c r="IS143" s="4"/>
      <c r="IT143" s="6"/>
      <c r="IU143" s="4"/>
      <c r="IV143" s="6"/>
      <c r="IW143" s="5"/>
      <c r="IX143" s="5"/>
      <c r="IY143" s="4"/>
      <c r="IZ143" s="6"/>
      <c r="JA143" s="4"/>
      <c r="JB143" s="6"/>
      <c r="JC143" s="5"/>
      <c r="JD143" s="5"/>
      <c r="JE143" s="4"/>
      <c r="JF143" s="6"/>
      <c r="JG143" s="4"/>
      <c r="JH143" s="6"/>
      <c r="JI143" s="5"/>
      <c r="JJ143" s="5"/>
      <c r="JK143" s="4">
        <v>565</v>
      </c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</row>
    <row r="144">
      <c r="A144" s="3" t="s">
        <v>136</v>
      </c>
      <c r="B144" s="3" t="s">
        <v>164</v>
      </c>
      <c r="C144" s="3" t="s">
        <v>138</v>
      </c>
      <c r="D144" s="3" t="s">
        <v>139</v>
      </c>
      <c r="E144" s="3" t="s">
        <v>168</v>
      </c>
      <c r="F144" s="3" t="s">
        <v>168</v>
      </c>
      <c r="G144" s="3" t="s">
        <v>168</v>
      </c>
      <c r="H144" s="3" t="s">
        <v>141</v>
      </c>
      <c r="I144" s="3" t="s">
        <v>240</v>
      </c>
      <c r="J144" s="3" t="s">
        <v>241</v>
      </c>
      <c r="K144" s="4">
        <v>425</v>
      </c>
      <c r="L144" s="4">
        <f>=ROUNDDOWN(26.2345679012346,0)</f>
      </c>
      <c r="M144" s="4"/>
      <c r="N144" s="5"/>
      <c r="O144" s="4"/>
      <c r="P144" s="4">
        <f>=ROUNDDOWN({0},0)</f>
      </c>
      <c r="Q144" s="4"/>
      <c r="R144" s="5"/>
      <c r="S144" s="4">
        <v>215</v>
      </c>
      <c r="T144" s="6">
        <v>7650.82</v>
      </c>
      <c r="U144" s="4">
        <v>230</v>
      </c>
      <c r="V144" s="6">
        <v>8183.77</v>
      </c>
      <c r="W144" s="5">
        <v>-0.0652</v>
      </c>
      <c r="X144" s="5">
        <v>-0.0651</v>
      </c>
      <c r="Y144" s="4">
        <v>25</v>
      </c>
      <c r="Z144" s="6">
        <v>900.75</v>
      </c>
      <c r="AA144" s="4">
        <v>17</v>
      </c>
      <c r="AB144" s="6">
        <v>590.78</v>
      </c>
      <c r="AC144" s="5">
        <v>0.4706</v>
      </c>
      <c r="AD144" s="5">
        <v>0.5247</v>
      </c>
      <c r="AE144" s="4">
        <v>7</v>
      </c>
      <c r="AF144" s="6">
        <v>271.52</v>
      </c>
      <c r="AG144" s="4"/>
      <c r="AH144" s="6"/>
      <c r="AI144" s="5"/>
      <c r="AJ144" s="5"/>
      <c r="AK144" s="4"/>
      <c r="AL144" s="6"/>
      <c r="AM144" s="4"/>
      <c r="AN144" s="6"/>
      <c r="AO144" s="5"/>
      <c r="AP144" s="5"/>
      <c r="AQ144" s="4"/>
      <c r="AR144" s="6"/>
      <c r="AS144" s="4"/>
      <c r="AT144" s="6"/>
      <c r="AU144" s="5"/>
      <c r="AV144" s="5"/>
      <c r="AW144" s="4">
        <v>133</v>
      </c>
      <c r="AX144" s="6">
        <v>4759.14</v>
      </c>
      <c r="AY144" s="4">
        <v>170</v>
      </c>
      <c r="AZ144" s="6">
        <v>6073.08</v>
      </c>
      <c r="BA144" s="5">
        <v>-0.2176</v>
      </c>
      <c r="BB144" s="5">
        <v>-0.2164</v>
      </c>
      <c r="BC144" s="4"/>
      <c r="BD144" s="6"/>
      <c r="BE144" s="4"/>
      <c r="BF144" s="6"/>
      <c r="BG144" s="5"/>
      <c r="BH144" s="5"/>
      <c r="BI144" s="4">
        <v>17</v>
      </c>
      <c r="BJ144" s="6">
        <v>598.1</v>
      </c>
      <c r="BK144" s="4">
        <v>7</v>
      </c>
      <c r="BL144" s="6">
        <v>248.2</v>
      </c>
      <c r="BM144" s="5">
        <v>1.4286</v>
      </c>
      <c r="BN144" s="5">
        <v>1.4098</v>
      </c>
      <c r="BO144" s="4">
        <v>3</v>
      </c>
      <c r="BP144" s="6">
        <v>84.68</v>
      </c>
      <c r="BQ144" s="4">
        <v>2</v>
      </c>
      <c r="BR144" s="6">
        <v>61.01</v>
      </c>
      <c r="BS144" s="5">
        <v>0.5</v>
      </c>
      <c r="BT144" s="5">
        <v>0.388</v>
      </c>
      <c r="BU144" s="4">
        <v>13</v>
      </c>
      <c r="BV144" s="6">
        <v>463.54</v>
      </c>
      <c r="BW144" s="4">
        <v>17</v>
      </c>
      <c r="BX144" s="6">
        <v>606</v>
      </c>
      <c r="BY144" s="5">
        <v>-0.2353</v>
      </c>
      <c r="BZ144" s="5">
        <v>-0.2351</v>
      </c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>
        <v>1</v>
      </c>
      <c r="CN144" s="6">
        <v>32.36</v>
      </c>
      <c r="CO144" s="4">
        <v>1</v>
      </c>
      <c r="CP144" s="6">
        <v>32.36</v>
      </c>
      <c r="CQ144" s="5"/>
      <c r="CR144" s="5"/>
      <c r="CS144" s="4">
        <v>10</v>
      </c>
      <c r="CT144" s="6">
        <v>336.08</v>
      </c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>
        <v>6</v>
      </c>
      <c r="DF144" s="6">
        <v>204.65</v>
      </c>
      <c r="DG144" s="4">
        <v>4</v>
      </c>
      <c r="DH144" s="6">
        <v>153.36</v>
      </c>
      <c r="DI144" s="5">
        <v>0.5</v>
      </c>
      <c r="DJ144" s="5">
        <v>0.3344</v>
      </c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>
        <v>7</v>
      </c>
      <c r="FV144" s="6">
        <v>250.94</v>
      </c>
      <c r="FW144" s="5"/>
      <c r="FX144" s="5"/>
      <c r="FY144" s="4"/>
      <c r="FZ144" s="6"/>
      <c r="GA144" s="4">
        <v>5</v>
      </c>
      <c r="GB144" s="6">
        <v>168.04</v>
      </c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  <c r="IA144" s="4"/>
      <c r="IB144" s="6"/>
      <c r="IC144" s="4"/>
      <c r="ID144" s="6"/>
      <c r="IE144" s="5"/>
      <c r="IF144" s="5"/>
      <c r="IG144" s="4"/>
      <c r="IH144" s="6"/>
      <c r="II144" s="4"/>
      <c r="IJ144" s="6"/>
      <c r="IK144" s="5"/>
      <c r="IL144" s="5"/>
      <c r="IM144" s="4"/>
      <c r="IN144" s="6"/>
      <c r="IO144" s="4"/>
      <c r="IP144" s="6"/>
      <c r="IQ144" s="5"/>
      <c r="IR144" s="5"/>
      <c r="IS144" s="4"/>
      <c r="IT144" s="6"/>
      <c r="IU144" s="4"/>
      <c r="IV144" s="6"/>
      <c r="IW144" s="5"/>
      <c r="IX144" s="5"/>
      <c r="IY144" s="4"/>
      <c r="IZ144" s="6"/>
      <c r="JA144" s="4"/>
      <c r="JB144" s="6"/>
      <c r="JC144" s="5"/>
      <c r="JD144" s="5"/>
      <c r="JE144" s="4"/>
      <c r="JF144" s="6"/>
      <c r="JG144" s="4"/>
      <c r="JH144" s="6"/>
      <c r="JI144" s="5"/>
      <c r="JJ144" s="5"/>
      <c r="JK144" s="4">
        <v>425</v>
      </c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</row>
    <row r="145">
      <c r="A145" s="3" t="s">
        <v>136</v>
      </c>
      <c r="B145" s="3" t="s">
        <v>164</v>
      </c>
      <c r="C145" s="3" t="s">
        <v>138</v>
      </c>
      <c r="D145" s="3" t="s">
        <v>139</v>
      </c>
      <c r="E145" s="3" t="s">
        <v>168</v>
      </c>
      <c r="F145" s="3" t="s">
        <v>168</v>
      </c>
      <c r="G145" s="3" t="s">
        <v>168</v>
      </c>
      <c r="H145" s="3" t="s">
        <v>141</v>
      </c>
      <c r="I145" s="3" t="s">
        <v>229</v>
      </c>
      <c r="J145" s="3" t="s">
        <v>241</v>
      </c>
      <c r="K145" s="4">
        <v>380</v>
      </c>
      <c r="L145" s="4">
        <f>=ROUNDDOWN(19,0)</f>
      </c>
      <c r="M145" s="4"/>
      <c r="N145" s="5"/>
      <c r="O145" s="4"/>
      <c r="P145" s="4">
        <f>=ROUNDDOWN({0},0)</f>
      </c>
      <c r="Q145" s="4"/>
      <c r="R145" s="5"/>
      <c r="S145" s="4">
        <v>190</v>
      </c>
      <c r="T145" s="6">
        <v>6760.44</v>
      </c>
      <c r="U145" s="4">
        <v>218</v>
      </c>
      <c r="V145" s="6">
        <v>7775.77</v>
      </c>
      <c r="W145" s="5">
        <v>-0.1284</v>
      </c>
      <c r="X145" s="5">
        <v>-0.1306</v>
      </c>
      <c r="Y145" s="4">
        <v>36</v>
      </c>
      <c r="Z145" s="6">
        <v>1300.26</v>
      </c>
      <c r="AA145" s="4">
        <v>33</v>
      </c>
      <c r="AB145" s="6">
        <v>1219.2</v>
      </c>
      <c r="AC145" s="5">
        <v>0.0909</v>
      </c>
      <c r="AD145" s="5">
        <v>0.0665</v>
      </c>
      <c r="AE145" s="4">
        <v>14</v>
      </c>
      <c r="AF145" s="6">
        <v>543.04</v>
      </c>
      <c r="AG145" s="4">
        <v>3</v>
      </c>
      <c r="AH145" s="6">
        <v>118.1</v>
      </c>
      <c r="AI145" s="5">
        <v>3.6667</v>
      </c>
      <c r="AJ145" s="5">
        <v>3.5981</v>
      </c>
      <c r="AK145" s="4"/>
      <c r="AL145" s="6"/>
      <c r="AM145" s="4"/>
      <c r="AN145" s="6"/>
      <c r="AO145" s="5"/>
      <c r="AP145" s="5"/>
      <c r="AQ145" s="4"/>
      <c r="AR145" s="6"/>
      <c r="AS145" s="4"/>
      <c r="AT145" s="6"/>
      <c r="AU145" s="5"/>
      <c r="AV145" s="5"/>
      <c r="AW145" s="4">
        <v>90</v>
      </c>
      <c r="AX145" s="6">
        <v>3175.92</v>
      </c>
      <c r="AY145" s="4">
        <v>124</v>
      </c>
      <c r="AZ145" s="6">
        <v>4409.72</v>
      </c>
      <c r="BA145" s="5">
        <v>-0.2742</v>
      </c>
      <c r="BB145" s="5">
        <v>-0.2798</v>
      </c>
      <c r="BC145" s="4"/>
      <c r="BD145" s="6"/>
      <c r="BE145" s="4"/>
      <c r="BF145" s="6"/>
      <c r="BG145" s="5"/>
      <c r="BH145" s="5"/>
      <c r="BI145" s="4">
        <v>15</v>
      </c>
      <c r="BJ145" s="6">
        <v>530.3</v>
      </c>
      <c r="BK145" s="4">
        <v>5</v>
      </c>
      <c r="BL145" s="6">
        <v>171.68</v>
      </c>
      <c r="BM145" s="5">
        <v>2</v>
      </c>
      <c r="BN145" s="5">
        <v>2.0889</v>
      </c>
      <c r="BO145" s="4">
        <v>4</v>
      </c>
      <c r="BP145" s="6">
        <v>125.24</v>
      </c>
      <c r="BQ145" s="4">
        <v>1</v>
      </c>
      <c r="BR145" s="6">
        <v>31.8</v>
      </c>
      <c r="BS145" s="5">
        <v>3</v>
      </c>
      <c r="BT145" s="5">
        <v>2.9384</v>
      </c>
      <c r="BU145" s="4">
        <v>16</v>
      </c>
      <c r="BV145" s="6">
        <v>567.66</v>
      </c>
      <c r="BW145" s="4">
        <v>28</v>
      </c>
      <c r="BX145" s="6">
        <v>995.04</v>
      </c>
      <c r="BY145" s="5">
        <v>-0.4286</v>
      </c>
      <c r="BZ145" s="5">
        <v>-0.4295</v>
      </c>
      <c r="CA145" s="4">
        <v>2</v>
      </c>
      <c r="CB145" s="6">
        <v>79.67</v>
      </c>
      <c r="CC145" s="4">
        <v>2</v>
      </c>
      <c r="CD145" s="6">
        <v>62.64</v>
      </c>
      <c r="CE145" s="5"/>
      <c r="CF145" s="5">
        <v>0.2719</v>
      </c>
      <c r="CG145" s="4"/>
      <c r="CH145" s="6"/>
      <c r="CI145" s="4"/>
      <c r="CJ145" s="6"/>
      <c r="CK145" s="5"/>
      <c r="CL145" s="5"/>
      <c r="CM145" s="4">
        <v>5</v>
      </c>
      <c r="CN145" s="6">
        <v>182.6</v>
      </c>
      <c r="CO145" s="4">
        <v>2</v>
      </c>
      <c r="CP145" s="6">
        <v>68.88</v>
      </c>
      <c r="CQ145" s="5">
        <v>1.5</v>
      </c>
      <c r="CR145" s="5">
        <v>1.651</v>
      </c>
      <c r="CS145" s="4">
        <v>3</v>
      </c>
      <c r="CT145" s="6">
        <v>90.84</v>
      </c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>
        <v>5</v>
      </c>
      <c r="DF145" s="6">
        <v>164.91</v>
      </c>
      <c r="DG145" s="4">
        <v>3</v>
      </c>
      <c r="DH145" s="6">
        <v>115.02</v>
      </c>
      <c r="DI145" s="5">
        <v>0.6667</v>
      </c>
      <c r="DJ145" s="5">
        <v>0.4338</v>
      </c>
      <c r="DK145" s="4"/>
      <c r="DL145" s="6"/>
      <c r="DM145" s="4">
        <v>5</v>
      </c>
      <c r="DN145" s="6">
        <v>170.45</v>
      </c>
      <c r="DO145" s="5"/>
      <c r="DP145" s="5"/>
      <c r="DQ145" s="4"/>
      <c r="DR145" s="6"/>
      <c r="DS145" s="4"/>
      <c r="DT145" s="6"/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>
        <v>10</v>
      </c>
      <c r="FV145" s="6">
        <v>348.52</v>
      </c>
      <c r="FW145" s="5"/>
      <c r="FX145" s="5"/>
      <c r="FY145" s="4"/>
      <c r="FZ145" s="6"/>
      <c r="GA145" s="4">
        <v>2</v>
      </c>
      <c r="GB145" s="6">
        <v>64.72</v>
      </c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  <c r="IA145" s="4"/>
      <c r="IB145" s="6"/>
      <c r="IC145" s="4"/>
      <c r="ID145" s="6"/>
      <c r="IE145" s="5"/>
      <c r="IF145" s="5"/>
      <c r="IG145" s="4"/>
      <c r="IH145" s="6"/>
      <c r="II145" s="4"/>
      <c r="IJ145" s="6"/>
      <c r="IK145" s="5"/>
      <c r="IL145" s="5"/>
      <c r="IM145" s="4"/>
      <c r="IN145" s="6"/>
      <c r="IO145" s="4"/>
      <c r="IP145" s="6"/>
      <c r="IQ145" s="5"/>
      <c r="IR145" s="5"/>
      <c r="IS145" s="4"/>
      <c r="IT145" s="6"/>
      <c r="IU145" s="4"/>
      <c r="IV145" s="6"/>
      <c r="IW145" s="5"/>
      <c r="IX145" s="5"/>
      <c r="IY145" s="4"/>
      <c r="IZ145" s="6"/>
      <c r="JA145" s="4"/>
      <c r="JB145" s="6"/>
      <c r="JC145" s="5"/>
      <c r="JD145" s="5"/>
      <c r="JE145" s="4"/>
      <c r="JF145" s="6"/>
      <c r="JG145" s="4"/>
      <c r="JH145" s="6"/>
      <c r="JI145" s="5"/>
      <c r="JJ145" s="5"/>
      <c r="JK145" s="4">
        <v>380</v>
      </c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</row>
    <row r="146">
      <c r="A146" s="3" t="s">
        <v>136</v>
      </c>
      <c r="B146" s="3" t="s">
        <v>164</v>
      </c>
      <c r="C146" s="3" t="s">
        <v>138</v>
      </c>
      <c r="D146" s="3" t="s">
        <v>139</v>
      </c>
      <c r="E146" s="3" t="s">
        <v>169</v>
      </c>
      <c r="F146" s="3" t="s">
        <v>169</v>
      </c>
      <c r="G146" s="3" t="s">
        <v>169</v>
      </c>
      <c r="H146" s="3" t="s">
        <v>143</v>
      </c>
      <c r="I146" s="3" t="s">
        <v>227</v>
      </c>
      <c r="J146" s="3" t="s">
        <v>241</v>
      </c>
      <c r="K146" s="4">
        <v>75</v>
      </c>
      <c r="L146" s="4">
        <f>=ROUNDDOWN(2.4671052631579,0)</f>
      </c>
      <c r="M146" s="4">
        <v>1118</v>
      </c>
      <c r="N146" s="5"/>
      <c r="O146" s="4"/>
      <c r="P146" s="4">
        <f>=ROUNDDOWN({0},0)</f>
      </c>
      <c r="Q146" s="4"/>
      <c r="R146" s="5"/>
      <c r="S146" s="4">
        <v>199</v>
      </c>
      <c r="T146" s="6">
        <v>8372.92</v>
      </c>
      <c r="U146" s="4">
        <v>316</v>
      </c>
      <c r="V146" s="6">
        <v>12499.02</v>
      </c>
      <c r="W146" s="5">
        <v>-0.3703</v>
      </c>
      <c r="X146" s="5">
        <v>-0.3301</v>
      </c>
      <c r="Y146" s="4">
        <v>38</v>
      </c>
      <c r="Z146" s="6">
        <v>1601.17</v>
      </c>
      <c r="AA146" s="4">
        <v>61</v>
      </c>
      <c r="AB146" s="6">
        <v>2457.64</v>
      </c>
      <c r="AC146" s="5">
        <v>-0.377</v>
      </c>
      <c r="AD146" s="5">
        <v>-0.3485</v>
      </c>
      <c r="AE146" s="4">
        <v>62</v>
      </c>
      <c r="AF146" s="6">
        <v>2805.54</v>
      </c>
      <c r="AG146" s="4">
        <v>16</v>
      </c>
      <c r="AH146" s="6">
        <v>720.38</v>
      </c>
      <c r="AI146" s="5">
        <v>2.875</v>
      </c>
      <c r="AJ146" s="5">
        <v>2.8945</v>
      </c>
      <c r="AK146" s="4"/>
      <c r="AL146" s="6"/>
      <c r="AM146" s="4"/>
      <c r="AN146" s="6"/>
      <c r="AO146" s="5"/>
      <c r="AP146" s="5"/>
      <c r="AQ146" s="4"/>
      <c r="AR146" s="6"/>
      <c r="AS146" s="4"/>
      <c r="AT146" s="6"/>
      <c r="AU146" s="5"/>
      <c r="AV146" s="5"/>
      <c r="AW146" s="4">
        <v>18</v>
      </c>
      <c r="AX146" s="6">
        <v>729.89</v>
      </c>
      <c r="AY146" s="4">
        <v>45</v>
      </c>
      <c r="AZ146" s="6">
        <v>1814.78</v>
      </c>
      <c r="BA146" s="5">
        <v>-0.6</v>
      </c>
      <c r="BB146" s="5">
        <v>-0.5978</v>
      </c>
      <c r="BC146" s="4"/>
      <c r="BD146" s="6"/>
      <c r="BE146" s="4"/>
      <c r="BF146" s="6"/>
      <c r="BG146" s="5"/>
      <c r="BH146" s="5"/>
      <c r="BI146" s="4"/>
      <c r="BJ146" s="6"/>
      <c r="BK146" s="4">
        <v>9</v>
      </c>
      <c r="BL146" s="6">
        <v>335.47</v>
      </c>
      <c r="BM146" s="5"/>
      <c r="BN146" s="5"/>
      <c r="BO146" s="4">
        <v>18</v>
      </c>
      <c r="BP146" s="6">
        <v>691.22</v>
      </c>
      <c r="BQ146" s="4">
        <v>52</v>
      </c>
      <c r="BR146" s="6">
        <v>1792.99</v>
      </c>
      <c r="BS146" s="5">
        <v>-0.6538</v>
      </c>
      <c r="BT146" s="5">
        <v>-0.6145</v>
      </c>
      <c r="BU146" s="4">
        <v>3</v>
      </c>
      <c r="BV146" s="6">
        <v>124.44</v>
      </c>
      <c r="BW146" s="4">
        <v>20</v>
      </c>
      <c r="BX146" s="6">
        <v>788.07</v>
      </c>
      <c r="BY146" s="5">
        <v>-0.85</v>
      </c>
      <c r="BZ146" s="5">
        <v>-0.8421</v>
      </c>
      <c r="CA146" s="4">
        <v>17</v>
      </c>
      <c r="CB146" s="6">
        <v>727.9</v>
      </c>
      <c r="CC146" s="4">
        <v>47</v>
      </c>
      <c r="CD146" s="6">
        <v>1901.87</v>
      </c>
      <c r="CE146" s="5">
        <v>-0.6383</v>
      </c>
      <c r="CF146" s="5">
        <v>-0.6173</v>
      </c>
      <c r="CG146" s="4"/>
      <c r="CH146" s="6"/>
      <c r="CI146" s="4"/>
      <c r="CJ146" s="6"/>
      <c r="CK146" s="5"/>
      <c r="CL146" s="5"/>
      <c r="CM146" s="4">
        <v>36</v>
      </c>
      <c r="CN146" s="6">
        <v>1412.37</v>
      </c>
      <c r="CO146" s="4">
        <v>39</v>
      </c>
      <c r="CP146" s="6">
        <v>1523</v>
      </c>
      <c r="CQ146" s="5">
        <v>-0.0769</v>
      </c>
      <c r="CR146" s="5">
        <v>-0.0726</v>
      </c>
      <c r="CS146" s="4"/>
      <c r="CT146" s="6"/>
      <c r="CU146" s="4"/>
      <c r="CV146" s="6"/>
      <c r="CW146" s="5"/>
      <c r="CX146" s="5"/>
      <c r="CY146" s="4">
        <v>5</v>
      </c>
      <c r="CZ146" s="6">
        <v>198.66</v>
      </c>
      <c r="DA146" s="4">
        <v>9</v>
      </c>
      <c r="DB146" s="6">
        <v>351.06</v>
      </c>
      <c r="DC146" s="5">
        <v>-0.4444</v>
      </c>
      <c r="DD146" s="5">
        <v>-0.4341</v>
      </c>
      <c r="DE146" s="4"/>
      <c r="DF146" s="6"/>
      <c r="DG146" s="4"/>
      <c r="DH146" s="6"/>
      <c r="DI146" s="5"/>
      <c r="DJ146" s="5"/>
      <c r="DK146" s="4">
        <v>1</v>
      </c>
      <c r="DL146" s="6">
        <v>37.49</v>
      </c>
      <c r="DM146" s="4">
        <v>2</v>
      </c>
      <c r="DN146" s="6">
        <v>107.48</v>
      </c>
      <c r="DO146" s="5">
        <v>-0.5</v>
      </c>
      <c r="DP146" s="5">
        <v>-0.6512</v>
      </c>
      <c r="DQ146" s="4"/>
      <c r="DR146" s="6"/>
      <c r="DS146" s="4"/>
      <c r="DT146" s="6"/>
      <c r="DU146" s="5"/>
      <c r="DV146" s="5"/>
      <c r="DW146" s="4"/>
      <c r="DX146" s="6"/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>
        <v>1</v>
      </c>
      <c r="EV146" s="6">
        <v>44.24</v>
      </c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>
        <v>14</v>
      </c>
      <c r="FV146" s="6">
        <v>626.53</v>
      </c>
      <c r="FW146" s="5"/>
      <c r="FX146" s="5"/>
      <c r="FY146" s="4"/>
      <c r="FZ146" s="6"/>
      <c r="GA146" s="4">
        <v>2</v>
      </c>
      <c r="GB146" s="6">
        <v>79.75</v>
      </c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  <c r="IA146" s="4"/>
      <c r="IB146" s="6"/>
      <c r="IC146" s="4"/>
      <c r="ID146" s="6"/>
      <c r="IE146" s="5"/>
      <c r="IF146" s="5"/>
      <c r="IG146" s="4"/>
      <c r="IH146" s="6"/>
      <c r="II146" s="4"/>
      <c r="IJ146" s="6"/>
      <c r="IK146" s="5"/>
      <c r="IL146" s="5"/>
      <c r="IM146" s="4"/>
      <c r="IN146" s="6"/>
      <c r="IO146" s="4"/>
      <c r="IP146" s="6"/>
      <c r="IQ146" s="5"/>
      <c r="IR146" s="5"/>
      <c r="IS146" s="4"/>
      <c r="IT146" s="6"/>
      <c r="IU146" s="4"/>
      <c r="IV146" s="6"/>
      <c r="IW146" s="5"/>
      <c r="IX146" s="5"/>
      <c r="IY146" s="4"/>
      <c r="IZ146" s="6"/>
      <c r="JA146" s="4"/>
      <c r="JB146" s="6"/>
      <c r="JC146" s="5"/>
      <c r="JD146" s="5"/>
      <c r="JE146" s="4"/>
      <c r="JF146" s="6"/>
      <c r="JG146" s="4"/>
      <c r="JH146" s="6"/>
      <c r="JI146" s="5"/>
      <c r="JJ146" s="5"/>
      <c r="JK146" s="4">
        <v>75</v>
      </c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>
        <v>410</v>
      </c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>
        <v>708</v>
      </c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</row>
    <row r="147">
      <c r="A147" s="3" t="s">
        <v>136</v>
      </c>
      <c r="B147" s="3" t="s">
        <v>164</v>
      </c>
      <c r="C147" s="3" t="s">
        <v>138</v>
      </c>
      <c r="D147" s="3" t="s">
        <v>139</v>
      </c>
      <c r="E147" s="3" t="s">
        <v>169</v>
      </c>
      <c r="F147" s="3" t="s">
        <v>169</v>
      </c>
      <c r="G147" s="3" t="s">
        <v>169</v>
      </c>
      <c r="H147" s="3" t="s">
        <v>143</v>
      </c>
      <c r="I147" s="3" t="s">
        <v>229</v>
      </c>
      <c r="J147" s="3" t="s">
        <v>241</v>
      </c>
      <c r="K147" s="4">
        <v>137</v>
      </c>
      <c r="L147" s="4">
        <f>=ROUNDDOWN(11.9130434782609,0)</f>
      </c>
      <c r="M147" s="4">
        <v>540</v>
      </c>
      <c r="N147" s="5"/>
      <c r="O147" s="4"/>
      <c r="P147" s="4">
        <f>=ROUNDDOWN({0},0)</f>
      </c>
      <c r="Q147" s="4"/>
      <c r="R147" s="5"/>
      <c r="S147" s="4">
        <v>185</v>
      </c>
      <c r="T147" s="6">
        <v>7785.8</v>
      </c>
      <c r="U147" s="4">
        <v>138</v>
      </c>
      <c r="V147" s="6">
        <v>5506.02</v>
      </c>
      <c r="W147" s="5">
        <v>0.3406</v>
      </c>
      <c r="X147" s="5">
        <v>0.4141</v>
      </c>
      <c r="Y147" s="4">
        <v>57</v>
      </c>
      <c r="Z147" s="6">
        <v>2320.68</v>
      </c>
      <c r="AA147" s="4">
        <v>26</v>
      </c>
      <c r="AB147" s="6">
        <v>1044.94</v>
      </c>
      <c r="AC147" s="5">
        <v>1.1923</v>
      </c>
      <c r="AD147" s="5">
        <v>1.2209</v>
      </c>
      <c r="AE147" s="4">
        <v>60</v>
      </c>
      <c r="AF147" s="6">
        <v>2723.64</v>
      </c>
      <c r="AG147" s="4">
        <v>4</v>
      </c>
      <c r="AH147" s="6">
        <v>180.11</v>
      </c>
      <c r="AI147" s="5">
        <v>14</v>
      </c>
      <c r="AJ147" s="5">
        <v>14.1221</v>
      </c>
      <c r="AK147" s="4"/>
      <c r="AL147" s="6"/>
      <c r="AM147" s="4"/>
      <c r="AN147" s="6"/>
      <c r="AO147" s="5"/>
      <c r="AP147" s="5"/>
      <c r="AQ147" s="4"/>
      <c r="AR147" s="6"/>
      <c r="AS147" s="4"/>
      <c r="AT147" s="6"/>
      <c r="AU147" s="5"/>
      <c r="AV147" s="5"/>
      <c r="AW147" s="4">
        <v>28</v>
      </c>
      <c r="AX147" s="6">
        <v>1146.9</v>
      </c>
      <c r="AY147" s="4">
        <v>31</v>
      </c>
      <c r="AZ147" s="6">
        <v>1245.55</v>
      </c>
      <c r="BA147" s="5">
        <v>-0.0968</v>
      </c>
      <c r="BB147" s="5">
        <v>-0.0792</v>
      </c>
      <c r="BC147" s="4"/>
      <c r="BD147" s="6"/>
      <c r="BE147" s="4"/>
      <c r="BF147" s="6"/>
      <c r="BG147" s="5"/>
      <c r="BH147" s="5"/>
      <c r="BI147" s="4">
        <v>2</v>
      </c>
      <c r="BJ147" s="6">
        <v>80.52</v>
      </c>
      <c r="BK147" s="4">
        <v>5</v>
      </c>
      <c r="BL147" s="6">
        <v>198.61</v>
      </c>
      <c r="BM147" s="5">
        <v>-0.6</v>
      </c>
      <c r="BN147" s="5">
        <v>-0.5946</v>
      </c>
      <c r="BO147" s="4">
        <v>14</v>
      </c>
      <c r="BP147" s="6">
        <v>491.25</v>
      </c>
      <c r="BQ147" s="4">
        <v>15</v>
      </c>
      <c r="BR147" s="6">
        <v>513.51</v>
      </c>
      <c r="BS147" s="5">
        <v>-0.0667</v>
      </c>
      <c r="BT147" s="5">
        <v>-0.0433</v>
      </c>
      <c r="BU147" s="4">
        <v>3</v>
      </c>
      <c r="BV147" s="6">
        <v>116.14</v>
      </c>
      <c r="BW147" s="4">
        <v>26</v>
      </c>
      <c r="BX147" s="6">
        <v>1036.98</v>
      </c>
      <c r="BY147" s="5">
        <v>-0.8846</v>
      </c>
      <c r="BZ147" s="5">
        <v>-0.888</v>
      </c>
      <c r="CA147" s="4">
        <v>4</v>
      </c>
      <c r="CB147" s="6">
        <v>216.32</v>
      </c>
      <c r="CC147" s="4">
        <v>10</v>
      </c>
      <c r="CD147" s="6">
        <v>403.79</v>
      </c>
      <c r="CE147" s="5">
        <v>-0.6</v>
      </c>
      <c r="CF147" s="5">
        <v>-0.4643</v>
      </c>
      <c r="CG147" s="4"/>
      <c r="CH147" s="6"/>
      <c r="CI147" s="4"/>
      <c r="CJ147" s="6"/>
      <c r="CK147" s="5"/>
      <c r="CL147" s="5"/>
      <c r="CM147" s="4">
        <v>12</v>
      </c>
      <c r="CN147" s="6">
        <v>493.92</v>
      </c>
      <c r="CO147" s="4">
        <v>8</v>
      </c>
      <c r="CP147" s="6">
        <v>329.28</v>
      </c>
      <c r="CQ147" s="5">
        <v>0.5</v>
      </c>
      <c r="CR147" s="5">
        <v>0.5</v>
      </c>
      <c r="CS147" s="4">
        <v>1</v>
      </c>
      <c r="CT147" s="6">
        <v>38.59</v>
      </c>
      <c r="CU147" s="4"/>
      <c r="CV147" s="6"/>
      <c r="CW147" s="5"/>
      <c r="CX147" s="5"/>
      <c r="CY147" s="4">
        <v>4</v>
      </c>
      <c r="CZ147" s="6">
        <v>157.84</v>
      </c>
      <c r="DA147" s="4">
        <v>4</v>
      </c>
      <c r="DB147" s="6">
        <v>152.4</v>
      </c>
      <c r="DC147" s="5"/>
      <c r="DD147" s="5">
        <v>0.0357</v>
      </c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/>
      <c r="ED147" s="6"/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>
        <v>8</v>
      </c>
      <c r="FV147" s="6">
        <v>362.26</v>
      </c>
      <c r="FW147" s="5"/>
      <c r="FX147" s="5"/>
      <c r="FY147" s="4"/>
      <c r="FZ147" s="6"/>
      <c r="GA147" s="4">
        <v>1</v>
      </c>
      <c r="GB147" s="6">
        <v>38.59</v>
      </c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  <c r="IA147" s="4"/>
      <c r="IB147" s="6"/>
      <c r="IC147" s="4"/>
      <c r="ID147" s="6"/>
      <c r="IE147" s="5"/>
      <c r="IF147" s="5"/>
      <c r="IG147" s="4"/>
      <c r="IH147" s="6"/>
      <c r="II147" s="4"/>
      <c r="IJ147" s="6"/>
      <c r="IK147" s="5"/>
      <c r="IL147" s="5"/>
      <c r="IM147" s="4"/>
      <c r="IN147" s="6"/>
      <c r="IO147" s="4"/>
      <c r="IP147" s="6"/>
      <c r="IQ147" s="5"/>
      <c r="IR147" s="5"/>
      <c r="IS147" s="4"/>
      <c r="IT147" s="6"/>
      <c r="IU147" s="4"/>
      <c r="IV147" s="6"/>
      <c r="IW147" s="5"/>
      <c r="IX147" s="5"/>
      <c r="IY147" s="4"/>
      <c r="IZ147" s="6"/>
      <c r="JA147" s="4"/>
      <c r="JB147" s="6"/>
      <c r="JC147" s="5"/>
      <c r="JD147" s="5"/>
      <c r="JE147" s="4"/>
      <c r="JF147" s="6"/>
      <c r="JG147" s="4"/>
      <c r="JH147" s="6"/>
      <c r="JI147" s="5"/>
      <c r="JJ147" s="5"/>
      <c r="JK147" s="4">
        <v>105</v>
      </c>
      <c r="JL147" s="4">
        <v>32</v>
      </c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>
        <v>240</v>
      </c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>
        <v>300</v>
      </c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</row>
    <row r="148">
      <c r="A148" s="3" t="s">
        <v>136</v>
      </c>
      <c r="B148" s="3" t="s">
        <v>164</v>
      </c>
      <c r="C148" s="3" t="s">
        <v>138</v>
      </c>
      <c r="D148" s="3" t="s">
        <v>139</v>
      </c>
      <c r="E148" s="3" t="s">
        <v>169</v>
      </c>
      <c r="F148" s="3" t="s">
        <v>169</v>
      </c>
      <c r="G148" s="3" t="s">
        <v>169</v>
      </c>
      <c r="H148" s="3" t="s">
        <v>143</v>
      </c>
      <c r="I148" s="3" t="s">
        <v>244</v>
      </c>
      <c r="J148" s="3" t="s">
        <v>241</v>
      </c>
      <c r="K148" s="4">
        <v>385</v>
      </c>
      <c r="L148" s="4">
        <f>=ROUNDDOWN(34.6846846846847,0)</f>
      </c>
      <c r="M148" s="4">
        <v>310</v>
      </c>
      <c r="N148" s="5"/>
      <c r="O148" s="4"/>
      <c r="P148" s="4">
        <f>=ROUNDDOWN({0},0)</f>
      </c>
      <c r="Q148" s="4"/>
      <c r="R148" s="5"/>
      <c r="S148" s="4">
        <v>149</v>
      </c>
      <c r="T148" s="6">
        <v>6288.4</v>
      </c>
      <c r="U148" s="4">
        <v>140</v>
      </c>
      <c r="V148" s="6">
        <v>5671.69</v>
      </c>
      <c r="W148" s="5">
        <v>0.0643</v>
      </c>
      <c r="X148" s="5">
        <v>0.1087</v>
      </c>
      <c r="Y148" s="4">
        <v>36</v>
      </c>
      <c r="Z148" s="6">
        <v>1482.14</v>
      </c>
      <c r="AA148" s="4">
        <v>31</v>
      </c>
      <c r="AB148" s="6">
        <v>1265.39</v>
      </c>
      <c r="AC148" s="5">
        <v>0.1613</v>
      </c>
      <c r="AD148" s="5">
        <v>0.1713</v>
      </c>
      <c r="AE148" s="4">
        <v>56</v>
      </c>
      <c r="AF148" s="6">
        <v>2524.55</v>
      </c>
      <c r="AG148" s="4">
        <v>3</v>
      </c>
      <c r="AH148" s="6">
        <v>132.72</v>
      </c>
      <c r="AI148" s="5">
        <v>17.6667</v>
      </c>
      <c r="AJ148" s="5">
        <v>18.0216</v>
      </c>
      <c r="AK148" s="4"/>
      <c r="AL148" s="6"/>
      <c r="AM148" s="4"/>
      <c r="AN148" s="6"/>
      <c r="AO148" s="5"/>
      <c r="AP148" s="5"/>
      <c r="AQ148" s="4"/>
      <c r="AR148" s="6"/>
      <c r="AS148" s="4"/>
      <c r="AT148" s="6"/>
      <c r="AU148" s="5"/>
      <c r="AV148" s="5"/>
      <c r="AW148" s="4">
        <v>36</v>
      </c>
      <c r="AX148" s="6">
        <v>1454.09</v>
      </c>
      <c r="AY148" s="4">
        <v>49</v>
      </c>
      <c r="AZ148" s="6">
        <v>1983.85</v>
      </c>
      <c r="BA148" s="5">
        <v>-0.2653</v>
      </c>
      <c r="BB148" s="5">
        <v>-0.267</v>
      </c>
      <c r="BC148" s="4"/>
      <c r="BD148" s="6"/>
      <c r="BE148" s="4"/>
      <c r="BF148" s="6"/>
      <c r="BG148" s="5"/>
      <c r="BH148" s="5"/>
      <c r="BI148" s="4">
        <v>5</v>
      </c>
      <c r="BJ148" s="6">
        <v>193.23</v>
      </c>
      <c r="BK148" s="4">
        <v>9</v>
      </c>
      <c r="BL148" s="6">
        <v>346.21</v>
      </c>
      <c r="BM148" s="5">
        <v>-0.4444</v>
      </c>
      <c r="BN148" s="5">
        <v>-0.4419</v>
      </c>
      <c r="BO148" s="4">
        <v>5</v>
      </c>
      <c r="BP148" s="6">
        <v>161.5</v>
      </c>
      <c r="BQ148" s="4">
        <v>5</v>
      </c>
      <c r="BR148" s="6">
        <v>168.51</v>
      </c>
      <c r="BS148" s="5"/>
      <c r="BT148" s="5">
        <v>-0.0416</v>
      </c>
      <c r="BU148" s="4">
        <v>1</v>
      </c>
      <c r="BV148" s="6">
        <v>41.48</v>
      </c>
      <c r="BW148" s="4">
        <v>14</v>
      </c>
      <c r="BX148" s="6">
        <v>544.75</v>
      </c>
      <c r="BY148" s="5">
        <v>-0.9286</v>
      </c>
      <c r="BZ148" s="5">
        <v>-0.9239</v>
      </c>
      <c r="CA148" s="4">
        <v>3</v>
      </c>
      <c r="CB148" s="6">
        <v>147.59</v>
      </c>
      <c r="CC148" s="4">
        <v>11</v>
      </c>
      <c r="CD148" s="6">
        <v>442.37</v>
      </c>
      <c r="CE148" s="5">
        <v>-0.7273</v>
      </c>
      <c r="CF148" s="5">
        <v>-0.6664</v>
      </c>
      <c r="CG148" s="4"/>
      <c r="CH148" s="6"/>
      <c r="CI148" s="4"/>
      <c r="CJ148" s="6"/>
      <c r="CK148" s="5"/>
      <c r="CL148" s="5"/>
      <c r="CM148" s="4">
        <v>4</v>
      </c>
      <c r="CN148" s="6">
        <v>144.08</v>
      </c>
      <c r="CO148" s="4">
        <v>2</v>
      </c>
      <c r="CP148" s="6">
        <v>72.04</v>
      </c>
      <c r="CQ148" s="5">
        <v>1</v>
      </c>
      <c r="CR148" s="5">
        <v>1</v>
      </c>
      <c r="CS148" s="4">
        <v>2</v>
      </c>
      <c r="CT148" s="6">
        <v>79.75</v>
      </c>
      <c r="CU148" s="4"/>
      <c r="CV148" s="6"/>
      <c r="CW148" s="5"/>
      <c r="CX148" s="5"/>
      <c r="CY148" s="4"/>
      <c r="CZ148" s="6"/>
      <c r="DA148" s="4">
        <v>3</v>
      </c>
      <c r="DB148" s="6">
        <v>119.74</v>
      </c>
      <c r="DC148" s="5"/>
      <c r="DD148" s="5"/>
      <c r="DE148" s="4"/>
      <c r="DF148" s="6"/>
      <c r="DG148" s="4"/>
      <c r="DH148" s="6"/>
      <c r="DI148" s="5"/>
      <c r="DJ148" s="5"/>
      <c r="DK148" s="4">
        <v>1</v>
      </c>
      <c r="DL148" s="6">
        <v>59.99</v>
      </c>
      <c r="DM148" s="4">
        <v>1</v>
      </c>
      <c r="DN148" s="6">
        <v>79.99</v>
      </c>
      <c r="DO148" s="5"/>
      <c r="DP148" s="5">
        <v>-0.25</v>
      </c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>
        <v>1</v>
      </c>
      <c r="FP148" s="6">
        <v>38.9</v>
      </c>
      <c r="FQ148" s="5"/>
      <c r="FR148" s="5"/>
      <c r="FS148" s="4"/>
      <c r="FT148" s="6"/>
      <c r="FU148" s="4">
        <v>7</v>
      </c>
      <c r="FV148" s="6">
        <v>317.72</v>
      </c>
      <c r="FW148" s="5"/>
      <c r="FX148" s="5"/>
      <c r="FY148" s="4"/>
      <c r="FZ148" s="6"/>
      <c r="GA148" s="4">
        <v>4</v>
      </c>
      <c r="GB148" s="6">
        <v>159.5</v>
      </c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  <c r="IA148" s="4"/>
      <c r="IB148" s="6"/>
      <c r="IC148" s="4"/>
      <c r="ID148" s="6"/>
      <c r="IE148" s="5"/>
      <c r="IF148" s="5"/>
      <c r="IG148" s="4"/>
      <c r="IH148" s="6"/>
      <c r="II148" s="4"/>
      <c r="IJ148" s="6"/>
      <c r="IK148" s="5"/>
      <c r="IL148" s="5"/>
      <c r="IM148" s="4"/>
      <c r="IN148" s="6"/>
      <c r="IO148" s="4"/>
      <c r="IP148" s="6"/>
      <c r="IQ148" s="5"/>
      <c r="IR148" s="5"/>
      <c r="IS148" s="4"/>
      <c r="IT148" s="6"/>
      <c r="IU148" s="4"/>
      <c r="IV148" s="6"/>
      <c r="IW148" s="5"/>
      <c r="IX148" s="5"/>
      <c r="IY148" s="4"/>
      <c r="IZ148" s="6"/>
      <c r="JA148" s="4"/>
      <c r="JB148" s="6"/>
      <c r="JC148" s="5"/>
      <c r="JD148" s="5"/>
      <c r="JE148" s="4"/>
      <c r="JF148" s="6"/>
      <c r="JG148" s="4"/>
      <c r="JH148" s="6"/>
      <c r="JI148" s="5"/>
      <c r="JJ148" s="5"/>
      <c r="JK148" s="4">
        <v>385</v>
      </c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>
        <v>310</v>
      </c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</row>
    <row r="149">
      <c r="A149" s="3" t="s">
        <v>136</v>
      </c>
      <c r="B149" s="3" t="s">
        <v>164</v>
      </c>
      <c r="C149" s="3" t="s">
        <v>138</v>
      </c>
      <c r="D149" s="3" t="s">
        <v>139</v>
      </c>
      <c r="E149" s="3" t="s">
        <v>169</v>
      </c>
      <c r="F149" s="3" t="s">
        <v>169</v>
      </c>
      <c r="G149" s="3" t="s">
        <v>169</v>
      </c>
      <c r="H149" s="3" t="s">
        <v>143</v>
      </c>
      <c r="I149" s="3" t="s">
        <v>230</v>
      </c>
      <c r="J149" s="3" t="s">
        <v>241</v>
      </c>
      <c r="K149" s="4">
        <v>94</v>
      </c>
      <c r="L149" s="4">
        <f>=ROUNDDOWN(6.57342657342657,0)</f>
      </c>
      <c r="M149" s="4">
        <v>560</v>
      </c>
      <c r="N149" s="5"/>
      <c r="O149" s="4"/>
      <c r="P149" s="4">
        <f>=ROUNDDOWN({0},0)</f>
      </c>
      <c r="Q149" s="4"/>
      <c r="R149" s="5"/>
      <c r="S149" s="4">
        <v>99</v>
      </c>
      <c r="T149" s="6">
        <v>4137.83</v>
      </c>
      <c r="U149" s="4">
        <v>112</v>
      </c>
      <c r="V149" s="6">
        <v>4508.28</v>
      </c>
      <c r="W149" s="5">
        <v>-0.1161</v>
      </c>
      <c r="X149" s="5">
        <v>-0.0822</v>
      </c>
      <c r="Y149" s="4">
        <v>16</v>
      </c>
      <c r="Z149" s="6">
        <v>672.74</v>
      </c>
      <c r="AA149" s="4">
        <v>13</v>
      </c>
      <c r="AB149" s="6">
        <v>526.72</v>
      </c>
      <c r="AC149" s="5">
        <v>0.2308</v>
      </c>
      <c r="AD149" s="5">
        <v>0.2772</v>
      </c>
      <c r="AE149" s="4">
        <v>25</v>
      </c>
      <c r="AF149" s="6">
        <v>1124.74</v>
      </c>
      <c r="AG149" s="4">
        <v>3</v>
      </c>
      <c r="AH149" s="6">
        <v>135.87</v>
      </c>
      <c r="AI149" s="5">
        <v>7.3333</v>
      </c>
      <c r="AJ149" s="5">
        <v>7.2781</v>
      </c>
      <c r="AK149" s="4"/>
      <c r="AL149" s="6"/>
      <c r="AM149" s="4"/>
      <c r="AN149" s="6"/>
      <c r="AO149" s="5"/>
      <c r="AP149" s="5"/>
      <c r="AQ149" s="4"/>
      <c r="AR149" s="6"/>
      <c r="AS149" s="4"/>
      <c r="AT149" s="6"/>
      <c r="AU149" s="5"/>
      <c r="AV149" s="5"/>
      <c r="AW149" s="4">
        <v>26</v>
      </c>
      <c r="AX149" s="6">
        <v>1073.68</v>
      </c>
      <c r="AY149" s="4">
        <v>24</v>
      </c>
      <c r="AZ149" s="6">
        <v>972.2</v>
      </c>
      <c r="BA149" s="5">
        <v>0.0833</v>
      </c>
      <c r="BB149" s="5">
        <v>0.1044</v>
      </c>
      <c r="BC149" s="4"/>
      <c r="BD149" s="6"/>
      <c r="BE149" s="4"/>
      <c r="BF149" s="6"/>
      <c r="BG149" s="5"/>
      <c r="BH149" s="5"/>
      <c r="BI149" s="4">
        <v>3</v>
      </c>
      <c r="BJ149" s="6">
        <v>115.41</v>
      </c>
      <c r="BK149" s="4">
        <v>6</v>
      </c>
      <c r="BL149" s="6">
        <v>225.43</v>
      </c>
      <c r="BM149" s="5">
        <v>-0.5</v>
      </c>
      <c r="BN149" s="5">
        <v>-0.488</v>
      </c>
      <c r="BO149" s="4">
        <v>5</v>
      </c>
      <c r="BP149" s="6">
        <v>175.8</v>
      </c>
      <c r="BQ149" s="4">
        <v>9</v>
      </c>
      <c r="BR149" s="6">
        <v>349.67</v>
      </c>
      <c r="BS149" s="5">
        <v>-0.4444</v>
      </c>
      <c r="BT149" s="5">
        <v>-0.4972</v>
      </c>
      <c r="BU149" s="4">
        <v>4</v>
      </c>
      <c r="BV149" s="6">
        <v>160.39</v>
      </c>
      <c r="BW149" s="4">
        <v>11</v>
      </c>
      <c r="BX149" s="6">
        <v>445.21</v>
      </c>
      <c r="BY149" s="5">
        <v>-0.6364</v>
      </c>
      <c r="BZ149" s="5">
        <v>-0.6397</v>
      </c>
      <c r="CA149" s="4"/>
      <c r="CB149" s="6"/>
      <c r="CC149" s="4">
        <v>7</v>
      </c>
      <c r="CD149" s="6">
        <v>277.77</v>
      </c>
      <c r="CE149" s="5"/>
      <c r="CF149" s="5"/>
      <c r="CG149" s="4"/>
      <c r="CH149" s="6"/>
      <c r="CI149" s="4"/>
      <c r="CJ149" s="6"/>
      <c r="CK149" s="5"/>
      <c r="CL149" s="5"/>
      <c r="CM149" s="4">
        <v>13</v>
      </c>
      <c r="CN149" s="6">
        <v>527.37</v>
      </c>
      <c r="CO149" s="4">
        <v>27</v>
      </c>
      <c r="CP149" s="6">
        <v>1041.93</v>
      </c>
      <c r="CQ149" s="5">
        <v>-0.5185</v>
      </c>
      <c r="CR149" s="5">
        <v>-0.4939</v>
      </c>
      <c r="CS149" s="4">
        <v>4</v>
      </c>
      <c r="CT149" s="6">
        <v>159.5</v>
      </c>
      <c r="CU149" s="4"/>
      <c r="CV149" s="6"/>
      <c r="CW149" s="5"/>
      <c r="CX149" s="5"/>
      <c r="CY149" s="4">
        <v>1</v>
      </c>
      <c r="CZ149" s="6">
        <v>40.82</v>
      </c>
      <c r="DA149" s="4">
        <v>1</v>
      </c>
      <c r="DB149" s="6">
        <v>38.1</v>
      </c>
      <c r="DC149" s="5"/>
      <c r="DD149" s="5">
        <v>0.0714</v>
      </c>
      <c r="DE149" s="4"/>
      <c r="DF149" s="6"/>
      <c r="DG149" s="4"/>
      <c r="DH149" s="6"/>
      <c r="DI149" s="5"/>
      <c r="DJ149" s="5"/>
      <c r="DK149" s="4">
        <v>1</v>
      </c>
      <c r="DL149" s="6">
        <v>39.99</v>
      </c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>
        <v>1</v>
      </c>
      <c r="EV149" s="6">
        <v>47.39</v>
      </c>
      <c r="EW149" s="4">
        <v>1</v>
      </c>
      <c r="EX149" s="6">
        <v>41.07</v>
      </c>
      <c r="EY149" s="5"/>
      <c r="EZ149" s="5">
        <v>0.1539</v>
      </c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>
        <v>10</v>
      </c>
      <c r="FV149" s="6">
        <v>454.31</v>
      </c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  <c r="IA149" s="4"/>
      <c r="IB149" s="6"/>
      <c r="IC149" s="4"/>
      <c r="ID149" s="6"/>
      <c r="IE149" s="5"/>
      <c r="IF149" s="5"/>
      <c r="IG149" s="4"/>
      <c r="IH149" s="6"/>
      <c r="II149" s="4"/>
      <c r="IJ149" s="6"/>
      <c r="IK149" s="5"/>
      <c r="IL149" s="5"/>
      <c r="IM149" s="4"/>
      <c r="IN149" s="6"/>
      <c r="IO149" s="4"/>
      <c r="IP149" s="6"/>
      <c r="IQ149" s="5"/>
      <c r="IR149" s="5"/>
      <c r="IS149" s="4"/>
      <c r="IT149" s="6"/>
      <c r="IU149" s="4"/>
      <c r="IV149" s="6"/>
      <c r="IW149" s="5"/>
      <c r="IX149" s="5"/>
      <c r="IY149" s="4"/>
      <c r="IZ149" s="6"/>
      <c r="JA149" s="4"/>
      <c r="JB149" s="6"/>
      <c r="JC149" s="5"/>
      <c r="JD149" s="5"/>
      <c r="JE149" s="4"/>
      <c r="JF149" s="6"/>
      <c r="JG149" s="4"/>
      <c r="JH149" s="6"/>
      <c r="JI149" s="5"/>
      <c r="JJ149" s="5"/>
      <c r="JK149" s="4">
        <v>94</v>
      </c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>
        <v>250</v>
      </c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>
        <v>310</v>
      </c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</row>
    <row r="150">
      <c r="A150" s="3" t="s">
        <v>136</v>
      </c>
      <c r="B150" s="3" t="s">
        <v>164</v>
      </c>
      <c r="C150" s="3" t="s">
        <v>138</v>
      </c>
      <c r="D150" s="3" t="s">
        <v>139</v>
      </c>
      <c r="E150" s="3" t="s">
        <v>170</v>
      </c>
      <c r="F150" s="3" t="s">
        <v>170</v>
      </c>
      <c r="G150" s="3" t="s">
        <v>170</v>
      </c>
      <c r="H150" s="3" t="s">
        <v>171</v>
      </c>
      <c r="I150" s="3" t="s">
        <v>227</v>
      </c>
      <c r="J150" s="3" t="s">
        <v>241</v>
      </c>
      <c r="K150" s="4">
        <v>417</v>
      </c>
      <c r="L150" s="4">
        <f>=ROUNDDOWN(43.8947368421053,0)</f>
      </c>
      <c r="M150" s="4"/>
      <c r="N150" s="5"/>
      <c r="O150" s="4"/>
      <c r="P150" s="4">
        <f>=ROUNDDOWN({0},0)</f>
      </c>
      <c r="Q150" s="4"/>
      <c r="R150" s="5"/>
      <c r="S150" s="4">
        <v>105</v>
      </c>
      <c r="T150" s="6">
        <v>3148.13</v>
      </c>
      <c r="U150" s="4">
        <v>9</v>
      </c>
      <c r="V150" s="6">
        <v>311.25</v>
      </c>
      <c r="W150" s="5">
        <v>10.6667</v>
      </c>
      <c r="X150" s="5">
        <v>9.1145</v>
      </c>
      <c r="Y150" s="4">
        <v>1</v>
      </c>
      <c r="Z150" s="6">
        <v>31.8</v>
      </c>
      <c r="AA150" s="4"/>
      <c r="AB150" s="6"/>
      <c r="AC150" s="5"/>
      <c r="AD150" s="5"/>
      <c r="AE150" s="4">
        <v>18</v>
      </c>
      <c r="AF150" s="6">
        <v>518.46</v>
      </c>
      <c r="AG150" s="4">
        <v>1</v>
      </c>
      <c r="AH150" s="6">
        <v>36.63</v>
      </c>
      <c r="AI150" s="5">
        <v>17</v>
      </c>
      <c r="AJ150" s="5">
        <v>13.154</v>
      </c>
      <c r="AK150" s="4"/>
      <c r="AL150" s="6"/>
      <c r="AM150" s="4"/>
      <c r="AN150" s="6"/>
      <c r="AO150" s="5"/>
      <c r="AP150" s="5"/>
      <c r="AQ150" s="4">
        <v>24</v>
      </c>
      <c r="AR150" s="6">
        <v>816.2</v>
      </c>
      <c r="AS150" s="4"/>
      <c r="AT150" s="6"/>
      <c r="AU150" s="5"/>
      <c r="AV150" s="5"/>
      <c r="AW150" s="4">
        <v>4</v>
      </c>
      <c r="AX150" s="6">
        <v>132.03</v>
      </c>
      <c r="AY150" s="4"/>
      <c r="AZ150" s="6"/>
      <c r="BA150" s="5"/>
      <c r="BB150" s="5"/>
      <c r="BC150" s="4">
        <v>7</v>
      </c>
      <c r="BD150" s="6">
        <v>224.88</v>
      </c>
      <c r="BE150" s="4">
        <v>7</v>
      </c>
      <c r="BF150" s="6">
        <v>241.92</v>
      </c>
      <c r="BG150" s="5"/>
      <c r="BH150" s="5">
        <v>-0.0704</v>
      </c>
      <c r="BI150" s="4">
        <v>3</v>
      </c>
      <c r="BJ150" s="6">
        <v>90.52</v>
      </c>
      <c r="BK150" s="4">
        <v>1</v>
      </c>
      <c r="BL150" s="6">
        <v>32.7</v>
      </c>
      <c r="BM150" s="5">
        <v>2</v>
      </c>
      <c r="BN150" s="5">
        <v>1.7682</v>
      </c>
      <c r="BO150" s="4">
        <v>14</v>
      </c>
      <c r="BP150" s="6">
        <v>296.47</v>
      </c>
      <c r="BQ150" s="4"/>
      <c r="BR150" s="6"/>
      <c r="BS150" s="5"/>
      <c r="BT150" s="5"/>
      <c r="BU150" s="4">
        <v>5</v>
      </c>
      <c r="BV150" s="6">
        <v>144.24</v>
      </c>
      <c r="BW150" s="4"/>
      <c r="BX150" s="6"/>
      <c r="BY150" s="5"/>
      <c r="BZ150" s="5"/>
      <c r="CA150" s="4">
        <v>20</v>
      </c>
      <c r="CB150" s="6">
        <v>654.52</v>
      </c>
      <c r="CC150" s="4"/>
      <c r="CD150" s="6"/>
      <c r="CE150" s="5"/>
      <c r="CF150" s="5"/>
      <c r="CG150" s="4">
        <v>5</v>
      </c>
      <c r="CH150" s="6">
        <v>161.11</v>
      </c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>
        <v>3</v>
      </c>
      <c r="DF150" s="6">
        <v>47.91</v>
      </c>
      <c r="DG150" s="4"/>
      <c r="DH150" s="6"/>
      <c r="DI150" s="5"/>
      <c r="DJ150" s="5"/>
      <c r="DK150" s="4">
        <v>1</v>
      </c>
      <c r="DL150" s="6">
        <v>29.99</v>
      </c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  <c r="IA150" s="4"/>
      <c r="IB150" s="6"/>
      <c r="IC150" s="4"/>
      <c r="ID150" s="6"/>
      <c r="IE150" s="5"/>
      <c r="IF150" s="5"/>
      <c r="IG150" s="4"/>
      <c r="IH150" s="6"/>
      <c r="II150" s="4"/>
      <c r="IJ150" s="6"/>
      <c r="IK150" s="5"/>
      <c r="IL150" s="5"/>
      <c r="IM150" s="4"/>
      <c r="IN150" s="6"/>
      <c r="IO150" s="4"/>
      <c r="IP150" s="6"/>
      <c r="IQ150" s="5"/>
      <c r="IR150" s="5"/>
      <c r="IS150" s="4"/>
      <c r="IT150" s="6"/>
      <c r="IU150" s="4"/>
      <c r="IV150" s="6"/>
      <c r="IW150" s="5"/>
      <c r="IX150" s="5"/>
      <c r="IY150" s="4"/>
      <c r="IZ150" s="6"/>
      <c r="JA150" s="4"/>
      <c r="JB150" s="6"/>
      <c r="JC150" s="5"/>
      <c r="JD150" s="5"/>
      <c r="JE150" s="4"/>
      <c r="JF150" s="6"/>
      <c r="JG150" s="4"/>
      <c r="JH150" s="6"/>
      <c r="JI150" s="5"/>
      <c r="JJ150" s="5"/>
      <c r="JK150" s="4">
        <v>417</v>
      </c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</row>
    <row r="151">
      <c r="A151" s="3" t="s">
        <v>136</v>
      </c>
      <c r="B151" s="3" t="s">
        <v>164</v>
      </c>
      <c r="C151" s="3" t="s">
        <v>138</v>
      </c>
      <c r="D151" s="3" t="s">
        <v>139</v>
      </c>
      <c r="E151" s="3" t="s">
        <v>170</v>
      </c>
      <c r="F151" s="3" t="s">
        <v>170</v>
      </c>
      <c r="G151" s="3" t="s">
        <v>170</v>
      </c>
      <c r="H151" s="3" t="s">
        <v>171</v>
      </c>
      <c r="I151" s="3" t="s">
        <v>247</v>
      </c>
      <c r="J151" s="3" t="s">
        <v>241</v>
      </c>
      <c r="K151" s="4">
        <v>256</v>
      </c>
      <c r="L151" s="4">
        <f>=ROUNDDOWN(32.8205128205128,0)</f>
      </c>
      <c r="M151" s="4"/>
      <c r="N151" s="5"/>
      <c r="O151" s="4"/>
      <c r="P151" s="4">
        <f>=ROUNDDOWN({0},0)</f>
      </c>
      <c r="Q151" s="4"/>
      <c r="R151" s="5"/>
      <c r="S151" s="4">
        <v>37</v>
      </c>
      <c r="T151" s="6">
        <v>1180.71</v>
      </c>
      <c r="U151" s="4">
        <v>10</v>
      </c>
      <c r="V151" s="6">
        <v>356.28</v>
      </c>
      <c r="W151" s="5">
        <v>2.7</v>
      </c>
      <c r="X151" s="5">
        <v>2.314</v>
      </c>
      <c r="Y151" s="4">
        <v>2</v>
      </c>
      <c r="Z151" s="6">
        <v>68.43</v>
      </c>
      <c r="AA151" s="4"/>
      <c r="AB151" s="6"/>
      <c r="AC151" s="5"/>
      <c r="AD151" s="5"/>
      <c r="AE151" s="4">
        <v>8</v>
      </c>
      <c r="AF151" s="6">
        <v>251.85</v>
      </c>
      <c r="AG151" s="4">
        <v>3</v>
      </c>
      <c r="AH151" s="6">
        <v>100.23</v>
      </c>
      <c r="AI151" s="5">
        <v>1.6667</v>
      </c>
      <c r="AJ151" s="5">
        <v>1.5127</v>
      </c>
      <c r="AK151" s="4"/>
      <c r="AL151" s="6"/>
      <c r="AM151" s="4"/>
      <c r="AN151" s="6"/>
      <c r="AO151" s="5"/>
      <c r="AP151" s="5"/>
      <c r="AQ151" s="4">
        <v>7</v>
      </c>
      <c r="AR151" s="6">
        <v>224.49</v>
      </c>
      <c r="AS151" s="4"/>
      <c r="AT151" s="6"/>
      <c r="AU151" s="5"/>
      <c r="AV151" s="5"/>
      <c r="AW151" s="4">
        <v>2</v>
      </c>
      <c r="AX151" s="6">
        <v>63.6</v>
      </c>
      <c r="AY151" s="4"/>
      <c r="AZ151" s="6"/>
      <c r="BA151" s="5"/>
      <c r="BB151" s="5"/>
      <c r="BC151" s="4">
        <v>6</v>
      </c>
      <c r="BD151" s="6">
        <v>203.01</v>
      </c>
      <c r="BE151" s="4">
        <v>1</v>
      </c>
      <c r="BF151" s="6">
        <v>29.52</v>
      </c>
      <c r="BG151" s="5">
        <v>5</v>
      </c>
      <c r="BH151" s="5">
        <v>5.877</v>
      </c>
      <c r="BI151" s="4">
        <v>4</v>
      </c>
      <c r="BJ151" s="6">
        <v>128.19</v>
      </c>
      <c r="BK151" s="4">
        <v>5</v>
      </c>
      <c r="BL151" s="6">
        <v>178.41</v>
      </c>
      <c r="BM151" s="5">
        <v>-0.2</v>
      </c>
      <c r="BN151" s="5">
        <v>-0.2815</v>
      </c>
      <c r="BO151" s="4">
        <v>3</v>
      </c>
      <c r="BP151" s="6">
        <v>62.08</v>
      </c>
      <c r="BQ151" s="4"/>
      <c r="BR151" s="6"/>
      <c r="BS151" s="5"/>
      <c r="BT151" s="5"/>
      <c r="BU151" s="4">
        <v>1</v>
      </c>
      <c r="BV151" s="6">
        <v>31.8</v>
      </c>
      <c r="BW151" s="4"/>
      <c r="BX151" s="6"/>
      <c r="BY151" s="5"/>
      <c r="BZ151" s="5"/>
      <c r="CA151" s="4">
        <v>4</v>
      </c>
      <c r="CB151" s="6">
        <v>147.26</v>
      </c>
      <c r="CC151" s="4">
        <v>1</v>
      </c>
      <c r="CD151" s="6">
        <v>48.12</v>
      </c>
      <c r="CE151" s="5">
        <v>3</v>
      </c>
      <c r="CF151" s="5">
        <v>2.0603</v>
      </c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  <c r="IA151" s="4"/>
      <c r="IB151" s="6"/>
      <c r="IC151" s="4"/>
      <c r="ID151" s="6"/>
      <c r="IE151" s="5"/>
      <c r="IF151" s="5"/>
      <c r="IG151" s="4"/>
      <c r="IH151" s="6"/>
      <c r="II151" s="4"/>
      <c r="IJ151" s="6"/>
      <c r="IK151" s="5"/>
      <c r="IL151" s="5"/>
      <c r="IM151" s="4"/>
      <c r="IN151" s="6"/>
      <c r="IO151" s="4"/>
      <c r="IP151" s="6"/>
      <c r="IQ151" s="5"/>
      <c r="IR151" s="5"/>
      <c r="IS151" s="4"/>
      <c r="IT151" s="6"/>
      <c r="IU151" s="4"/>
      <c r="IV151" s="6"/>
      <c r="IW151" s="5"/>
      <c r="IX151" s="5"/>
      <c r="IY151" s="4"/>
      <c r="IZ151" s="6"/>
      <c r="JA151" s="4"/>
      <c r="JB151" s="6"/>
      <c r="JC151" s="5"/>
      <c r="JD151" s="5"/>
      <c r="JE151" s="4"/>
      <c r="JF151" s="6"/>
      <c r="JG151" s="4"/>
      <c r="JH151" s="6"/>
      <c r="JI151" s="5"/>
      <c r="JJ151" s="5"/>
      <c r="JK151" s="4">
        <v>256</v>
      </c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</row>
    <row r="152">
      <c r="A152" s="3" t="s">
        <v>136</v>
      </c>
      <c r="B152" s="3" t="s">
        <v>164</v>
      </c>
      <c r="C152" s="3" t="s">
        <v>138</v>
      </c>
      <c r="D152" s="3" t="s">
        <v>139</v>
      </c>
      <c r="E152" s="3" t="s">
        <v>170</v>
      </c>
      <c r="F152" s="3" t="s">
        <v>170</v>
      </c>
      <c r="G152" s="3" t="s">
        <v>170</v>
      </c>
      <c r="H152" s="3" t="s">
        <v>171</v>
      </c>
      <c r="I152" s="3" t="s">
        <v>230</v>
      </c>
      <c r="J152" s="3" t="s">
        <v>241</v>
      </c>
      <c r="K152" s="4">
        <v>217</v>
      </c>
      <c r="L152" s="4">
        <f>=ROUNDDOWN(19.7272727272727,0)</f>
      </c>
      <c r="M152" s="4"/>
      <c r="N152" s="5"/>
      <c r="O152" s="4"/>
      <c r="P152" s="4">
        <f>=ROUNDDOWN({0},0)</f>
      </c>
      <c r="Q152" s="4"/>
      <c r="R152" s="5"/>
      <c r="S152" s="4">
        <v>33</v>
      </c>
      <c r="T152" s="6">
        <v>1022.3</v>
      </c>
      <c r="U152" s="4">
        <v>5</v>
      </c>
      <c r="V152" s="6">
        <v>159.85</v>
      </c>
      <c r="W152" s="5">
        <v>5.6</v>
      </c>
      <c r="X152" s="5">
        <v>5.3954</v>
      </c>
      <c r="Y152" s="4">
        <v>3</v>
      </c>
      <c r="Z152" s="6">
        <v>105.06</v>
      </c>
      <c r="AA152" s="4"/>
      <c r="AB152" s="6"/>
      <c r="AC152" s="5"/>
      <c r="AD152" s="5"/>
      <c r="AE152" s="4">
        <v>9</v>
      </c>
      <c r="AF152" s="6">
        <v>300.69</v>
      </c>
      <c r="AG152" s="4"/>
      <c r="AH152" s="6"/>
      <c r="AI152" s="5"/>
      <c r="AJ152" s="5"/>
      <c r="AK152" s="4"/>
      <c r="AL152" s="6"/>
      <c r="AM152" s="4"/>
      <c r="AN152" s="6"/>
      <c r="AO152" s="5"/>
      <c r="AP152" s="5"/>
      <c r="AQ152" s="4">
        <v>2</v>
      </c>
      <c r="AR152" s="6">
        <v>50.94</v>
      </c>
      <c r="AS152" s="4"/>
      <c r="AT152" s="6"/>
      <c r="AU152" s="5"/>
      <c r="AV152" s="5"/>
      <c r="AW152" s="4">
        <v>2</v>
      </c>
      <c r="AX152" s="6">
        <v>68.43</v>
      </c>
      <c r="AY152" s="4"/>
      <c r="AZ152" s="6"/>
      <c r="BA152" s="5"/>
      <c r="BB152" s="5"/>
      <c r="BC152" s="4">
        <v>2</v>
      </c>
      <c r="BD152" s="6">
        <v>53.94</v>
      </c>
      <c r="BE152" s="4">
        <v>1</v>
      </c>
      <c r="BF152" s="6">
        <v>36.63</v>
      </c>
      <c r="BG152" s="5">
        <v>1</v>
      </c>
      <c r="BH152" s="5">
        <v>0.4726</v>
      </c>
      <c r="BI152" s="4">
        <v>5</v>
      </c>
      <c r="BJ152" s="6">
        <v>183.38</v>
      </c>
      <c r="BK152" s="4">
        <v>4</v>
      </c>
      <c r="BL152" s="6">
        <v>123.22</v>
      </c>
      <c r="BM152" s="5">
        <v>0.25</v>
      </c>
      <c r="BN152" s="5">
        <v>0.4882</v>
      </c>
      <c r="BO152" s="4">
        <v>5</v>
      </c>
      <c r="BP152" s="6">
        <v>107.7</v>
      </c>
      <c r="BQ152" s="4"/>
      <c r="BR152" s="6"/>
      <c r="BS152" s="5"/>
      <c r="BT152" s="5"/>
      <c r="BU152" s="4">
        <v>3</v>
      </c>
      <c r="BV152" s="6">
        <v>97.95</v>
      </c>
      <c r="BW152" s="4"/>
      <c r="BX152" s="6"/>
      <c r="BY152" s="5"/>
      <c r="BZ152" s="5"/>
      <c r="CA152" s="4">
        <v>1</v>
      </c>
      <c r="CB152" s="6">
        <v>24.22</v>
      </c>
      <c r="CC152" s="4"/>
      <c r="CD152" s="6"/>
      <c r="CE152" s="5"/>
      <c r="CF152" s="5"/>
      <c r="CG152" s="4"/>
      <c r="CH152" s="6"/>
      <c r="CI152" s="4"/>
      <c r="CJ152" s="6"/>
      <c r="CK152" s="5"/>
      <c r="CL152" s="5"/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>
        <v>1</v>
      </c>
      <c r="DL152" s="6">
        <v>29.99</v>
      </c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  <c r="IA152" s="4"/>
      <c r="IB152" s="6"/>
      <c r="IC152" s="4"/>
      <c r="ID152" s="6"/>
      <c r="IE152" s="5"/>
      <c r="IF152" s="5"/>
      <c r="IG152" s="4"/>
      <c r="IH152" s="6"/>
      <c r="II152" s="4"/>
      <c r="IJ152" s="6"/>
      <c r="IK152" s="5"/>
      <c r="IL152" s="5"/>
      <c r="IM152" s="4"/>
      <c r="IN152" s="6"/>
      <c r="IO152" s="4"/>
      <c r="IP152" s="6"/>
      <c r="IQ152" s="5"/>
      <c r="IR152" s="5"/>
      <c r="IS152" s="4"/>
      <c r="IT152" s="6"/>
      <c r="IU152" s="4"/>
      <c r="IV152" s="6"/>
      <c r="IW152" s="5"/>
      <c r="IX152" s="5"/>
      <c r="IY152" s="4"/>
      <c r="IZ152" s="6"/>
      <c r="JA152" s="4"/>
      <c r="JB152" s="6"/>
      <c r="JC152" s="5"/>
      <c r="JD152" s="5"/>
      <c r="JE152" s="4"/>
      <c r="JF152" s="6"/>
      <c r="JG152" s="4"/>
      <c r="JH152" s="6"/>
      <c r="JI152" s="5"/>
      <c r="JJ152" s="5"/>
      <c r="JK152" s="4">
        <v>217</v>
      </c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</row>
    <row r="153">
      <c r="A153" s="3" t="s">
        <v>136</v>
      </c>
      <c r="B153" s="3" t="s">
        <v>164</v>
      </c>
      <c r="C153" s="3" t="s">
        <v>138</v>
      </c>
      <c r="D153" s="3" t="s">
        <v>139</v>
      </c>
      <c r="E153" s="3" t="s">
        <v>170</v>
      </c>
      <c r="F153" s="3" t="s">
        <v>170</v>
      </c>
      <c r="G153" s="3" t="s">
        <v>170</v>
      </c>
      <c r="H153" s="3" t="s">
        <v>171</v>
      </c>
      <c r="I153" s="3" t="s">
        <v>240</v>
      </c>
      <c r="J153" s="3" t="s">
        <v>241</v>
      </c>
      <c r="K153" s="4">
        <v>272</v>
      </c>
      <c r="L153" s="4">
        <f>=ROUNDDOWN(27.2,0)</f>
      </c>
      <c r="M153" s="4"/>
      <c r="N153" s="5"/>
      <c r="O153" s="4"/>
      <c r="P153" s="4">
        <f>=ROUNDDOWN({0},0)</f>
      </c>
      <c r="Q153" s="4"/>
      <c r="R153" s="5"/>
      <c r="S153" s="4">
        <v>29</v>
      </c>
      <c r="T153" s="6">
        <v>886.84</v>
      </c>
      <c r="U153" s="4">
        <v>3</v>
      </c>
      <c r="V153" s="6">
        <v>105.96</v>
      </c>
      <c r="W153" s="5">
        <v>8.6667</v>
      </c>
      <c r="X153" s="5">
        <v>7.3696</v>
      </c>
      <c r="Y153" s="4"/>
      <c r="Z153" s="6"/>
      <c r="AA153" s="4"/>
      <c r="AB153" s="6"/>
      <c r="AC153" s="5"/>
      <c r="AD153" s="5"/>
      <c r="AE153" s="4">
        <v>10</v>
      </c>
      <c r="AF153" s="6">
        <v>308.34</v>
      </c>
      <c r="AG153" s="4"/>
      <c r="AH153" s="6"/>
      <c r="AI153" s="5"/>
      <c r="AJ153" s="5"/>
      <c r="AK153" s="4"/>
      <c r="AL153" s="6"/>
      <c r="AM153" s="4"/>
      <c r="AN153" s="6"/>
      <c r="AO153" s="5"/>
      <c r="AP153" s="5"/>
      <c r="AQ153" s="4">
        <v>1</v>
      </c>
      <c r="AR153" s="6">
        <v>30.8</v>
      </c>
      <c r="AS153" s="4"/>
      <c r="AT153" s="6"/>
      <c r="AU153" s="5"/>
      <c r="AV153" s="5"/>
      <c r="AW153" s="4">
        <v>4</v>
      </c>
      <c r="AX153" s="6">
        <v>129.48</v>
      </c>
      <c r="AY153" s="4"/>
      <c r="AZ153" s="6"/>
      <c r="BA153" s="5"/>
      <c r="BB153" s="5"/>
      <c r="BC153" s="4">
        <v>3</v>
      </c>
      <c r="BD153" s="6">
        <v>93.12</v>
      </c>
      <c r="BE153" s="4">
        <v>2</v>
      </c>
      <c r="BF153" s="6">
        <v>73.26</v>
      </c>
      <c r="BG153" s="5">
        <v>0.5</v>
      </c>
      <c r="BH153" s="5">
        <v>0.2711</v>
      </c>
      <c r="BI153" s="4">
        <v>2</v>
      </c>
      <c r="BJ153" s="6">
        <v>70.37</v>
      </c>
      <c r="BK153" s="4">
        <v>1</v>
      </c>
      <c r="BL153" s="6">
        <v>32.7</v>
      </c>
      <c r="BM153" s="5">
        <v>1</v>
      </c>
      <c r="BN153" s="5">
        <v>1.152</v>
      </c>
      <c r="BO153" s="4">
        <v>4</v>
      </c>
      <c r="BP153" s="6">
        <v>83.28</v>
      </c>
      <c r="BQ153" s="4"/>
      <c r="BR153" s="6"/>
      <c r="BS153" s="5"/>
      <c r="BT153" s="5"/>
      <c r="BU153" s="4">
        <v>4</v>
      </c>
      <c r="BV153" s="6">
        <v>132.03</v>
      </c>
      <c r="BW153" s="4"/>
      <c r="BX153" s="6"/>
      <c r="BY153" s="5"/>
      <c r="BZ153" s="5"/>
      <c r="CA153" s="4">
        <v>1</v>
      </c>
      <c r="CB153" s="6">
        <v>39.42</v>
      </c>
      <c r="CC153" s="4"/>
      <c r="CD153" s="6"/>
      <c r="CE153" s="5"/>
      <c r="CF153" s="5"/>
      <c r="CG153" s="4"/>
      <c r="CH153" s="6"/>
      <c r="CI153" s="4"/>
      <c r="CJ153" s="6"/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/>
      <c r="DF153" s="6"/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/>
      <c r="EJ153" s="6"/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/>
      <c r="FV153" s="6"/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  <c r="IA153" s="4"/>
      <c r="IB153" s="6"/>
      <c r="IC153" s="4"/>
      <c r="ID153" s="6"/>
      <c r="IE153" s="5"/>
      <c r="IF153" s="5"/>
      <c r="IG153" s="4"/>
      <c r="IH153" s="6"/>
      <c r="II153" s="4"/>
      <c r="IJ153" s="6"/>
      <c r="IK153" s="5"/>
      <c r="IL153" s="5"/>
      <c r="IM153" s="4"/>
      <c r="IN153" s="6"/>
      <c r="IO153" s="4"/>
      <c r="IP153" s="6"/>
      <c r="IQ153" s="5"/>
      <c r="IR153" s="5"/>
      <c r="IS153" s="4"/>
      <c r="IT153" s="6"/>
      <c r="IU153" s="4"/>
      <c r="IV153" s="6"/>
      <c r="IW153" s="5"/>
      <c r="IX153" s="5"/>
      <c r="IY153" s="4"/>
      <c r="IZ153" s="6"/>
      <c r="JA153" s="4"/>
      <c r="JB153" s="6"/>
      <c r="JC153" s="5"/>
      <c r="JD153" s="5"/>
      <c r="JE153" s="4"/>
      <c r="JF153" s="6"/>
      <c r="JG153" s="4"/>
      <c r="JH153" s="6"/>
      <c r="JI153" s="5"/>
      <c r="JJ153" s="5"/>
      <c r="JK153" s="4">
        <v>272</v>
      </c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</row>
    <row r="154">
      <c r="A154" s="3" t="s">
        <v>136</v>
      </c>
      <c r="B154" s="3" t="s">
        <v>172</v>
      </c>
      <c r="C154" s="3" t="s">
        <v>138</v>
      </c>
      <c r="D154" s="3" t="s">
        <v>139</v>
      </c>
      <c r="E154" s="3" t="s">
        <v>173</v>
      </c>
      <c r="F154" s="3" t="s">
        <v>173</v>
      </c>
      <c r="G154" s="3" t="s">
        <v>173</v>
      </c>
      <c r="H154" s="3" t="s">
        <v>167</v>
      </c>
      <c r="I154" s="3" t="s">
        <v>277</v>
      </c>
      <c r="J154" s="3" t="s">
        <v>228</v>
      </c>
      <c r="K154" s="4">
        <v>833</v>
      </c>
      <c r="L154" s="4">
        <f>=ROUNDDOWN(15.4259259259259,0)</f>
      </c>
      <c r="M154" s="4">
        <v>275</v>
      </c>
      <c r="N154" s="5">
        <v>0.6735</v>
      </c>
      <c r="O154" s="4"/>
      <c r="P154" s="4">
        <f>=ROUNDDOWN({0},0)</f>
      </c>
      <c r="Q154" s="4"/>
      <c r="R154" s="5"/>
      <c r="S154" s="4">
        <v>678</v>
      </c>
      <c r="T154" s="6">
        <v>15301.44</v>
      </c>
      <c r="U154" s="4"/>
      <c r="V154" s="6"/>
      <c r="W154" s="5"/>
      <c r="X154" s="5"/>
      <c r="Y154" s="4">
        <v>17</v>
      </c>
      <c r="Z154" s="6">
        <v>425.5</v>
      </c>
      <c r="AA154" s="4"/>
      <c r="AB154" s="6"/>
      <c r="AC154" s="5"/>
      <c r="AD154" s="5"/>
      <c r="AE154" s="4">
        <v>15</v>
      </c>
      <c r="AF154" s="6">
        <v>379.91</v>
      </c>
      <c r="AG154" s="4"/>
      <c r="AH154" s="6"/>
      <c r="AI154" s="5"/>
      <c r="AJ154" s="5"/>
      <c r="AK154" s="4"/>
      <c r="AL154" s="6"/>
      <c r="AM154" s="4"/>
      <c r="AN154" s="6"/>
      <c r="AO154" s="5"/>
      <c r="AP154" s="5"/>
      <c r="AQ154" s="4">
        <v>546</v>
      </c>
      <c r="AR154" s="6">
        <v>12307.97</v>
      </c>
      <c r="AS154" s="4"/>
      <c r="AT154" s="6"/>
      <c r="AU154" s="5"/>
      <c r="AV154" s="5"/>
      <c r="AW154" s="4">
        <v>7</v>
      </c>
      <c r="AX154" s="6">
        <v>137.04</v>
      </c>
      <c r="AY154" s="4"/>
      <c r="AZ154" s="6"/>
      <c r="BA154" s="5"/>
      <c r="BB154" s="5"/>
      <c r="BC154" s="4">
        <v>15</v>
      </c>
      <c r="BD154" s="6">
        <v>359.5</v>
      </c>
      <c r="BE154" s="4"/>
      <c r="BF154" s="6"/>
      <c r="BG154" s="5"/>
      <c r="BH154" s="5"/>
      <c r="BI154" s="4">
        <v>20</v>
      </c>
      <c r="BJ154" s="6">
        <v>378.95</v>
      </c>
      <c r="BK154" s="4"/>
      <c r="BL154" s="6"/>
      <c r="BM154" s="5"/>
      <c r="BN154" s="5"/>
      <c r="BO154" s="4">
        <v>1</v>
      </c>
      <c r="BP154" s="6">
        <v>24.45</v>
      </c>
      <c r="BQ154" s="4"/>
      <c r="BR154" s="6"/>
      <c r="BS154" s="5"/>
      <c r="BT154" s="5"/>
      <c r="BU154" s="4"/>
      <c r="BV154" s="6"/>
      <c r="BW154" s="4"/>
      <c r="BX154" s="6"/>
      <c r="BY154" s="5"/>
      <c r="BZ154" s="5"/>
      <c r="CA154" s="4"/>
      <c r="CB154" s="6"/>
      <c r="CC154" s="4"/>
      <c r="CD154" s="6"/>
      <c r="CE154" s="5"/>
      <c r="CF154" s="5"/>
      <c r="CG154" s="4">
        <v>55</v>
      </c>
      <c r="CH154" s="6">
        <v>1224.03</v>
      </c>
      <c r="CI154" s="4"/>
      <c r="CJ154" s="6"/>
      <c r="CK154" s="5"/>
      <c r="CL154" s="5"/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/>
      <c r="DH154" s="6"/>
      <c r="DI154" s="5"/>
      <c r="DJ154" s="5"/>
      <c r="DK154" s="4">
        <v>2</v>
      </c>
      <c r="DL154" s="6">
        <v>64.09</v>
      </c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  <c r="IA154" s="4"/>
      <c r="IB154" s="6"/>
      <c r="IC154" s="4"/>
      <c r="ID154" s="6"/>
      <c r="IE154" s="5"/>
      <c r="IF154" s="5"/>
      <c r="IG154" s="4"/>
      <c r="IH154" s="6"/>
      <c r="II154" s="4"/>
      <c r="IJ154" s="6"/>
      <c r="IK154" s="5"/>
      <c r="IL154" s="5"/>
      <c r="IM154" s="4"/>
      <c r="IN154" s="6"/>
      <c r="IO154" s="4"/>
      <c r="IP154" s="6"/>
      <c r="IQ154" s="5"/>
      <c r="IR154" s="5"/>
      <c r="IS154" s="4"/>
      <c r="IT154" s="6"/>
      <c r="IU154" s="4"/>
      <c r="IV154" s="6"/>
      <c r="IW154" s="5"/>
      <c r="IX154" s="5"/>
      <c r="IY154" s="4"/>
      <c r="IZ154" s="6"/>
      <c r="JA154" s="4"/>
      <c r="JB154" s="6"/>
      <c r="JC154" s="5"/>
      <c r="JD154" s="5"/>
      <c r="JE154" s="4"/>
      <c r="JF154" s="6"/>
      <c r="JG154" s="4"/>
      <c r="JH154" s="6"/>
      <c r="JI154" s="5"/>
      <c r="JJ154" s="5"/>
      <c r="JK154" s="4">
        <v>833</v>
      </c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>
        <v>275</v>
      </c>
      <c r="LF154" s="4"/>
      <c r="LG154" s="4"/>
      <c r="LH154" s="4"/>
      <c r="LI154" s="4"/>
      <c r="LJ154" s="4"/>
      <c r="LK154" s="4"/>
      <c r="LL154" s="4"/>
      <c r="LM154" s="4"/>
    </row>
    <row r="155">
      <c r="A155" s="3" t="s">
        <v>136</v>
      </c>
      <c r="B155" s="3" t="s">
        <v>172</v>
      </c>
      <c r="C155" s="3" t="s">
        <v>138</v>
      </c>
      <c r="D155" s="3" t="s">
        <v>139</v>
      </c>
      <c r="E155" s="3" t="s">
        <v>173</v>
      </c>
      <c r="F155" s="3" t="s">
        <v>173</v>
      </c>
      <c r="G155" s="3" t="s">
        <v>173</v>
      </c>
      <c r="H155" s="3" t="s">
        <v>167</v>
      </c>
      <c r="I155" s="3" t="s">
        <v>278</v>
      </c>
      <c r="J155" s="3" t="s">
        <v>242</v>
      </c>
      <c r="K155" s="4">
        <v>19</v>
      </c>
      <c r="L155" s="4">
        <f>=ROUNDDOWN(0.0791666666666667,0)</f>
      </c>
      <c r="M155" s="4">
        <v>2343</v>
      </c>
      <c r="N155" s="5">
        <v>0.3976</v>
      </c>
      <c r="O155" s="4"/>
      <c r="P155" s="4">
        <f>=ROUNDDOWN({0},0)</f>
      </c>
      <c r="Q155" s="4"/>
      <c r="R155" s="5"/>
      <c r="S155" s="4">
        <v>577</v>
      </c>
      <c r="T155" s="6">
        <v>13473.83</v>
      </c>
      <c r="U155" s="4">
        <v>386</v>
      </c>
      <c r="V155" s="6">
        <v>10183.81</v>
      </c>
      <c r="W155" s="5">
        <v>0.4948</v>
      </c>
      <c r="X155" s="5">
        <v>0.3231</v>
      </c>
      <c r="Y155" s="4">
        <v>162</v>
      </c>
      <c r="Z155" s="6">
        <v>3969.19</v>
      </c>
      <c r="AA155" s="4">
        <v>106</v>
      </c>
      <c r="AB155" s="6">
        <v>2807.94</v>
      </c>
      <c r="AC155" s="5">
        <v>0.5283</v>
      </c>
      <c r="AD155" s="5">
        <v>0.4136</v>
      </c>
      <c r="AE155" s="4">
        <v>9</v>
      </c>
      <c r="AF155" s="6">
        <v>214.58</v>
      </c>
      <c r="AG155" s="4">
        <v>4</v>
      </c>
      <c r="AH155" s="6">
        <v>107.28</v>
      </c>
      <c r="AI155" s="5">
        <v>1.25</v>
      </c>
      <c r="AJ155" s="5">
        <v>1.0002</v>
      </c>
      <c r="AK155" s="4"/>
      <c r="AL155" s="6"/>
      <c r="AM155" s="4"/>
      <c r="AN155" s="6"/>
      <c r="AO155" s="5"/>
      <c r="AP155" s="5"/>
      <c r="AQ155" s="4">
        <v>140</v>
      </c>
      <c r="AR155" s="6">
        <v>3474.28</v>
      </c>
      <c r="AS155" s="4">
        <v>134</v>
      </c>
      <c r="AT155" s="6">
        <v>3471.02</v>
      </c>
      <c r="AU155" s="5">
        <v>0.0448</v>
      </c>
      <c r="AV155" s="5">
        <v>0.0009</v>
      </c>
      <c r="AW155" s="4">
        <v>15</v>
      </c>
      <c r="AX155" s="6">
        <v>352.75</v>
      </c>
      <c r="AY155" s="4">
        <v>7</v>
      </c>
      <c r="AZ155" s="6">
        <v>190.47</v>
      </c>
      <c r="BA155" s="5">
        <v>1.1429</v>
      </c>
      <c r="BB155" s="5">
        <v>0.852</v>
      </c>
      <c r="BC155" s="4">
        <v>148</v>
      </c>
      <c r="BD155" s="6">
        <v>3192.05</v>
      </c>
      <c r="BE155" s="4">
        <v>67</v>
      </c>
      <c r="BF155" s="6">
        <v>1849.53</v>
      </c>
      <c r="BG155" s="5">
        <v>1.209</v>
      </c>
      <c r="BH155" s="5">
        <v>0.7259</v>
      </c>
      <c r="BI155" s="4">
        <v>10</v>
      </c>
      <c r="BJ155" s="6">
        <v>244.42</v>
      </c>
      <c r="BK155" s="4">
        <v>7</v>
      </c>
      <c r="BL155" s="6">
        <v>177.52</v>
      </c>
      <c r="BM155" s="5">
        <v>0.4286</v>
      </c>
      <c r="BN155" s="5">
        <v>0.3769</v>
      </c>
      <c r="BO155" s="4">
        <v>21</v>
      </c>
      <c r="BP155" s="6">
        <v>431.12</v>
      </c>
      <c r="BQ155" s="4">
        <v>33</v>
      </c>
      <c r="BR155" s="6">
        <v>839.56</v>
      </c>
      <c r="BS155" s="5">
        <v>-0.3636</v>
      </c>
      <c r="BT155" s="5">
        <v>-0.4865</v>
      </c>
      <c r="BU155" s="4">
        <v>7</v>
      </c>
      <c r="BV155" s="6">
        <v>155.29</v>
      </c>
      <c r="BW155" s="4">
        <v>12</v>
      </c>
      <c r="BX155" s="6">
        <v>326.4</v>
      </c>
      <c r="BY155" s="5">
        <v>-0.4167</v>
      </c>
      <c r="BZ155" s="5">
        <v>-0.5242</v>
      </c>
      <c r="CA155" s="4">
        <v>4</v>
      </c>
      <c r="CB155" s="6">
        <v>84.97</v>
      </c>
      <c r="CC155" s="4">
        <v>4</v>
      </c>
      <c r="CD155" s="6">
        <v>95.09</v>
      </c>
      <c r="CE155" s="5"/>
      <c r="CF155" s="5">
        <v>-0.1064</v>
      </c>
      <c r="CG155" s="4">
        <v>50</v>
      </c>
      <c r="CH155" s="6">
        <v>1105.23</v>
      </c>
      <c r="CI155" s="4"/>
      <c r="CJ155" s="6"/>
      <c r="CK155" s="5"/>
      <c r="CL155" s="5"/>
      <c r="CM155" s="4"/>
      <c r="CN155" s="6"/>
      <c r="CO155" s="4"/>
      <c r="CP155" s="6"/>
      <c r="CQ155" s="5"/>
      <c r="CR155" s="5"/>
      <c r="CS155" s="4"/>
      <c r="CT155" s="6"/>
      <c r="CU155" s="4">
        <v>1</v>
      </c>
      <c r="CV155" s="6">
        <v>25.91</v>
      </c>
      <c r="CW155" s="5"/>
      <c r="CX155" s="5"/>
      <c r="CY155" s="4">
        <v>10</v>
      </c>
      <c r="CZ155" s="6">
        <v>209.54</v>
      </c>
      <c r="DA155" s="4"/>
      <c r="DB155" s="6"/>
      <c r="DC155" s="5"/>
      <c r="DD155" s="5"/>
      <c r="DE155" s="4"/>
      <c r="DF155" s="6"/>
      <c r="DG155" s="4"/>
      <c r="DH155" s="6"/>
      <c r="DI155" s="5"/>
      <c r="DJ155" s="5"/>
      <c r="DK155" s="4">
        <v>1</v>
      </c>
      <c r="DL155" s="6">
        <v>40.41</v>
      </c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/>
      <c r="ED155" s="6"/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>
        <v>1</v>
      </c>
      <c r="EX155" s="6">
        <v>32.78</v>
      </c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>
        <v>6</v>
      </c>
      <c r="FV155" s="6">
        <v>156.67</v>
      </c>
      <c r="FW155" s="5"/>
      <c r="FX155" s="5"/>
      <c r="FY155" s="4"/>
      <c r="FZ155" s="6"/>
      <c r="GA155" s="4">
        <v>4</v>
      </c>
      <c r="GB155" s="6">
        <v>103.64</v>
      </c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  <c r="IA155" s="4"/>
      <c r="IB155" s="6"/>
      <c r="IC155" s="4"/>
      <c r="ID155" s="6"/>
      <c r="IE155" s="5"/>
      <c r="IF155" s="5"/>
      <c r="IG155" s="4"/>
      <c r="IH155" s="6"/>
      <c r="II155" s="4"/>
      <c r="IJ155" s="6"/>
      <c r="IK155" s="5"/>
      <c r="IL155" s="5"/>
      <c r="IM155" s="4"/>
      <c r="IN155" s="6"/>
      <c r="IO155" s="4"/>
      <c r="IP155" s="6"/>
      <c r="IQ155" s="5"/>
      <c r="IR155" s="5"/>
      <c r="IS155" s="4"/>
      <c r="IT155" s="6"/>
      <c r="IU155" s="4"/>
      <c r="IV155" s="6"/>
      <c r="IW155" s="5"/>
      <c r="IX155" s="5"/>
      <c r="IY155" s="4"/>
      <c r="IZ155" s="6"/>
      <c r="JA155" s="4"/>
      <c r="JB155" s="6"/>
      <c r="JC155" s="5"/>
      <c r="JD155" s="5"/>
      <c r="JE155" s="4"/>
      <c r="JF155" s="6"/>
      <c r="JG155" s="4"/>
      <c r="JH155" s="6"/>
      <c r="JI155" s="5"/>
      <c r="JJ155" s="5"/>
      <c r="JK155" s="4">
        <v>19</v>
      </c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>
        <v>2343</v>
      </c>
      <c r="LF155" s="4"/>
      <c r="LG155" s="4"/>
      <c r="LH155" s="4"/>
      <c r="LI155" s="4"/>
      <c r="LJ155" s="4"/>
      <c r="LK155" s="4"/>
      <c r="LL155" s="4"/>
      <c r="LM155" s="4"/>
    </row>
    <row r="156">
      <c r="A156" s="3" t="s">
        <v>136</v>
      </c>
      <c r="B156" s="3" t="s">
        <v>172</v>
      </c>
      <c r="C156" s="3" t="s">
        <v>138</v>
      </c>
      <c r="D156" s="3" t="s">
        <v>139</v>
      </c>
      <c r="E156" s="3" t="s">
        <v>173</v>
      </c>
      <c r="F156" s="3" t="s">
        <v>173</v>
      </c>
      <c r="G156" s="3" t="s">
        <v>173</v>
      </c>
      <c r="H156" s="3" t="s">
        <v>167</v>
      </c>
      <c r="I156" s="3" t="s">
        <v>279</v>
      </c>
      <c r="J156" s="3" t="s">
        <v>228</v>
      </c>
      <c r="K156" s="4">
        <v>1888</v>
      </c>
      <c r="L156" s="4">
        <f>=ROUNDDOWN(33.7142857142857,0)</f>
      </c>
      <c r="M156" s="4">
        <v>165</v>
      </c>
      <c r="N156" s="5">
        <v>1</v>
      </c>
      <c r="O156" s="4"/>
      <c r="P156" s="4">
        <f>=ROUNDDOWN({0},0)</f>
      </c>
      <c r="Q156" s="4"/>
      <c r="R156" s="5"/>
      <c r="S156" s="4">
        <v>595</v>
      </c>
      <c r="T156" s="6">
        <v>12043.44</v>
      </c>
      <c r="U156" s="4"/>
      <c r="V156" s="6"/>
      <c r="W156" s="5"/>
      <c r="X156" s="5"/>
      <c r="Y156" s="4">
        <v>22</v>
      </c>
      <c r="Z156" s="6">
        <v>522.43</v>
      </c>
      <c r="AA156" s="4"/>
      <c r="AB156" s="6"/>
      <c r="AC156" s="5"/>
      <c r="AD156" s="5"/>
      <c r="AE156" s="4">
        <v>4</v>
      </c>
      <c r="AF156" s="6">
        <v>90.82</v>
      </c>
      <c r="AG156" s="4"/>
      <c r="AH156" s="6"/>
      <c r="AI156" s="5"/>
      <c r="AJ156" s="5"/>
      <c r="AK156" s="4"/>
      <c r="AL156" s="6"/>
      <c r="AM156" s="4"/>
      <c r="AN156" s="6"/>
      <c r="AO156" s="5"/>
      <c r="AP156" s="5"/>
      <c r="AQ156" s="4">
        <v>327</v>
      </c>
      <c r="AR156" s="6">
        <v>6299.45</v>
      </c>
      <c r="AS156" s="4"/>
      <c r="AT156" s="6"/>
      <c r="AU156" s="5"/>
      <c r="AV156" s="5"/>
      <c r="AW156" s="4">
        <v>12</v>
      </c>
      <c r="AX156" s="6">
        <v>270.46</v>
      </c>
      <c r="AY156" s="4"/>
      <c r="AZ156" s="6"/>
      <c r="BA156" s="5"/>
      <c r="BB156" s="5"/>
      <c r="BC156" s="4">
        <v>90</v>
      </c>
      <c r="BD156" s="6">
        <v>1898.61</v>
      </c>
      <c r="BE156" s="4"/>
      <c r="BF156" s="6"/>
      <c r="BG156" s="5"/>
      <c r="BH156" s="5"/>
      <c r="BI156" s="4">
        <v>81</v>
      </c>
      <c r="BJ156" s="6">
        <v>1818.78</v>
      </c>
      <c r="BK156" s="4"/>
      <c r="BL156" s="6"/>
      <c r="BM156" s="5"/>
      <c r="BN156" s="5"/>
      <c r="BO156" s="4">
        <v>9</v>
      </c>
      <c r="BP156" s="6">
        <v>166.56</v>
      </c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>
        <v>2</v>
      </c>
      <c r="CB156" s="6">
        <v>31.26</v>
      </c>
      <c r="CC156" s="4"/>
      <c r="CD156" s="6"/>
      <c r="CE156" s="5"/>
      <c r="CF156" s="5"/>
      <c r="CG156" s="4">
        <v>47</v>
      </c>
      <c r="CH156" s="6">
        <v>910.08</v>
      </c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>
        <v>1</v>
      </c>
      <c r="DL156" s="6">
        <v>34.99</v>
      </c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  <c r="IA156" s="4"/>
      <c r="IB156" s="6"/>
      <c r="IC156" s="4"/>
      <c r="ID156" s="6"/>
      <c r="IE156" s="5"/>
      <c r="IF156" s="5"/>
      <c r="IG156" s="4"/>
      <c r="IH156" s="6"/>
      <c r="II156" s="4"/>
      <c r="IJ156" s="6"/>
      <c r="IK156" s="5"/>
      <c r="IL156" s="5"/>
      <c r="IM156" s="4"/>
      <c r="IN156" s="6"/>
      <c r="IO156" s="4"/>
      <c r="IP156" s="6"/>
      <c r="IQ156" s="5"/>
      <c r="IR156" s="5"/>
      <c r="IS156" s="4"/>
      <c r="IT156" s="6"/>
      <c r="IU156" s="4"/>
      <c r="IV156" s="6"/>
      <c r="IW156" s="5"/>
      <c r="IX156" s="5"/>
      <c r="IY156" s="4"/>
      <c r="IZ156" s="6"/>
      <c r="JA156" s="4"/>
      <c r="JB156" s="6"/>
      <c r="JC156" s="5"/>
      <c r="JD156" s="5"/>
      <c r="JE156" s="4"/>
      <c r="JF156" s="6"/>
      <c r="JG156" s="4"/>
      <c r="JH156" s="6"/>
      <c r="JI156" s="5"/>
      <c r="JJ156" s="5"/>
      <c r="JK156" s="4">
        <v>1888</v>
      </c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>
        <v>165</v>
      </c>
      <c r="LF156" s="4"/>
      <c r="LG156" s="4"/>
      <c r="LH156" s="4"/>
      <c r="LI156" s="4"/>
      <c r="LJ156" s="4"/>
      <c r="LK156" s="4"/>
      <c r="LL156" s="4"/>
      <c r="LM156" s="4"/>
    </row>
    <row r="157">
      <c r="A157" s="3" t="s">
        <v>136</v>
      </c>
      <c r="B157" s="3" t="s">
        <v>172</v>
      </c>
      <c r="C157" s="3" t="s">
        <v>138</v>
      </c>
      <c r="D157" s="3" t="s">
        <v>139</v>
      </c>
      <c r="E157" s="3" t="s">
        <v>173</v>
      </c>
      <c r="F157" s="3" t="s">
        <v>173</v>
      </c>
      <c r="G157" s="3" t="s">
        <v>173</v>
      </c>
      <c r="H157" s="3" t="s">
        <v>167</v>
      </c>
      <c r="I157" s="3" t="s">
        <v>280</v>
      </c>
      <c r="J157" s="3" t="s">
        <v>228</v>
      </c>
      <c r="K157" s="4">
        <v>32</v>
      </c>
      <c r="L157" s="4">
        <f>=ROUNDDOWN(0.242424242424242,0)</f>
      </c>
      <c r="M157" s="4">
        <v>1327</v>
      </c>
      <c r="N157" s="5">
        <v>0.4964</v>
      </c>
      <c r="O157" s="4"/>
      <c r="P157" s="4">
        <f>=ROUNDDOWN({0},0)</f>
      </c>
      <c r="Q157" s="4"/>
      <c r="R157" s="5"/>
      <c r="S157" s="4">
        <v>511</v>
      </c>
      <c r="T157" s="6">
        <v>11198.29</v>
      </c>
      <c r="U157" s="4">
        <v>570</v>
      </c>
      <c r="V157" s="6">
        <v>13930.79</v>
      </c>
      <c r="W157" s="5">
        <v>-0.1035</v>
      </c>
      <c r="X157" s="5">
        <v>-0.1961</v>
      </c>
      <c r="Y157" s="4">
        <v>49</v>
      </c>
      <c r="Z157" s="6">
        <v>1166.81</v>
      </c>
      <c r="AA157" s="4">
        <v>118</v>
      </c>
      <c r="AB157" s="6">
        <v>2990.32</v>
      </c>
      <c r="AC157" s="5">
        <v>-0.5847</v>
      </c>
      <c r="AD157" s="5">
        <v>-0.6098</v>
      </c>
      <c r="AE157" s="4">
        <v>10</v>
      </c>
      <c r="AF157" s="6">
        <v>235.28</v>
      </c>
      <c r="AG157" s="4">
        <v>1</v>
      </c>
      <c r="AH157" s="6">
        <v>26.82</v>
      </c>
      <c r="AI157" s="5">
        <v>9</v>
      </c>
      <c r="AJ157" s="5">
        <v>7.7726</v>
      </c>
      <c r="AK157" s="4"/>
      <c r="AL157" s="6"/>
      <c r="AM157" s="4"/>
      <c r="AN157" s="6"/>
      <c r="AO157" s="5"/>
      <c r="AP157" s="5"/>
      <c r="AQ157" s="4">
        <v>115</v>
      </c>
      <c r="AR157" s="6">
        <v>2570.43</v>
      </c>
      <c r="AS157" s="4">
        <v>171</v>
      </c>
      <c r="AT157" s="6">
        <v>4013.4</v>
      </c>
      <c r="AU157" s="5">
        <v>-0.3275</v>
      </c>
      <c r="AV157" s="5">
        <v>-0.3595</v>
      </c>
      <c r="AW157" s="4">
        <v>19</v>
      </c>
      <c r="AX157" s="6">
        <v>446.72</v>
      </c>
      <c r="AY157" s="4">
        <v>13</v>
      </c>
      <c r="AZ157" s="6">
        <v>342.6</v>
      </c>
      <c r="BA157" s="5">
        <v>0.4615</v>
      </c>
      <c r="BB157" s="5">
        <v>0.3039</v>
      </c>
      <c r="BC157" s="4">
        <v>89</v>
      </c>
      <c r="BD157" s="6">
        <v>1862.95</v>
      </c>
      <c r="BE157" s="4">
        <v>96</v>
      </c>
      <c r="BF157" s="6">
        <v>2330.71</v>
      </c>
      <c r="BG157" s="5">
        <v>-0.0729</v>
      </c>
      <c r="BH157" s="5">
        <v>-0.2007</v>
      </c>
      <c r="BI157" s="4">
        <v>36</v>
      </c>
      <c r="BJ157" s="6">
        <v>837.2</v>
      </c>
      <c r="BK157" s="4">
        <v>22</v>
      </c>
      <c r="BL157" s="6">
        <v>583.32</v>
      </c>
      <c r="BM157" s="5">
        <v>0.6364</v>
      </c>
      <c r="BN157" s="5">
        <v>0.4352</v>
      </c>
      <c r="BO157" s="4">
        <v>8</v>
      </c>
      <c r="BP157" s="6">
        <v>158.04</v>
      </c>
      <c r="BQ157" s="4">
        <v>6</v>
      </c>
      <c r="BR157" s="6">
        <v>129.81</v>
      </c>
      <c r="BS157" s="5">
        <v>0.3333</v>
      </c>
      <c r="BT157" s="5">
        <v>0.2175</v>
      </c>
      <c r="BU157" s="4">
        <v>14</v>
      </c>
      <c r="BV157" s="6">
        <v>373.25</v>
      </c>
      <c r="BW157" s="4">
        <v>30</v>
      </c>
      <c r="BX157" s="6">
        <v>757.8</v>
      </c>
      <c r="BY157" s="5">
        <v>-0.5333</v>
      </c>
      <c r="BZ157" s="5">
        <v>-0.5075</v>
      </c>
      <c r="CA157" s="4"/>
      <c r="CB157" s="6"/>
      <c r="CC157" s="4">
        <v>1</v>
      </c>
      <c r="CD157" s="6">
        <v>22.82</v>
      </c>
      <c r="CE157" s="5"/>
      <c r="CF157" s="5"/>
      <c r="CG157" s="4">
        <v>125</v>
      </c>
      <c r="CH157" s="6">
        <v>2593.58</v>
      </c>
      <c r="CI157" s="4">
        <v>61</v>
      </c>
      <c r="CJ157" s="6">
        <v>1599.38</v>
      </c>
      <c r="CK157" s="5">
        <v>1.0492</v>
      </c>
      <c r="CL157" s="5">
        <v>0.6216</v>
      </c>
      <c r="CM157" s="4"/>
      <c r="CN157" s="6"/>
      <c r="CO157" s="4"/>
      <c r="CP157" s="6"/>
      <c r="CQ157" s="5"/>
      <c r="CR157" s="5"/>
      <c r="CS157" s="4">
        <v>2</v>
      </c>
      <c r="CT157" s="6">
        <v>37.72</v>
      </c>
      <c r="CU157" s="4">
        <v>6</v>
      </c>
      <c r="CV157" s="6">
        <v>127.34</v>
      </c>
      <c r="CW157" s="5">
        <v>-0.6667</v>
      </c>
      <c r="CX157" s="5">
        <v>-0.7038</v>
      </c>
      <c r="CY157" s="4">
        <v>42</v>
      </c>
      <c r="CZ157" s="6">
        <v>824.57</v>
      </c>
      <c r="DA157" s="4">
        <v>41</v>
      </c>
      <c r="DB157" s="6">
        <v>914.33</v>
      </c>
      <c r="DC157" s="5">
        <v>0.0244</v>
      </c>
      <c r="DD157" s="5">
        <v>-0.0982</v>
      </c>
      <c r="DE157" s="4"/>
      <c r="DF157" s="6"/>
      <c r="DG157" s="4"/>
      <c r="DH157" s="6"/>
      <c r="DI157" s="5"/>
      <c r="DJ157" s="5"/>
      <c r="DK157" s="4">
        <v>2</v>
      </c>
      <c r="DL157" s="6">
        <v>91.74</v>
      </c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>
        <v>4</v>
      </c>
      <c r="FV157" s="6">
        <v>92.14</v>
      </c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  <c r="IA157" s="4"/>
      <c r="IB157" s="6"/>
      <c r="IC157" s="4"/>
      <c r="ID157" s="6"/>
      <c r="IE157" s="5"/>
      <c r="IF157" s="5"/>
      <c r="IG157" s="4"/>
      <c r="IH157" s="6"/>
      <c r="II157" s="4"/>
      <c r="IJ157" s="6"/>
      <c r="IK157" s="5"/>
      <c r="IL157" s="5"/>
      <c r="IM157" s="4"/>
      <c r="IN157" s="6"/>
      <c r="IO157" s="4"/>
      <c r="IP157" s="6"/>
      <c r="IQ157" s="5"/>
      <c r="IR157" s="5"/>
      <c r="IS157" s="4"/>
      <c r="IT157" s="6"/>
      <c r="IU157" s="4"/>
      <c r="IV157" s="6"/>
      <c r="IW157" s="5"/>
      <c r="IX157" s="5"/>
      <c r="IY157" s="4"/>
      <c r="IZ157" s="6"/>
      <c r="JA157" s="4"/>
      <c r="JB157" s="6"/>
      <c r="JC157" s="5"/>
      <c r="JD157" s="5"/>
      <c r="JE157" s="4"/>
      <c r="JF157" s="6"/>
      <c r="JG157" s="4"/>
      <c r="JH157" s="6"/>
      <c r="JI157" s="5"/>
      <c r="JJ157" s="5"/>
      <c r="JK157" s="4">
        <v>32</v>
      </c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>
        <v>1327</v>
      </c>
      <c r="LF157" s="4"/>
      <c r="LG157" s="4"/>
      <c r="LH157" s="4"/>
      <c r="LI157" s="4"/>
      <c r="LJ157" s="4"/>
      <c r="LK157" s="4"/>
      <c r="LL157" s="4"/>
      <c r="LM157" s="4"/>
    </row>
    <row r="158">
      <c r="A158" s="3" t="s">
        <v>136</v>
      </c>
      <c r="B158" s="3" t="s">
        <v>172</v>
      </c>
      <c r="C158" s="3" t="s">
        <v>138</v>
      </c>
      <c r="D158" s="3" t="s">
        <v>139</v>
      </c>
      <c r="E158" s="3" t="s">
        <v>173</v>
      </c>
      <c r="F158" s="3" t="s">
        <v>173</v>
      </c>
      <c r="G158" s="3" t="s">
        <v>173</v>
      </c>
      <c r="H158" s="3" t="s">
        <v>167</v>
      </c>
      <c r="I158" s="3" t="s">
        <v>281</v>
      </c>
      <c r="J158" s="3" t="s">
        <v>242</v>
      </c>
      <c r="K158" s="4">
        <v>69</v>
      </c>
      <c r="L158" s="4">
        <f>=ROUNDDOWN(0.423312883435583,0)</f>
      </c>
      <c r="M158" s="4">
        <v>1592</v>
      </c>
      <c r="N158" s="5">
        <v>0.5434</v>
      </c>
      <c r="O158" s="4"/>
      <c r="P158" s="4">
        <f>=ROUNDDOWN({0},0)</f>
      </c>
      <c r="Q158" s="4"/>
      <c r="R158" s="5"/>
      <c r="S158" s="4">
        <v>437</v>
      </c>
      <c r="T158" s="6">
        <v>10593.96</v>
      </c>
      <c r="U158" s="4">
        <v>214</v>
      </c>
      <c r="V158" s="6">
        <v>5916.65</v>
      </c>
      <c r="W158" s="5">
        <v>1.0421</v>
      </c>
      <c r="X158" s="5">
        <v>0.7905</v>
      </c>
      <c r="Y158" s="4">
        <v>97</v>
      </c>
      <c r="Z158" s="6">
        <v>2415.29</v>
      </c>
      <c r="AA158" s="4">
        <v>48</v>
      </c>
      <c r="AB158" s="6">
        <v>1276.08</v>
      </c>
      <c r="AC158" s="5">
        <v>1.0208</v>
      </c>
      <c r="AD158" s="5">
        <v>0.8927</v>
      </c>
      <c r="AE158" s="4">
        <v>6</v>
      </c>
      <c r="AF158" s="6">
        <v>147.52</v>
      </c>
      <c r="AG158" s="4">
        <v>3</v>
      </c>
      <c r="AH158" s="6">
        <v>92.38</v>
      </c>
      <c r="AI158" s="5">
        <v>1</v>
      </c>
      <c r="AJ158" s="5">
        <v>0.5969</v>
      </c>
      <c r="AK158" s="4"/>
      <c r="AL158" s="6"/>
      <c r="AM158" s="4"/>
      <c r="AN158" s="6"/>
      <c r="AO158" s="5"/>
      <c r="AP158" s="5"/>
      <c r="AQ158" s="4">
        <v>70</v>
      </c>
      <c r="AR158" s="6">
        <v>1659</v>
      </c>
      <c r="AS158" s="4">
        <v>52</v>
      </c>
      <c r="AT158" s="6">
        <v>1297.4</v>
      </c>
      <c r="AU158" s="5">
        <v>0.3462</v>
      </c>
      <c r="AV158" s="5">
        <v>0.2787</v>
      </c>
      <c r="AW158" s="4">
        <v>3</v>
      </c>
      <c r="AX158" s="6">
        <v>79.18</v>
      </c>
      <c r="AY158" s="4"/>
      <c r="AZ158" s="6"/>
      <c r="BA158" s="5"/>
      <c r="BB158" s="5"/>
      <c r="BC158" s="4">
        <v>66</v>
      </c>
      <c r="BD158" s="6">
        <v>1617.36</v>
      </c>
      <c r="BE158" s="4">
        <v>35</v>
      </c>
      <c r="BF158" s="6">
        <v>1060.2</v>
      </c>
      <c r="BG158" s="5">
        <v>0.8857</v>
      </c>
      <c r="BH158" s="5">
        <v>0.5255</v>
      </c>
      <c r="BI158" s="4">
        <v>24</v>
      </c>
      <c r="BJ158" s="6">
        <v>607.36</v>
      </c>
      <c r="BK158" s="4">
        <v>16</v>
      </c>
      <c r="BL158" s="6">
        <v>439.6</v>
      </c>
      <c r="BM158" s="5">
        <v>0.5</v>
      </c>
      <c r="BN158" s="5">
        <v>0.3816</v>
      </c>
      <c r="BO158" s="4">
        <v>1</v>
      </c>
      <c r="BP158" s="6">
        <v>23.32</v>
      </c>
      <c r="BQ158" s="4">
        <v>2</v>
      </c>
      <c r="BR158" s="6">
        <v>57.86</v>
      </c>
      <c r="BS158" s="5">
        <v>-0.5</v>
      </c>
      <c r="BT158" s="5">
        <v>-0.597</v>
      </c>
      <c r="BU158" s="4">
        <v>3</v>
      </c>
      <c r="BV158" s="6">
        <v>84.89</v>
      </c>
      <c r="BW158" s="4">
        <v>2</v>
      </c>
      <c r="BX158" s="6">
        <v>60.75</v>
      </c>
      <c r="BY158" s="5">
        <v>0.5</v>
      </c>
      <c r="BZ158" s="5">
        <v>0.3974</v>
      </c>
      <c r="CA158" s="4"/>
      <c r="CB158" s="6"/>
      <c r="CC158" s="4">
        <v>2</v>
      </c>
      <c r="CD158" s="6">
        <v>57.86</v>
      </c>
      <c r="CE158" s="5"/>
      <c r="CF158" s="5"/>
      <c r="CG158" s="4">
        <v>154</v>
      </c>
      <c r="CH158" s="6">
        <v>3647.09</v>
      </c>
      <c r="CI158" s="4">
        <v>37</v>
      </c>
      <c r="CJ158" s="6">
        <v>1101.68</v>
      </c>
      <c r="CK158" s="5">
        <v>3.1622</v>
      </c>
      <c r="CL158" s="5">
        <v>2.3105</v>
      </c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>
        <v>13</v>
      </c>
      <c r="CZ158" s="6">
        <v>312.95</v>
      </c>
      <c r="DA158" s="4">
        <v>16</v>
      </c>
      <c r="DB158" s="6">
        <v>440.89</v>
      </c>
      <c r="DC158" s="5">
        <v>-0.1875</v>
      </c>
      <c r="DD158" s="5">
        <v>-0.2902</v>
      </c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/>
      <c r="ED158" s="6"/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>
        <v>1</v>
      </c>
      <c r="GB158" s="6">
        <v>31.95</v>
      </c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  <c r="IA158" s="4"/>
      <c r="IB158" s="6"/>
      <c r="IC158" s="4"/>
      <c r="ID158" s="6"/>
      <c r="IE158" s="5"/>
      <c r="IF158" s="5"/>
      <c r="IG158" s="4"/>
      <c r="IH158" s="6"/>
      <c r="II158" s="4"/>
      <c r="IJ158" s="6"/>
      <c r="IK158" s="5"/>
      <c r="IL158" s="5"/>
      <c r="IM158" s="4"/>
      <c r="IN158" s="6"/>
      <c r="IO158" s="4"/>
      <c r="IP158" s="6"/>
      <c r="IQ158" s="5"/>
      <c r="IR158" s="5"/>
      <c r="IS158" s="4"/>
      <c r="IT158" s="6"/>
      <c r="IU158" s="4"/>
      <c r="IV158" s="6"/>
      <c r="IW158" s="5"/>
      <c r="IX158" s="5"/>
      <c r="IY158" s="4"/>
      <c r="IZ158" s="6"/>
      <c r="JA158" s="4"/>
      <c r="JB158" s="6"/>
      <c r="JC158" s="5"/>
      <c r="JD158" s="5"/>
      <c r="JE158" s="4"/>
      <c r="JF158" s="6"/>
      <c r="JG158" s="4"/>
      <c r="JH158" s="6"/>
      <c r="JI158" s="5"/>
      <c r="JJ158" s="5"/>
      <c r="JK158" s="4">
        <v>69</v>
      </c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>
        <v>1592</v>
      </c>
      <c r="LF158" s="4"/>
      <c r="LG158" s="4"/>
      <c r="LH158" s="4"/>
      <c r="LI158" s="4"/>
      <c r="LJ158" s="4"/>
      <c r="LK158" s="4"/>
      <c r="LL158" s="4"/>
      <c r="LM158" s="4"/>
    </row>
    <row r="159">
      <c r="A159" s="3" t="s">
        <v>136</v>
      </c>
      <c r="B159" s="3" t="s">
        <v>172</v>
      </c>
      <c r="C159" s="3" t="s">
        <v>138</v>
      </c>
      <c r="D159" s="3" t="s">
        <v>139</v>
      </c>
      <c r="E159" s="3" t="s">
        <v>173</v>
      </c>
      <c r="F159" s="3" t="s">
        <v>173</v>
      </c>
      <c r="G159" s="3" t="s">
        <v>173</v>
      </c>
      <c r="H159" s="3" t="s">
        <v>167</v>
      </c>
      <c r="I159" s="3" t="s">
        <v>282</v>
      </c>
      <c r="J159" s="3" t="s">
        <v>228</v>
      </c>
      <c r="K159" s="4">
        <v>46</v>
      </c>
      <c r="L159" s="4">
        <f>=ROUNDDOWN(0.148387096774194,0)</f>
      </c>
      <c r="M159" s="4">
        <v>3034</v>
      </c>
      <c r="N159" s="5">
        <v>0.4708</v>
      </c>
      <c r="O159" s="4"/>
      <c r="P159" s="4">
        <f>=ROUNDDOWN({0},0)</f>
      </c>
      <c r="Q159" s="4"/>
      <c r="R159" s="5"/>
      <c r="S159" s="4">
        <v>477</v>
      </c>
      <c r="T159" s="6">
        <v>10551.9</v>
      </c>
      <c r="U159" s="4">
        <v>759</v>
      </c>
      <c r="V159" s="6">
        <v>17594.66</v>
      </c>
      <c r="W159" s="5">
        <v>-0.3715</v>
      </c>
      <c r="X159" s="5">
        <v>-0.4003</v>
      </c>
      <c r="Y159" s="4">
        <v>110</v>
      </c>
      <c r="Z159" s="6">
        <v>2432.15</v>
      </c>
      <c r="AA159" s="4">
        <v>83</v>
      </c>
      <c r="AB159" s="6">
        <v>2299.72</v>
      </c>
      <c r="AC159" s="5">
        <v>0.3253</v>
      </c>
      <c r="AD159" s="5">
        <v>0.0576</v>
      </c>
      <c r="AE159" s="4">
        <v>4</v>
      </c>
      <c r="AF159" s="6">
        <v>90.82</v>
      </c>
      <c r="AG159" s="4">
        <v>7</v>
      </c>
      <c r="AH159" s="6">
        <v>220.52</v>
      </c>
      <c r="AI159" s="5">
        <v>-0.4286</v>
      </c>
      <c r="AJ159" s="5">
        <v>-0.5882</v>
      </c>
      <c r="AK159" s="4"/>
      <c r="AL159" s="6"/>
      <c r="AM159" s="4"/>
      <c r="AN159" s="6"/>
      <c r="AO159" s="5"/>
      <c r="AP159" s="5"/>
      <c r="AQ159" s="4">
        <v>83</v>
      </c>
      <c r="AR159" s="6">
        <v>1997.59</v>
      </c>
      <c r="AS159" s="4">
        <v>551</v>
      </c>
      <c r="AT159" s="6">
        <v>11949.86</v>
      </c>
      <c r="AU159" s="5">
        <v>-0.8494</v>
      </c>
      <c r="AV159" s="5">
        <v>-0.8328</v>
      </c>
      <c r="AW159" s="4">
        <v>19</v>
      </c>
      <c r="AX159" s="6">
        <v>414.89</v>
      </c>
      <c r="AY159" s="4">
        <v>7</v>
      </c>
      <c r="AZ159" s="6">
        <v>221.1</v>
      </c>
      <c r="BA159" s="5">
        <v>1.7143</v>
      </c>
      <c r="BB159" s="5">
        <v>0.8765</v>
      </c>
      <c r="BC159" s="4">
        <v>45</v>
      </c>
      <c r="BD159" s="6">
        <v>818.51</v>
      </c>
      <c r="BE159" s="4">
        <v>47</v>
      </c>
      <c r="BF159" s="6">
        <v>1220.31</v>
      </c>
      <c r="BG159" s="5">
        <v>-0.0426</v>
      </c>
      <c r="BH159" s="5">
        <v>-0.3293</v>
      </c>
      <c r="BI159" s="4">
        <v>20</v>
      </c>
      <c r="BJ159" s="6">
        <v>469.95</v>
      </c>
      <c r="BK159" s="4">
        <v>9</v>
      </c>
      <c r="BL159" s="6">
        <v>253.62</v>
      </c>
      <c r="BM159" s="5">
        <v>1.2222</v>
      </c>
      <c r="BN159" s="5">
        <v>0.853</v>
      </c>
      <c r="BO159" s="4">
        <v>3</v>
      </c>
      <c r="BP159" s="6">
        <v>70.18</v>
      </c>
      <c r="BQ159" s="4"/>
      <c r="BR159" s="6"/>
      <c r="BS159" s="5"/>
      <c r="BT159" s="5"/>
      <c r="BU159" s="4">
        <v>7</v>
      </c>
      <c r="BV159" s="6">
        <v>168.55</v>
      </c>
      <c r="BW159" s="4">
        <v>7</v>
      </c>
      <c r="BX159" s="6">
        <v>190.14</v>
      </c>
      <c r="BY159" s="5"/>
      <c r="BZ159" s="5">
        <v>-0.1135</v>
      </c>
      <c r="CA159" s="4"/>
      <c r="CB159" s="6"/>
      <c r="CC159" s="4">
        <v>7</v>
      </c>
      <c r="CD159" s="6">
        <v>154.01</v>
      </c>
      <c r="CE159" s="5"/>
      <c r="CF159" s="5"/>
      <c r="CG159" s="4">
        <v>168</v>
      </c>
      <c r="CH159" s="6">
        <v>3608.06</v>
      </c>
      <c r="CI159" s="4">
        <v>10</v>
      </c>
      <c r="CJ159" s="6">
        <v>217.5</v>
      </c>
      <c r="CK159" s="5">
        <v>15.8</v>
      </c>
      <c r="CL159" s="5">
        <v>15.5888</v>
      </c>
      <c r="CM159" s="4"/>
      <c r="CN159" s="6"/>
      <c r="CO159" s="4"/>
      <c r="CP159" s="6"/>
      <c r="CQ159" s="5"/>
      <c r="CR159" s="5"/>
      <c r="CS159" s="4"/>
      <c r="CT159" s="6"/>
      <c r="CU159" s="4">
        <v>4</v>
      </c>
      <c r="CV159" s="6">
        <v>98.06</v>
      </c>
      <c r="CW159" s="5"/>
      <c r="CX159" s="5"/>
      <c r="CY159" s="4">
        <v>15</v>
      </c>
      <c r="CZ159" s="6">
        <v>321.15</v>
      </c>
      <c r="DA159" s="4">
        <v>19</v>
      </c>
      <c r="DB159" s="6">
        <v>555.25</v>
      </c>
      <c r="DC159" s="5">
        <v>-0.2105</v>
      </c>
      <c r="DD159" s="5">
        <v>-0.4216</v>
      </c>
      <c r="DE159" s="4"/>
      <c r="DF159" s="6"/>
      <c r="DG159" s="4"/>
      <c r="DH159" s="6"/>
      <c r="DI159" s="5"/>
      <c r="DJ159" s="5"/>
      <c r="DK159" s="4">
        <v>3</v>
      </c>
      <c r="DL159" s="6">
        <v>160.05</v>
      </c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>
        <v>6</v>
      </c>
      <c r="FV159" s="6">
        <v>168.93</v>
      </c>
      <c r="FW159" s="5"/>
      <c r="FX159" s="5"/>
      <c r="FY159" s="4"/>
      <c r="FZ159" s="6"/>
      <c r="GA159" s="4">
        <v>2</v>
      </c>
      <c r="GB159" s="6">
        <v>45.64</v>
      </c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  <c r="IA159" s="4"/>
      <c r="IB159" s="6"/>
      <c r="IC159" s="4"/>
      <c r="ID159" s="6"/>
      <c r="IE159" s="5"/>
      <c r="IF159" s="5"/>
      <c r="IG159" s="4"/>
      <c r="IH159" s="6"/>
      <c r="II159" s="4"/>
      <c r="IJ159" s="6"/>
      <c r="IK159" s="5"/>
      <c r="IL159" s="5"/>
      <c r="IM159" s="4"/>
      <c r="IN159" s="6"/>
      <c r="IO159" s="4"/>
      <c r="IP159" s="6"/>
      <c r="IQ159" s="5"/>
      <c r="IR159" s="5"/>
      <c r="IS159" s="4"/>
      <c r="IT159" s="6"/>
      <c r="IU159" s="4"/>
      <c r="IV159" s="6"/>
      <c r="IW159" s="5"/>
      <c r="IX159" s="5"/>
      <c r="IY159" s="4"/>
      <c r="IZ159" s="6"/>
      <c r="JA159" s="4"/>
      <c r="JB159" s="6"/>
      <c r="JC159" s="5"/>
      <c r="JD159" s="5"/>
      <c r="JE159" s="4"/>
      <c r="JF159" s="6"/>
      <c r="JG159" s="4"/>
      <c r="JH159" s="6"/>
      <c r="JI159" s="5"/>
      <c r="JJ159" s="5"/>
      <c r="JK159" s="4">
        <v>46</v>
      </c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>
        <v>3034</v>
      </c>
      <c r="LF159" s="4"/>
      <c r="LG159" s="4"/>
      <c r="LH159" s="4"/>
      <c r="LI159" s="4"/>
      <c r="LJ159" s="4"/>
      <c r="LK159" s="4"/>
      <c r="LL159" s="4"/>
      <c r="LM159" s="4"/>
    </row>
    <row r="160">
      <c r="A160" s="3" t="s">
        <v>136</v>
      </c>
      <c r="B160" s="3" t="s">
        <v>172</v>
      </c>
      <c r="C160" s="3" t="s">
        <v>138</v>
      </c>
      <c r="D160" s="3" t="s">
        <v>139</v>
      </c>
      <c r="E160" s="3" t="s">
        <v>173</v>
      </c>
      <c r="F160" s="3" t="s">
        <v>173</v>
      </c>
      <c r="G160" s="3" t="s">
        <v>173</v>
      </c>
      <c r="H160" s="3" t="s">
        <v>167</v>
      </c>
      <c r="I160" s="3" t="s">
        <v>283</v>
      </c>
      <c r="J160" s="3" t="s">
        <v>242</v>
      </c>
      <c r="K160" s="4">
        <v>56</v>
      </c>
      <c r="L160" s="4">
        <f>=ROUNDDOWN(0.290155440414508,0)</f>
      </c>
      <c r="M160" s="4">
        <v>1886</v>
      </c>
      <c r="N160" s="5">
        <v>0.377</v>
      </c>
      <c r="O160" s="4"/>
      <c r="P160" s="4">
        <f>=ROUNDDOWN({0},0)</f>
      </c>
      <c r="Q160" s="4"/>
      <c r="R160" s="5"/>
      <c r="S160" s="4">
        <v>427</v>
      </c>
      <c r="T160" s="6">
        <v>10246.1</v>
      </c>
      <c r="U160" s="4">
        <v>242</v>
      </c>
      <c r="V160" s="6">
        <v>4890.4</v>
      </c>
      <c r="W160" s="5">
        <v>0.7645</v>
      </c>
      <c r="X160" s="5">
        <v>1.0951</v>
      </c>
      <c r="Y160" s="4">
        <v>56</v>
      </c>
      <c r="Z160" s="6">
        <v>1521.54</v>
      </c>
      <c r="AA160" s="4"/>
      <c r="AB160" s="6"/>
      <c r="AC160" s="5"/>
      <c r="AD160" s="5"/>
      <c r="AE160" s="4">
        <v>4</v>
      </c>
      <c r="AF160" s="6">
        <v>99.24</v>
      </c>
      <c r="AG160" s="4"/>
      <c r="AH160" s="6"/>
      <c r="AI160" s="5"/>
      <c r="AJ160" s="5"/>
      <c r="AK160" s="4"/>
      <c r="AL160" s="6"/>
      <c r="AM160" s="4"/>
      <c r="AN160" s="6"/>
      <c r="AO160" s="5"/>
      <c r="AP160" s="5"/>
      <c r="AQ160" s="4"/>
      <c r="AR160" s="6"/>
      <c r="AS160" s="4">
        <v>172</v>
      </c>
      <c r="AT160" s="6">
        <v>3616.71</v>
      </c>
      <c r="AU160" s="5"/>
      <c r="AV160" s="5"/>
      <c r="AW160" s="4">
        <v>17</v>
      </c>
      <c r="AX160" s="6">
        <v>425.69</v>
      </c>
      <c r="AY160" s="4">
        <v>3</v>
      </c>
      <c r="AZ160" s="6">
        <v>54.72</v>
      </c>
      <c r="BA160" s="5">
        <v>4.6667</v>
      </c>
      <c r="BB160" s="5">
        <v>6.7794</v>
      </c>
      <c r="BC160" s="4">
        <v>62</v>
      </c>
      <c r="BD160" s="6">
        <v>1436.2</v>
      </c>
      <c r="BE160" s="4">
        <v>30</v>
      </c>
      <c r="BF160" s="6">
        <v>562.5</v>
      </c>
      <c r="BG160" s="5">
        <v>1.0667</v>
      </c>
      <c r="BH160" s="5">
        <v>1.5532</v>
      </c>
      <c r="BI160" s="4">
        <v>10</v>
      </c>
      <c r="BJ160" s="6">
        <v>232.32</v>
      </c>
      <c r="BK160" s="4">
        <v>13</v>
      </c>
      <c r="BL160" s="6">
        <v>219.83</v>
      </c>
      <c r="BM160" s="5">
        <v>-0.2308</v>
      </c>
      <c r="BN160" s="5">
        <v>0.0568</v>
      </c>
      <c r="BO160" s="4">
        <v>10</v>
      </c>
      <c r="BP160" s="6">
        <v>182.43</v>
      </c>
      <c r="BQ160" s="4">
        <v>13</v>
      </c>
      <c r="BR160" s="6">
        <v>225.68</v>
      </c>
      <c r="BS160" s="5">
        <v>-0.2308</v>
      </c>
      <c r="BT160" s="5">
        <v>-0.1916</v>
      </c>
      <c r="BU160" s="4">
        <v>12</v>
      </c>
      <c r="BV160" s="6">
        <v>310.9</v>
      </c>
      <c r="BW160" s="4">
        <v>2</v>
      </c>
      <c r="BX160" s="6">
        <v>36.46</v>
      </c>
      <c r="BY160" s="5">
        <v>5</v>
      </c>
      <c r="BZ160" s="5">
        <v>7.5272</v>
      </c>
      <c r="CA160" s="4"/>
      <c r="CB160" s="6"/>
      <c r="CC160" s="4">
        <v>1</v>
      </c>
      <c r="CD160" s="6">
        <v>17.36</v>
      </c>
      <c r="CE160" s="5"/>
      <c r="CF160" s="5"/>
      <c r="CG160" s="4">
        <v>248</v>
      </c>
      <c r="CH160" s="6">
        <v>5827.11</v>
      </c>
      <c r="CI160" s="4">
        <v>7</v>
      </c>
      <c r="CJ160" s="6">
        <v>139.77</v>
      </c>
      <c r="CK160" s="5">
        <v>34.4286</v>
      </c>
      <c r="CL160" s="5">
        <v>40.6907</v>
      </c>
      <c r="CM160" s="4"/>
      <c r="CN160" s="6"/>
      <c r="CO160" s="4"/>
      <c r="CP160" s="6"/>
      <c r="CQ160" s="5"/>
      <c r="CR160" s="5"/>
      <c r="CS160" s="4"/>
      <c r="CT160" s="6"/>
      <c r="CU160" s="4">
        <v>1</v>
      </c>
      <c r="CV160" s="6">
        <v>17.37</v>
      </c>
      <c r="CW160" s="5"/>
      <c r="CX160" s="5"/>
      <c r="CY160" s="4">
        <v>5</v>
      </c>
      <c r="CZ160" s="6">
        <v>122.46</v>
      </c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>
        <v>1</v>
      </c>
      <c r="DL160" s="6">
        <v>47.99</v>
      </c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>
        <v>1</v>
      </c>
      <c r="EV160" s="6">
        <v>21.46</v>
      </c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>
        <v>1</v>
      </c>
      <c r="FN160" s="6">
        <v>18.76</v>
      </c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  <c r="IA160" s="4"/>
      <c r="IB160" s="6"/>
      <c r="IC160" s="4"/>
      <c r="ID160" s="6"/>
      <c r="IE160" s="5"/>
      <c r="IF160" s="5"/>
      <c r="IG160" s="4"/>
      <c r="IH160" s="6"/>
      <c r="II160" s="4"/>
      <c r="IJ160" s="6"/>
      <c r="IK160" s="5"/>
      <c r="IL160" s="5"/>
      <c r="IM160" s="4"/>
      <c r="IN160" s="6"/>
      <c r="IO160" s="4"/>
      <c r="IP160" s="6"/>
      <c r="IQ160" s="5"/>
      <c r="IR160" s="5"/>
      <c r="IS160" s="4"/>
      <c r="IT160" s="6"/>
      <c r="IU160" s="4"/>
      <c r="IV160" s="6"/>
      <c r="IW160" s="5"/>
      <c r="IX160" s="5"/>
      <c r="IY160" s="4"/>
      <c r="IZ160" s="6"/>
      <c r="JA160" s="4"/>
      <c r="JB160" s="6"/>
      <c r="JC160" s="5"/>
      <c r="JD160" s="5"/>
      <c r="JE160" s="4"/>
      <c r="JF160" s="6"/>
      <c r="JG160" s="4"/>
      <c r="JH160" s="6"/>
      <c r="JI160" s="5"/>
      <c r="JJ160" s="5"/>
      <c r="JK160" s="4">
        <v>56</v>
      </c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>
        <v>1886</v>
      </c>
      <c r="LF160" s="4"/>
      <c r="LG160" s="4"/>
      <c r="LH160" s="4"/>
      <c r="LI160" s="4"/>
      <c r="LJ160" s="4"/>
      <c r="LK160" s="4"/>
      <c r="LL160" s="4"/>
      <c r="LM160" s="4"/>
    </row>
    <row r="161">
      <c r="A161" s="3" t="s">
        <v>136</v>
      </c>
      <c r="B161" s="3" t="s">
        <v>172</v>
      </c>
      <c r="C161" s="3" t="s">
        <v>138</v>
      </c>
      <c r="D161" s="3" t="s">
        <v>139</v>
      </c>
      <c r="E161" s="3" t="s">
        <v>173</v>
      </c>
      <c r="F161" s="3" t="s">
        <v>173</v>
      </c>
      <c r="G161" s="3" t="s">
        <v>173</v>
      </c>
      <c r="H161" s="3" t="s">
        <v>167</v>
      </c>
      <c r="I161" s="3" t="s">
        <v>284</v>
      </c>
      <c r="J161" s="3" t="s">
        <v>226</v>
      </c>
      <c r="K161" s="4">
        <v>53</v>
      </c>
      <c r="L161" s="4">
        <f>=ROUNDDOWN(0.263681592039801,0)</f>
      </c>
      <c r="M161" s="4">
        <v>1992</v>
      </c>
      <c r="N161" s="5">
        <v>0.4941</v>
      </c>
      <c r="O161" s="4"/>
      <c r="P161" s="4">
        <f>=ROUNDDOWN({0},0)</f>
      </c>
      <c r="Q161" s="4"/>
      <c r="R161" s="5"/>
      <c r="S161" s="4">
        <v>457</v>
      </c>
      <c r="T161" s="6">
        <v>10233.69</v>
      </c>
      <c r="U161" s="4">
        <v>699</v>
      </c>
      <c r="V161" s="6">
        <v>16800.05</v>
      </c>
      <c r="W161" s="5">
        <v>-0.3462</v>
      </c>
      <c r="X161" s="5">
        <v>-0.3909</v>
      </c>
      <c r="Y161" s="4">
        <v>144</v>
      </c>
      <c r="Z161" s="6">
        <v>3577.93</v>
      </c>
      <c r="AA161" s="4">
        <v>226</v>
      </c>
      <c r="AB161" s="6">
        <v>5848.89</v>
      </c>
      <c r="AC161" s="5">
        <v>-0.3628</v>
      </c>
      <c r="AD161" s="5">
        <v>-0.3883</v>
      </c>
      <c r="AE161" s="4">
        <v>2</v>
      </c>
      <c r="AF161" s="6">
        <v>45.6</v>
      </c>
      <c r="AG161" s="4">
        <v>3</v>
      </c>
      <c r="AH161" s="6">
        <v>80.46</v>
      </c>
      <c r="AI161" s="5">
        <v>-0.3333</v>
      </c>
      <c r="AJ161" s="5">
        <v>-0.4333</v>
      </c>
      <c r="AK161" s="4"/>
      <c r="AL161" s="6"/>
      <c r="AM161" s="4"/>
      <c r="AN161" s="6"/>
      <c r="AO161" s="5"/>
      <c r="AP161" s="5"/>
      <c r="AQ161" s="4">
        <v>114</v>
      </c>
      <c r="AR161" s="6">
        <v>2702.5</v>
      </c>
      <c r="AS161" s="4">
        <v>287</v>
      </c>
      <c r="AT161" s="6">
        <v>6158.89</v>
      </c>
      <c r="AU161" s="5">
        <v>-0.6028</v>
      </c>
      <c r="AV161" s="5">
        <v>-0.5612</v>
      </c>
      <c r="AW161" s="4">
        <v>15</v>
      </c>
      <c r="AX161" s="6">
        <v>317.74</v>
      </c>
      <c r="AY161" s="4">
        <v>16</v>
      </c>
      <c r="AZ161" s="6">
        <v>433.81</v>
      </c>
      <c r="BA161" s="5">
        <v>-0.0625</v>
      </c>
      <c r="BB161" s="5">
        <v>-0.2676</v>
      </c>
      <c r="BC161" s="4">
        <v>23</v>
      </c>
      <c r="BD161" s="6">
        <v>467.63</v>
      </c>
      <c r="BE161" s="4">
        <v>91</v>
      </c>
      <c r="BF161" s="6">
        <v>2277.25</v>
      </c>
      <c r="BG161" s="5">
        <v>-0.7473</v>
      </c>
      <c r="BH161" s="5">
        <v>-0.7947</v>
      </c>
      <c r="BI161" s="4">
        <v>30</v>
      </c>
      <c r="BJ161" s="6">
        <v>681.55</v>
      </c>
      <c r="BK161" s="4">
        <v>24</v>
      </c>
      <c r="BL161" s="6">
        <v>648.13</v>
      </c>
      <c r="BM161" s="5">
        <v>0.25</v>
      </c>
      <c r="BN161" s="5">
        <v>0.0516</v>
      </c>
      <c r="BO161" s="4">
        <v>3</v>
      </c>
      <c r="BP161" s="6">
        <v>70.13</v>
      </c>
      <c r="BQ161" s="4">
        <v>7</v>
      </c>
      <c r="BR161" s="6">
        <v>182.04</v>
      </c>
      <c r="BS161" s="5">
        <v>-0.5714</v>
      </c>
      <c r="BT161" s="5">
        <v>-0.6148</v>
      </c>
      <c r="BU161" s="4">
        <v>7</v>
      </c>
      <c r="BV161" s="6">
        <v>170.47</v>
      </c>
      <c r="BW161" s="4">
        <v>15</v>
      </c>
      <c r="BX161" s="6">
        <v>392.29</v>
      </c>
      <c r="BY161" s="5">
        <v>-0.5333</v>
      </c>
      <c r="BZ161" s="5">
        <v>-0.5654</v>
      </c>
      <c r="CA161" s="4">
        <v>2</v>
      </c>
      <c r="CB161" s="6">
        <v>47.45</v>
      </c>
      <c r="CC161" s="4"/>
      <c r="CD161" s="6"/>
      <c r="CE161" s="5"/>
      <c r="CF161" s="5"/>
      <c r="CG161" s="4">
        <v>113</v>
      </c>
      <c r="CH161" s="6">
        <v>2039.92</v>
      </c>
      <c r="CI161" s="4">
        <v>4</v>
      </c>
      <c r="CJ161" s="6">
        <v>93.77</v>
      </c>
      <c r="CK161" s="5">
        <v>27.25</v>
      </c>
      <c r="CL161" s="5">
        <v>20.7545</v>
      </c>
      <c r="CM161" s="4"/>
      <c r="CN161" s="6"/>
      <c r="CO161" s="4"/>
      <c r="CP161" s="6"/>
      <c r="CQ161" s="5"/>
      <c r="CR161" s="5"/>
      <c r="CS161" s="4">
        <v>2</v>
      </c>
      <c r="CT161" s="6">
        <v>51.82</v>
      </c>
      <c r="CU161" s="4">
        <v>4</v>
      </c>
      <c r="CV161" s="6">
        <v>115.72</v>
      </c>
      <c r="CW161" s="5">
        <v>-0.5</v>
      </c>
      <c r="CX161" s="5">
        <v>-0.5522</v>
      </c>
      <c r="CY161" s="4">
        <v>1</v>
      </c>
      <c r="CZ161" s="6">
        <v>17.96</v>
      </c>
      <c r="DA161" s="4">
        <v>8</v>
      </c>
      <c r="DB161" s="6">
        <v>239.52</v>
      </c>
      <c r="DC161" s="5">
        <v>-0.875</v>
      </c>
      <c r="DD161" s="5">
        <v>-0.925</v>
      </c>
      <c r="DE161" s="4"/>
      <c r="DF161" s="6"/>
      <c r="DG161" s="4"/>
      <c r="DH161" s="6"/>
      <c r="DI161" s="5"/>
      <c r="DJ161" s="5"/>
      <c r="DK161" s="4">
        <v>1</v>
      </c>
      <c r="DL161" s="6">
        <v>42.99</v>
      </c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>
        <v>9</v>
      </c>
      <c r="FV161" s="6">
        <v>219.92</v>
      </c>
      <c r="FW161" s="5"/>
      <c r="FX161" s="5"/>
      <c r="FY161" s="4"/>
      <c r="FZ161" s="6"/>
      <c r="GA161" s="4">
        <v>5</v>
      </c>
      <c r="GB161" s="6">
        <v>109.36</v>
      </c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  <c r="IA161" s="4"/>
      <c r="IB161" s="6"/>
      <c r="IC161" s="4"/>
      <c r="ID161" s="6"/>
      <c r="IE161" s="5"/>
      <c r="IF161" s="5"/>
      <c r="IG161" s="4"/>
      <c r="IH161" s="6"/>
      <c r="II161" s="4"/>
      <c r="IJ161" s="6"/>
      <c r="IK161" s="5"/>
      <c r="IL161" s="5"/>
      <c r="IM161" s="4"/>
      <c r="IN161" s="6"/>
      <c r="IO161" s="4"/>
      <c r="IP161" s="6"/>
      <c r="IQ161" s="5"/>
      <c r="IR161" s="5"/>
      <c r="IS161" s="4"/>
      <c r="IT161" s="6"/>
      <c r="IU161" s="4"/>
      <c r="IV161" s="6"/>
      <c r="IW161" s="5"/>
      <c r="IX161" s="5"/>
      <c r="IY161" s="4"/>
      <c r="IZ161" s="6"/>
      <c r="JA161" s="4"/>
      <c r="JB161" s="6"/>
      <c r="JC161" s="5"/>
      <c r="JD161" s="5"/>
      <c r="JE161" s="4"/>
      <c r="JF161" s="6"/>
      <c r="JG161" s="4"/>
      <c r="JH161" s="6"/>
      <c r="JI161" s="5"/>
      <c r="JJ161" s="5"/>
      <c r="JK161" s="4">
        <v>53</v>
      </c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>
        <v>1992</v>
      </c>
      <c r="LF161" s="4"/>
      <c r="LG161" s="4"/>
      <c r="LH161" s="4"/>
      <c r="LI161" s="4"/>
      <c r="LJ161" s="4"/>
      <c r="LK161" s="4"/>
      <c r="LL161" s="4"/>
      <c r="LM161" s="4"/>
    </row>
    <row r="162">
      <c r="A162" s="3" t="s">
        <v>136</v>
      </c>
      <c r="B162" s="3" t="s">
        <v>172</v>
      </c>
      <c r="C162" s="3" t="s">
        <v>138</v>
      </c>
      <c r="D162" s="3" t="s">
        <v>139</v>
      </c>
      <c r="E162" s="3" t="s">
        <v>173</v>
      </c>
      <c r="F162" s="3" t="s">
        <v>173</v>
      </c>
      <c r="G162" s="3" t="s">
        <v>173</v>
      </c>
      <c r="H162" s="3" t="s">
        <v>167</v>
      </c>
      <c r="I162" s="3" t="s">
        <v>285</v>
      </c>
      <c r="J162" s="3" t="s">
        <v>228</v>
      </c>
      <c r="K162" s="4">
        <v>137</v>
      </c>
      <c r="L162" s="4">
        <f>=ROUNDDOWN(0.425465838509317,0)</f>
      </c>
      <c r="M162" s="4">
        <v>3147</v>
      </c>
      <c r="N162" s="5">
        <v>0.5019</v>
      </c>
      <c r="O162" s="4"/>
      <c r="P162" s="4">
        <f>=ROUNDDOWN({0},0)</f>
      </c>
      <c r="Q162" s="4"/>
      <c r="R162" s="5"/>
      <c r="S162" s="4">
        <v>441</v>
      </c>
      <c r="T162" s="6">
        <v>10024.51</v>
      </c>
      <c r="U162" s="4">
        <v>463</v>
      </c>
      <c r="V162" s="6">
        <v>11390.07</v>
      </c>
      <c r="W162" s="5">
        <v>-0.0475</v>
      </c>
      <c r="X162" s="5">
        <v>-0.1199</v>
      </c>
      <c r="Y162" s="4">
        <v>142</v>
      </c>
      <c r="Z162" s="6">
        <v>3263.63</v>
      </c>
      <c r="AA162" s="4">
        <v>85</v>
      </c>
      <c r="AB162" s="6">
        <v>2354.78</v>
      </c>
      <c r="AC162" s="5">
        <v>0.6706</v>
      </c>
      <c r="AD162" s="5">
        <v>0.386</v>
      </c>
      <c r="AE162" s="4">
        <v>13</v>
      </c>
      <c r="AF162" s="6">
        <v>321.45</v>
      </c>
      <c r="AG162" s="4">
        <v>4</v>
      </c>
      <c r="AH162" s="6">
        <v>131.12</v>
      </c>
      <c r="AI162" s="5">
        <v>2.25</v>
      </c>
      <c r="AJ162" s="5">
        <v>1.4516</v>
      </c>
      <c r="AK162" s="4"/>
      <c r="AL162" s="6"/>
      <c r="AM162" s="4"/>
      <c r="AN162" s="6"/>
      <c r="AO162" s="5"/>
      <c r="AP162" s="5"/>
      <c r="AQ162" s="4">
        <v>48</v>
      </c>
      <c r="AR162" s="6">
        <v>888.96</v>
      </c>
      <c r="AS162" s="4">
        <v>266</v>
      </c>
      <c r="AT162" s="6">
        <v>6106.2</v>
      </c>
      <c r="AU162" s="5">
        <v>-0.8195</v>
      </c>
      <c r="AV162" s="5">
        <v>-0.8544</v>
      </c>
      <c r="AW162" s="4">
        <v>10</v>
      </c>
      <c r="AX162" s="6">
        <v>264.86</v>
      </c>
      <c r="AY162" s="4">
        <v>8</v>
      </c>
      <c r="AZ162" s="6">
        <v>194.97</v>
      </c>
      <c r="BA162" s="5">
        <v>0.25</v>
      </c>
      <c r="BB162" s="5">
        <v>0.3585</v>
      </c>
      <c r="BC162" s="4">
        <v>45</v>
      </c>
      <c r="BD162" s="6">
        <v>1071.98</v>
      </c>
      <c r="BE162" s="4">
        <v>35</v>
      </c>
      <c r="BF162" s="6">
        <v>1013.14</v>
      </c>
      <c r="BG162" s="5">
        <v>0.2857</v>
      </c>
      <c r="BH162" s="5">
        <v>0.0581</v>
      </c>
      <c r="BI162" s="4">
        <v>28</v>
      </c>
      <c r="BJ162" s="6">
        <v>706.82</v>
      </c>
      <c r="BK162" s="4">
        <v>2</v>
      </c>
      <c r="BL162" s="6">
        <v>62</v>
      </c>
      <c r="BM162" s="5">
        <v>13</v>
      </c>
      <c r="BN162" s="5">
        <v>10.4003</v>
      </c>
      <c r="BO162" s="4">
        <v>4</v>
      </c>
      <c r="BP162" s="6">
        <v>103.94</v>
      </c>
      <c r="BQ162" s="4">
        <v>5</v>
      </c>
      <c r="BR162" s="6">
        <v>137.52</v>
      </c>
      <c r="BS162" s="5">
        <v>-0.2</v>
      </c>
      <c r="BT162" s="5">
        <v>-0.2442</v>
      </c>
      <c r="BU162" s="4">
        <v>2</v>
      </c>
      <c r="BV162" s="6">
        <v>60.4</v>
      </c>
      <c r="BW162" s="4">
        <v>4</v>
      </c>
      <c r="BX162" s="6">
        <v>115.02</v>
      </c>
      <c r="BY162" s="5">
        <v>-0.5</v>
      </c>
      <c r="BZ162" s="5">
        <v>-0.4749</v>
      </c>
      <c r="CA162" s="4"/>
      <c r="CB162" s="6"/>
      <c r="CC162" s="4">
        <v>3</v>
      </c>
      <c r="CD162" s="6">
        <v>95.85</v>
      </c>
      <c r="CE162" s="5"/>
      <c r="CF162" s="5"/>
      <c r="CG162" s="4">
        <v>142</v>
      </c>
      <c r="CH162" s="6">
        <v>3177.56</v>
      </c>
      <c r="CI162" s="4">
        <v>35</v>
      </c>
      <c r="CJ162" s="6">
        <v>790.7</v>
      </c>
      <c r="CK162" s="5">
        <v>3.0571</v>
      </c>
      <c r="CL162" s="5">
        <v>3.0187</v>
      </c>
      <c r="CM162" s="4"/>
      <c r="CN162" s="6"/>
      <c r="CO162" s="4"/>
      <c r="CP162" s="6"/>
      <c r="CQ162" s="5"/>
      <c r="CR162" s="5"/>
      <c r="CS162" s="4"/>
      <c r="CT162" s="6"/>
      <c r="CU162" s="4">
        <v>2</v>
      </c>
      <c r="CV162" s="6">
        <v>49.32</v>
      </c>
      <c r="CW162" s="5"/>
      <c r="CX162" s="5"/>
      <c r="CY162" s="4">
        <v>5</v>
      </c>
      <c r="CZ162" s="6">
        <v>81.65</v>
      </c>
      <c r="DA162" s="4">
        <v>4</v>
      </c>
      <c r="DB162" s="6">
        <v>65.32</v>
      </c>
      <c r="DC162" s="5">
        <v>0.25</v>
      </c>
      <c r="DD162" s="5">
        <v>0.25</v>
      </c>
      <c r="DE162" s="4"/>
      <c r="DF162" s="6"/>
      <c r="DG162" s="4"/>
      <c r="DH162" s="6"/>
      <c r="DI162" s="5"/>
      <c r="DJ162" s="5"/>
      <c r="DK162" s="4">
        <v>1</v>
      </c>
      <c r="DL162" s="6">
        <v>48.75</v>
      </c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>
        <v>2</v>
      </c>
      <c r="EX162" s="6">
        <v>41.3</v>
      </c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>
        <v>1</v>
      </c>
      <c r="FN162" s="6">
        <v>34.51</v>
      </c>
      <c r="FO162" s="4"/>
      <c r="FP162" s="6"/>
      <c r="FQ162" s="5"/>
      <c r="FR162" s="5"/>
      <c r="FS162" s="4"/>
      <c r="FT162" s="6"/>
      <c r="FU162" s="4">
        <v>6</v>
      </c>
      <c r="FV162" s="6">
        <v>168.93</v>
      </c>
      <c r="FW162" s="5"/>
      <c r="FX162" s="5"/>
      <c r="FY162" s="4"/>
      <c r="FZ162" s="6"/>
      <c r="GA162" s="4">
        <v>2</v>
      </c>
      <c r="GB162" s="6">
        <v>63.9</v>
      </c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  <c r="IA162" s="4"/>
      <c r="IB162" s="6"/>
      <c r="IC162" s="4"/>
      <c r="ID162" s="6"/>
      <c r="IE162" s="5"/>
      <c r="IF162" s="5"/>
      <c r="IG162" s="4"/>
      <c r="IH162" s="6"/>
      <c r="II162" s="4"/>
      <c r="IJ162" s="6"/>
      <c r="IK162" s="5"/>
      <c r="IL162" s="5"/>
      <c r="IM162" s="4"/>
      <c r="IN162" s="6"/>
      <c r="IO162" s="4"/>
      <c r="IP162" s="6"/>
      <c r="IQ162" s="5"/>
      <c r="IR162" s="5"/>
      <c r="IS162" s="4"/>
      <c r="IT162" s="6"/>
      <c r="IU162" s="4"/>
      <c r="IV162" s="6"/>
      <c r="IW162" s="5"/>
      <c r="IX162" s="5"/>
      <c r="IY162" s="4"/>
      <c r="IZ162" s="6"/>
      <c r="JA162" s="4"/>
      <c r="JB162" s="6"/>
      <c r="JC162" s="5"/>
      <c r="JD162" s="5"/>
      <c r="JE162" s="4"/>
      <c r="JF162" s="6"/>
      <c r="JG162" s="4"/>
      <c r="JH162" s="6"/>
      <c r="JI162" s="5"/>
      <c r="JJ162" s="5"/>
      <c r="JK162" s="4">
        <v>137</v>
      </c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>
        <v>3147</v>
      </c>
      <c r="LF162" s="4"/>
      <c r="LG162" s="4"/>
      <c r="LH162" s="4"/>
      <c r="LI162" s="4"/>
      <c r="LJ162" s="4"/>
      <c r="LK162" s="4"/>
      <c r="LL162" s="4"/>
      <c r="LM162" s="4"/>
    </row>
    <row r="163">
      <c r="A163" s="3" t="s">
        <v>136</v>
      </c>
      <c r="B163" s="3" t="s">
        <v>172</v>
      </c>
      <c r="C163" s="3" t="s">
        <v>138</v>
      </c>
      <c r="D163" s="3" t="s">
        <v>139</v>
      </c>
      <c r="E163" s="3" t="s">
        <v>173</v>
      </c>
      <c r="F163" s="3" t="s">
        <v>173</v>
      </c>
      <c r="G163" s="3" t="s">
        <v>173</v>
      </c>
      <c r="H163" s="3" t="s">
        <v>167</v>
      </c>
      <c r="I163" s="3" t="s">
        <v>286</v>
      </c>
      <c r="J163" s="3" t="s">
        <v>228</v>
      </c>
      <c r="K163" s="4">
        <v>214</v>
      </c>
      <c r="L163" s="4">
        <f>=ROUNDDOWN(1.02884615384615,0)</f>
      </c>
      <c r="M163" s="4">
        <v>2048</v>
      </c>
      <c r="N163" s="5">
        <v>0.4178</v>
      </c>
      <c r="O163" s="4"/>
      <c r="P163" s="4">
        <f>=ROUNDDOWN({0},0)</f>
      </c>
      <c r="Q163" s="4"/>
      <c r="R163" s="5"/>
      <c r="S163" s="4">
        <v>482</v>
      </c>
      <c r="T163" s="6">
        <v>9703.12</v>
      </c>
      <c r="U163" s="4">
        <v>402</v>
      </c>
      <c r="V163" s="6">
        <v>10276.1</v>
      </c>
      <c r="W163" s="5">
        <v>0.199</v>
      </c>
      <c r="X163" s="5">
        <v>-0.0558</v>
      </c>
      <c r="Y163" s="4">
        <v>91</v>
      </c>
      <c r="Z163" s="6">
        <v>2025.22</v>
      </c>
      <c r="AA163" s="4">
        <v>83</v>
      </c>
      <c r="AB163" s="6">
        <v>2132.27</v>
      </c>
      <c r="AC163" s="5">
        <v>0.0964</v>
      </c>
      <c r="AD163" s="5">
        <v>-0.0502</v>
      </c>
      <c r="AE163" s="4">
        <v>3</v>
      </c>
      <c r="AF163" s="6">
        <v>80.46</v>
      </c>
      <c r="AG163" s="4">
        <v>3</v>
      </c>
      <c r="AH163" s="6">
        <v>68.12</v>
      </c>
      <c r="AI163" s="5"/>
      <c r="AJ163" s="5">
        <v>0.1812</v>
      </c>
      <c r="AK163" s="4"/>
      <c r="AL163" s="6"/>
      <c r="AM163" s="4"/>
      <c r="AN163" s="6"/>
      <c r="AO163" s="5"/>
      <c r="AP163" s="5"/>
      <c r="AQ163" s="4">
        <v>149</v>
      </c>
      <c r="AR163" s="6">
        <v>2956.34</v>
      </c>
      <c r="AS163" s="4">
        <v>152</v>
      </c>
      <c r="AT163" s="6">
        <v>3775.61</v>
      </c>
      <c r="AU163" s="5">
        <v>-0.0197</v>
      </c>
      <c r="AV163" s="5">
        <v>-0.217</v>
      </c>
      <c r="AW163" s="4">
        <v>9</v>
      </c>
      <c r="AX163" s="6">
        <v>187.49</v>
      </c>
      <c r="AY163" s="4">
        <v>10</v>
      </c>
      <c r="AZ163" s="6">
        <v>267.82</v>
      </c>
      <c r="BA163" s="5">
        <v>-0.1</v>
      </c>
      <c r="BB163" s="5">
        <v>-0.2999</v>
      </c>
      <c r="BC163" s="4">
        <v>66</v>
      </c>
      <c r="BD163" s="6">
        <v>1309.86</v>
      </c>
      <c r="BE163" s="4">
        <v>119</v>
      </c>
      <c r="BF163" s="6">
        <v>3118.83</v>
      </c>
      <c r="BG163" s="5">
        <v>-0.4454</v>
      </c>
      <c r="BH163" s="5">
        <v>-0.58</v>
      </c>
      <c r="BI163" s="4">
        <v>21</v>
      </c>
      <c r="BJ163" s="6">
        <v>466.08</v>
      </c>
      <c r="BK163" s="4">
        <v>5</v>
      </c>
      <c r="BL163" s="6">
        <v>112.16</v>
      </c>
      <c r="BM163" s="5">
        <v>3.2</v>
      </c>
      <c r="BN163" s="5">
        <v>3.1555</v>
      </c>
      <c r="BO163" s="4"/>
      <c r="BP163" s="6"/>
      <c r="BQ163" s="4">
        <v>2</v>
      </c>
      <c r="BR163" s="6">
        <v>51.82</v>
      </c>
      <c r="BS163" s="5"/>
      <c r="BT163" s="5"/>
      <c r="BU163" s="4">
        <v>3</v>
      </c>
      <c r="BV163" s="6">
        <v>62.49</v>
      </c>
      <c r="BW163" s="4">
        <v>6</v>
      </c>
      <c r="BX163" s="6">
        <v>182.25</v>
      </c>
      <c r="BY163" s="5">
        <v>-0.5</v>
      </c>
      <c r="BZ163" s="5">
        <v>-0.6571</v>
      </c>
      <c r="CA163" s="4"/>
      <c r="CB163" s="6"/>
      <c r="CC163" s="4">
        <v>4</v>
      </c>
      <c r="CD163" s="6">
        <v>112.32</v>
      </c>
      <c r="CE163" s="5"/>
      <c r="CF163" s="5"/>
      <c r="CG163" s="4">
        <v>112</v>
      </c>
      <c r="CH163" s="6">
        <v>2107.8</v>
      </c>
      <c r="CI163" s="4">
        <v>12</v>
      </c>
      <c r="CJ163" s="6">
        <v>302.84</v>
      </c>
      <c r="CK163" s="5">
        <v>8.3333</v>
      </c>
      <c r="CL163" s="5">
        <v>5.9601</v>
      </c>
      <c r="CM163" s="4"/>
      <c r="CN163" s="6"/>
      <c r="CO163" s="4"/>
      <c r="CP163" s="6"/>
      <c r="CQ163" s="5"/>
      <c r="CR163" s="5"/>
      <c r="CS163" s="4">
        <v>5</v>
      </c>
      <c r="CT163" s="6">
        <v>94.3</v>
      </c>
      <c r="CU163" s="4">
        <v>3</v>
      </c>
      <c r="CV163" s="6">
        <v>77.73</v>
      </c>
      <c r="CW163" s="5">
        <v>0.6667</v>
      </c>
      <c r="CX163" s="5">
        <v>0.2132</v>
      </c>
      <c r="CY163" s="4">
        <v>23</v>
      </c>
      <c r="CZ163" s="6">
        <v>413.08</v>
      </c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>
        <v>3</v>
      </c>
      <c r="FV163" s="6">
        <v>74.33</v>
      </c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  <c r="IA163" s="4"/>
      <c r="IB163" s="6"/>
      <c r="IC163" s="4"/>
      <c r="ID163" s="6"/>
      <c r="IE163" s="5"/>
      <c r="IF163" s="5"/>
      <c r="IG163" s="4"/>
      <c r="IH163" s="6"/>
      <c r="II163" s="4"/>
      <c r="IJ163" s="6"/>
      <c r="IK163" s="5"/>
      <c r="IL163" s="5"/>
      <c r="IM163" s="4"/>
      <c r="IN163" s="6"/>
      <c r="IO163" s="4"/>
      <c r="IP163" s="6"/>
      <c r="IQ163" s="5"/>
      <c r="IR163" s="5"/>
      <c r="IS163" s="4"/>
      <c r="IT163" s="6"/>
      <c r="IU163" s="4"/>
      <c r="IV163" s="6"/>
      <c r="IW163" s="5"/>
      <c r="IX163" s="5"/>
      <c r="IY163" s="4"/>
      <c r="IZ163" s="6"/>
      <c r="JA163" s="4"/>
      <c r="JB163" s="6"/>
      <c r="JC163" s="5"/>
      <c r="JD163" s="5"/>
      <c r="JE163" s="4"/>
      <c r="JF163" s="6"/>
      <c r="JG163" s="4"/>
      <c r="JH163" s="6"/>
      <c r="JI163" s="5"/>
      <c r="JJ163" s="5"/>
      <c r="JK163" s="4">
        <v>214</v>
      </c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>
        <v>2048</v>
      </c>
      <c r="LF163" s="4"/>
      <c r="LG163" s="4"/>
      <c r="LH163" s="4"/>
      <c r="LI163" s="4"/>
      <c r="LJ163" s="4"/>
      <c r="LK163" s="4"/>
      <c r="LL163" s="4"/>
      <c r="LM163" s="4"/>
    </row>
    <row r="164">
      <c r="A164" s="3" t="s">
        <v>136</v>
      </c>
      <c r="B164" s="3" t="s">
        <v>172</v>
      </c>
      <c r="C164" s="3" t="s">
        <v>138</v>
      </c>
      <c r="D164" s="3" t="s">
        <v>139</v>
      </c>
      <c r="E164" s="3" t="s">
        <v>173</v>
      </c>
      <c r="F164" s="3" t="s">
        <v>173</v>
      </c>
      <c r="G164" s="3" t="s">
        <v>173</v>
      </c>
      <c r="H164" s="3" t="s">
        <v>167</v>
      </c>
      <c r="I164" s="3" t="s">
        <v>287</v>
      </c>
      <c r="J164" s="3" t="s">
        <v>228</v>
      </c>
      <c r="K164" s="4">
        <v>441</v>
      </c>
      <c r="L164" s="4">
        <f>=ROUNDDOWN(2.94,0)</f>
      </c>
      <c r="M164" s="4">
        <v>1357</v>
      </c>
      <c r="N164" s="5">
        <v>0.6628</v>
      </c>
      <c r="O164" s="4"/>
      <c r="P164" s="4">
        <f>=ROUNDDOWN({0},0)</f>
      </c>
      <c r="Q164" s="4"/>
      <c r="R164" s="5"/>
      <c r="S164" s="4">
        <v>452</v>
      </c>
      <c r="T164" s="6">
        <v>9502.26</v>
      </c>
      <c r="U164" s="4">
        <v>775</v>
      </c>
      <c r="V164" s="6">
        <v>17515.69</v>
      </c>
      <c r="W164" s="5">
        <v>-0.4168</v>
      </c>
      <c r="X164" s="5">
        <v>-0.4575</v>
      </c>
      <c r="Y164" s="4">
        <v>20</v>
      </c>
      <c r="Z164" s="6">
        <v>406.25</v>
      </c>
      <c r="AA164" s="4">
        <v>52</v>
      </c>
      <c r="AB164" s="6">
        <v>1273.27</v>
      </c>
      <c r="AC164" s="5">
        <v>-0.6154</v>
      </c>
      <c r="AD164" s="5">
        <v>-0.6809</v>
      </c>
      <c r="AE164" s="4">
        <v>4</v>
      </c>
      <c r="AF164" s="6">
        <v>80.27</v>
      </c>
      <c r="AG164" s="4">
        <v>7</v>
      </c>
      <c r="AH164" s="6">
        <v>143.04</v>
      </c>
      <c r="AI164" s="5">
        <v>-0.4286</v>
      </c>
      <c r="AJ164" s="5">
        <v>-0.4388</v>
      </c>
      <c r="AK164" s="4"/>
      <c r="AL164" s="6"/>
      <c r="AM164" s="4"/>
      <c r="AN164" s="6"/>
      <c r="AO164" s="5"/>
      <c r="AP164" s="5"/>
      <c r="AQ164" s="4">
        <v>294</v>
      </c>
      <c r="AR164" s="6">
        <v>6188.04</v>
      </c>
      <c r="AS164" s="4">
        <v>506</v>
      </c>
      <c r="AT164" s="6">
        <v>11122.61</v>
      </c>
      <c r="AU164" s="5">
        <v>-0.419</v>
      </c>
      <c r="AV164" s="5">
        <v>-0.4437</v>
      </c>
      <c r="AW164" s="4">
        <v>8</v>
      </c>
      <c r="AX164" s="6">
        <v>149.34</v>
      </c>
      <c r="AY164" s="4">
        <v>7</v>
      </c>
      <c r="AZ164" s="6">
        <v>178.29</v>
      </c>
      <c r="BA164" s="5">
        <v>0.1429</v>
      </c>
      <c r="BB164" s="5">
        <v>-0.1624</v>
      </c>
      <c r="BC164" s="4">
        <v>93</v>
      </c>
      <c r="BD164" s="6">
        <v>1901.72</v>
      </c>
      <c r="BE164" s="4">
        <v>155</v>
      </c>
      <c r="BF164" s="6">
        <v>3660.77</v>
      </c>
      <c r="BG164" s="5">
        <v>-0.4</v>
      </c>
      <c r="BH164" s="5">
        <v>-0.4805</v>
      </c>
      <c r="BI164" s="4">
        <v>15</v>
      </c>
      <c r="BJ164" s="6">
        <v>311.66</v>
      </c>
      <c r="BK164" s="4">
        <v>5</v>
      </c>
      <c r="BL164" s="6">
        <v>112.73</v>
      </c>
      <c r="BM164" s="5">
        <v>2</v>
      </c>
      <c r="BN164" s="5">
        <v>1.7647</v>
      </c>
      <c r="BO164" s="4">
        <v>1</v>
      </c>
      <c r="BP164" s="6">
        <v>28.76</v>
      </c>
      <c r="BQ164" s="4">
        <v>5</v>
      </c>
      <c r="BR164" s="6">
        <v>99.49</v>
      </c>
      <c r="BS164" s="5">
        <v>-0.8</v>
      </c>
      <c r="BT164" s="5">
        <v>-0.7109</v>
      </c>
      <c r="BU164" s="4">
        <v>4</v>
      </c>
      <c r="BV164" s="6">
        <v>82.26</v>
      </c>
      <c r="BW164" s="4">
        <v>4</v>
      </c>
      <c r="BX164" s="6">
        <v>105.56</v>
      </c>
      <c r="BY164" s="5"/>
      <c r="BZ164" s="5">
        <v>-0.2207</v>
      </c>
      <c r="CA164" s="4"/>
      <c r="CB164" s="6"/>
      <c r="CC164" s="4">
        <v>4</v>
      </c>
      <c r="CD164" s="6">
        <v>108.02</v>
      </c>
      <c r="CE164" s="5"/>
      <c r="CF164" s="5"/>
      <c r="CG164" s="4">
        <v>8</v>
      </c>
      <c r="CH164" s="6">
        <v>156.67</v>
      </c>
      <c r="CI164" s="4">
        <v>25</v>
      </c>
      <c r="CJ164" s="6">
        <v>575.82</v>
      </c>
      <c r="CK164" s="5">
        <v>-0.68</v>
      </c>
      <c r="CL164" s="5">
        <v>-0.7279</v>
      </c>
      <c r="CM164" s="4"/>
      <c r="CN164" s="6"/>
      <c r="CO164" s="4"/>
      <c r="CP164" s="6"/>
      <c r="CQ164" s="5"/>
      <c r="CR164" s="5"/>
      <c r="CS164" s="4">
        <v>2</v>
      </c>
      <c r="CT164" s="6">
        <v>37.72</v>
      </c>
      <c r="CU164" s="4">
        <v>3</v>
      </c>
      <c r="CV164" s="6">
        <v>74.65</v>
      </c>
      <c r="CW164" s="5">
        <v>-0.3333</v>
      </c>
      <c r="CX164" s="5">
        <v>-0.4947</v>
      </c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>
        <v>3</v>
      </c>
      <c r="DL164" s="6">
        <v>159.57</v>
      </c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>
        <v>2</v>
      </c>
      <c r="FV164" s="6">
        <v>61.44</v>
      </c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  <c r="IA164" s="4"/>
      <c r="IB164" s="6"/>
      <c r="IC164" s="4"/>
      <c r="ID164" s="6"/>
      <c r="IE164" s="5"/>
      <c r="IF164" s="5"/>
      <c r="IG164" s="4"/>
      <c r="IH164" s="6"/>
      <c r="II164" s="4"/>
      <c r="IJ164" s="6"/>
      <c r="IK164" s="5"/>
      <c r="IL164" s="5"/>
      <c r="IM164" s="4"/>
      <c r="IN164" s="6"/>
      <c r="IO164" s="4"/>
      <c r="IP164" s="6"/>
      <c r="IQ164" s="5"/>
      <c r="IR164" s="5"/>
      <c r="IS164" s="4"/>
      <c r="IT164" s="6"/>
      <c r="IU164" s="4"/>
      <c r="IV164" s="6"/>
      <c r="IW164" s="5"/>
      <c r="IX164" s="5"/>
      <c r="IY164" s="4"/>
      <c r="IZ164" s="6"/>
      <c r="JA164" s="4"/>
      <c r="JB164" s="6"/>
      <c r="JC164" s="5"/>
      <c r="JD164" s="5"/>
      <c r="JE164" s="4"/>
      <c r="JF164" s="6"/>
      <c r="JG164" s="4"/>
      <c r="JH164" s="6"/>
      <c r="JI164" s="5"/>
      <c r="JJ164" s="5"/>
      <c r="JK164" s="4">
        <v>441</v>
      </c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>
        <v>1357</v>
      </c>
      <c r="LF164" s="4"/>
      <c r="LG164" s="4"/>
      <c r="LH164" s="4"/>
      <c r="LI164" s="4"/>
      <c r="LJ164" s="4"/>
      <c r="LK164" s="4"/>
      <c r="LL164" s="4"/>
      <c r="LM164" s="4"/>
    </row>
    <row r="165">
      <c r="A165" s="3" t="s">
        <v>136</v>
      </c>
      <c r="B165" s="3" t="s">
        <v>172</v>
      </c>
      <c r="C165" s="3" t="s">
        <v>138</v>
      </c>
      <c r="D165" s="3" t="s">
        <v>139</v>
      </c>
      <c r="E165" s="3" t="s">
        <v>173</v>
      </c>
      <c r="F165" s="3" t="s">
        <v>173</v>
      </c>
      <c r="G165" s="3" t="s">
        <v>173</v>
      </c>
      <c r="H165" s="3" t="s">
        <v>167</v>
      </c>
      <c r="I165" s="3" t="s">
        <v>288</v>
      </c>
      <c r="J165" s="3" t="s">
        <v>226</v>
      </c>
      <c r="K165" s="4">
        <v>44</v>
      </c>
      <c r="L165" s="4">
        <f>=ROUNDDOWN(0.271604938271605,0)</f>
      </c>
      <c r="M165" s="4">
        <v>1598</v>
      </c>
      <c r="N165" s="5">
        <v>0.6825</v>
      </c>
      <c r="O165" s="4"/>
      <c r="P165" s="4">
        <f>=ROUNDDOWN({0},0)</f>
      </c>
      <c r="Q165" s="4"/>
      <c r="R165" s="5"/>
      <c r="S165" s="4">
        <v>306</v>
      </c>
      <c r="T165" s="6">
        <v>6814.19</v>
      </c>
      <c r="U165" s="4">
        <v>330</v>
      </c>
      <c r="V165" s="6">
        <v>6670.83</v>
      </c>
      <c r="W165" s="5">
        <v>-0.0727</v>
      </c>
      <c r="X165" s="5">
        <v>0.0215</v>
      </c>
      <c r="Y165" s="4">
        <v>66</v>
      </c>
      <c r="Z165" s="6">
        <v>1477.56</v>
      </c>
      <c r="AA165" s="4">
        <v>67</v>
      </c>
      <c r="AB165" s="6">
        <v>1315.4</v>
      </c>
      <c r="AC165" s="5">
        <v>-0.0149</v>
      </c>
      <c r="AD165" s="5">
        <v>0.1233</v>
      </c>
      <c r="AE165" s="4">
        <v>9</v>
      </c>
      <c r="AF165" s="6">
        <v>189.7</v>
      </c>
      <c r="AG165" s="4">
        <v>1</v>
      </c>
      <c r="AH165" s="6">
        <v>20.65</v>
      </c>
      <c r="AI165" s="5">
        <v>8</v>
      </c>
      <c r="AJ165" s="5">
        <v>8.1864</v>
      </c>
      <c r="AK165" s="4">
        <v>1</v>
      </c>
      <c r="AL165" s="6">
        <v>9.66</v>
      </c>
      <c r="AM165" s="4"/>
      <c r="AN165" s="6"/>
      <c r="AO165" s="5"/>
      <c r="AP165" s="5"/>
      <c r="AQ165" s="4">
        <v>179</v>
      </c>
      <c r="AR165" s="6">
        <v>3879.9</v>
      </c>
      <c r="AS165" s="4">
        <v>181</v>
      </c>
      <c r="AT165" s="6">
        <v>3706.15</v>
      </c>
      <c r="AU165" s="5">
        <v>-0.011</v>
      </c>
      <c r="AV165" s="5">
        <v>0.0469</v>
      </c>
      <c r="AW165" s="4">
        <v>7</v>
      </c>
      <c r="AX165" s="6">
        <v>148.37</v>
      </c>
      <c r="AY165" s="4">
        <v>16</v>
      </c>
      <c r="AZ165" s="6">
        <v>333.48</v>
      </c>
      <c r="BA165" s="5">
        <v>-0.5625</v>
      </c>
      <c r="BB165" s="5">
        <v>-0.5551</v>
      </c>
      <c r="BC165" s="4"/>
      <c r="BD165" s="6"/>
      <c r="BE165" s="4"/>
      <c r="BF165" s="6"/>
      <c r="BG165" s="5"/>
      <c r="BH165" s="5"/>
      <c r="BI165" s="4">
        <v>19</v>
      </c>
      <c r="BJ165" s="6">
        <v>408.53</v>
      </c>
      <c r="BK165" s="4">
        <v>7</v>
      </c>
      <c r="BL165" s="6">
        <v>138.08</v>
      </c>
      <c r="BM165" s="5">
        <v>1.7143</v>
      </c>
      <c r="BN165" s="5">
        <v>1.9586</v>
      </c>
      <c r="BO165" s="4"/>
      <c r="BP165" s="6"/>
      <c r="BQ165" s="4"/>
      <c r="BR165" s="6"/>
      <c r="BS165" s="5"/>
      <c r="BT165" s="5"/>
      <c r="BU165" s="4">
        <v>6</v>
      </c>
      <c r="BV165" s="6">
        <v>155.34</v>
      </c>
      <c r="BW165" s="4">
        <v>1</v>
      </c>
      <c r="BX165" s="6">
        <v>19.8</v>
      </c>
      <c r="BY165" s="5">
        <v>5</v>
      </c>
      <c r="BZ165" s="5">
        <v>6.8455</v>
      </c>
      <c r="CA165" s="4">
        <v>3</v>
      </c>
      <c r="CB165" s="6">
        <v>61.94</v>
      </c>
      <c r="CC165" s="4">
        <v>4</v>
      </c>
      <c r="CD165" s="6">
        <v>79.37</v>
      </c>
      <c r="CE165" s="5">
        <v>-0.25</v>
      </c>
      <c r="CF165" s="5">
        <v>-0.2196</v>
      </c>
      <c r="CG165" s="4">
        <v>6</v>
      </c>
      <c r="CH165" s="6">
        <v>165.92</v>
      </c>
      <c r="CI165" s="4">
        <v>23</v>
      </c>
      <c r="CJ165" s="6">
        <v>424.56</v>
      </c>
      <c r="CK165" s="5">
        <v>-0.7391</v>
      </c>
      <c r="CL165" s="5">
        <v>-0.6092</v>
      </c>
      <c r="CM165" s="4"/>
      <c r="CN165" s="6"/>
      <c r="CO165" s="4"/>
      <c r="CP165" s="6"/>
      <c r="CQ165" s="5"/>
      <c r="CR165" s="5"/>
      <c r="CS165" s="4">
        <v>1</v>
      </c>
      <c r="CT165" s="6">
        <v>18.86</v>
      </c>
      <c r="CU165" s="4">
        <v>15</v>
      </c>
      <c r="CV165" s="6">
        <v>294.81</v>
      </c>
      <c r="CW165" s="5">
        <v>-0.9333</v>
      </c>
      <c r="CX165" s="5">
        <v>-0.936</v>
      </c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>
        <v>3</v>
      </c>
      <c r="DL165" s="6">
        <v>108.57</v>
      </c>
      <c r="DM165" s="4"/>
      <c r="DN165" s="6"/>
      <c r="DO165" s="5"/>
      <c r="DP165" s="5"/>
      <c r="DQ165" s="4">
        <v>6</v>
      </c>
      <c r="DR165" s="6">
        <v>189.84</v>
      </c>
      <c r="DS165" s="4">
        <v>10</v>
      </c>
      <c r="DT165" s="6">
        <v>237.18</v>
      </c>
      <c r="DU165" s="5">
        <v>-0.4</v>
      </c>
      <c r="DV165" s="5">
        <v>-0.1996</v>
      </c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>
        <v>5</v>
      </c>
      <c r="FV165" s="6">
        <v>101.35</v>
      </c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  <c r="IA165" s="4"/>
      <c r="IB165" s="6"/>
      <c r="IC165" s="4"/>
      <c r="ID165" s="6"/>
      <c r="IE165" s="5"/>
      <c r="IF165" s="5"/>
      <c r="IG165" s="4"/>
      <c r="IH165" s="6"/>
      <c r="II165" s="4"/>
      <c r="IJ165" s="6"/>
      <c r="IK165" s="5"/>
      <c r="IL165" s="5"/>
      <c r="IM165" s="4"/>
      <c r="IN165" s="6"/>
      <c r="IO165" s="4"/>
      <c r="IP165" s="6"/>
      <c r="IQ165" s="5"/>
      <c r="IR165" s="5"/>
      <c r="IS165" s="4"/>
      <c r="IT165" s="6"/>
      <c r="IU165" s="4"/>
      <c r="IV165" s="6"/>
      <c r="IW165" s="5"/>
      <c r="IX165" s="5"/>
      <c r="IY165" s="4"/>
      <c r="IZ165" s="6"/>
      <c r="JA165" s="4"/>
      <c r="JB165" s="6"/>
      <c r="JC165" s="5"/>
      <c r="JD165" s="5"/>
      <c r="JE165" s="4"/>
      <c r="JF165" s="6"/>
      <c r="JG165" s="4"/>
      <c r="JH165" s="6"/>
      <c r="JI165" s="5"/>
      <c r="JJ165" s="5"/>
      <c r="JK165" s="4">
        <v>44</v>
      </c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>
        <v>1598</v>
      </c>
      <c r="LF165" s="4"/>
      <c r="LG165" s="4"/>
      <c r="LH165" s="4"/>
      <c r="LI165" s="4"/>
      <c r="LJ165" s="4"/>
      <c r="LK165" s="4"/>
      <c r="LL165" s="4"/>
      <c r="LM165" s="4"/>
    </row>
    <row r="166">
      <c r="A166" s="3" t="s">
        <v>136</v>
      </c>
      <c r="B166" s="3" t="s">
        <v>172</v>
      </c>
      <c r="C166" s="3" t="s">
        <v>138</v>
      </c>
      <c r="D166" s="3" t="s">
        <v>139</v>
      </c>
      <c r="E166" s="3" t="s">
        <v>173</v>
      </c>
      <c r="F166" s="3" t="s">
        <v>173</v>
      </c>
      <c r="G166" s="3" t="s">
        <v>173</v>
      </c>
      <c r="H166" s="3" t="s">
        <v>167</v>
      </c>
      <c r="I166" s="3" t="s">
        <v>289</v>
      </c>
      <c r="J166" s="3" t="s">
        <v>228</v>
      </c>
      <c r="K166" s="4">
        <v>48</v>
      </c>
      <c r="L166" s="4">
        <f>=ROUNDDOWN(0.195918367346939,0)</f>
      </c>
      <c r="M166" s="4">
        <v>2415</v>
      </c>
      <c r="N166" s="5">
        <v>0.6395</v>
      </c>
      <c r="O166" s="4"/>
      <c r="P166" s="4">
        <f>=ROUNDDOWN({0},0)</f>
      </c>
      <c r="Q166" s="4"/>
      <c r="R166" s="5"/>
      <c r="S166" s="4">
        <v>202</v>
      </c>
      <c r="T166" s="6">
        <v>5001.03</v>
      </c>
      <c r="U166" s="4">
        <v>586</v>
      </c>
      <c r="V166" s="6">
        <v>12572.42</v>
      </c>
      <c r="W166" s="5">
        <v>-0.6553</v>
      </c>
      <c r="X166" s="5">
        <v>-0.6022</v>
      </c>
      <c r="Y166" s="4">
        <v>22</v>
      </c>
      <c r="Z166" s="6">
        <v>541.75</v>
      </c>
      <c r="AA166" s="4">
        <v>102</v>
      </c>
      <c r="AB166" s="6">
        <v>2194.82</v>
      </c>
      <c r="AC166" s="5">
        <v>-0.7843</v>
      </c>
      <c r="AD166" s="5">
        <v>-0.7532</v>
      </c>
      <c r="AE166" s="4">
        <v>1</v>
      </c>
      <c r="AF166" s="6">
        <v>18.59</v>
      </c>
      <c r="AG166" s="4">
        <v>5</v>
      </c>
      <c r="AH166" s="6">
        <v>116.22</v>
      </c>
      <c r="AI166" s="5">
        <v>-0.8</v>
      </c>
      <c r="AJ166" s="5">
        <v>-0.84</v>
      </c>
      <c r="AK166" s="4"/>
      <c r="AL166" s="6"/>
      <c r="AM166" s="4"/>
      <c r="AN166" s="6"/>
      <c r="AO166" s="5"/>
      <c r="AP166" s="5"/>
      <c r="AQ166" s="4">
        <v>110</v>
      </c>
      <c r="AR166" s="6">
        <v>2653.75</v>
      </c>
      <c r="AS166" s="4">
        <v>244</v>
      </c>
      <c r="AT166" s="6">
        <v>5027.52</v>
      </c>
      <c r="AU166" s="5">
        <v>-0.5492</v>
      </c>
      <c r="AV166" s="5">
        <v>-0.4722</v>
      </c>
      <c r="AW166" s="4">
        <v>4</v>
      </c>
      <c r="AX166" s="6">
        <v>108.42</v>
      </c>
      <c r="AY166" s="4">
        <v>6</v>
      </c>
      <c r="AZ166" s="6">
        <v>136.21</v>
      </c>
      <c r="BA166" s="5">
        <v>-0.3333</v>
      </c>
      <c r="BB166" s="5">
        <v>-0.204</v>
      </c>
      <c r="BC166" s="4">
        <v>32</v>
      </c>
      <c r="BD166" s="6">
        <v>857.9</v>
      </c>
      <c r="BE166" s="4">
        <v>164</v>
      </c>
      <c r="BF166" s="6">
        <v>3616.84</v>
      </c>
      <c r="BG166" s="5">
        <v>-0.8049</v>
      </c>
      <c r="BH166" s="5">
        <v>-0.7628</v>
      </c>
      <c r="BI166" s="4">
        <v>10</v>
      </c>
      <c r="BJ166" s="6">
        <v>267.53</v>
      </c>
      <c r="BK166" s="4">
        <v>15</v>
      </c>
      <c r="BL166" s="6">
        <v>346.62</v>
      </c>
      <c r="BM166" s="5">
        <v>-0.3333</v>
      </c>
      <c r="BN166" s="5">
        <v>-0.2282</v>
      </c>
      <c r="BO166" s="4"/>
      <c r="BP166" s="6"/>
      <c r="BQ166" s="4"/>
      <c r="BR166" s="6"/>
      <c r="BS166" s="5"/>
      <c r="BT166" s="5"/>
      <c r="BU166" s="4">
        <v>11</v>
      </c>
      <c r="BV166" s="6">
        <v>282.68</v>
      </c>
      <c r="BW166" s="4">
        <v>9</v>
      </c>
      <c r="BX166" s="6">
        <v>234.52</v>
      </c>
      <c r="BY166" s="5">
        <v>0.2222</v>
      </c>
      <c r="BZ166" s="5">
        <v>0.2054</v>
      </c>
      <c r="CA166" s="4">
        <v>1</v>
      </c>
      <c r="CB166" s="6">
        <v>25.75</v>
      </c>
      <c r="CC166" s="4">
        <v>1</v>
      </c>
      <c r="CD166" s="6">
        <v>22.82</v>
      </c>
      <c r="CE166" s="5"/>
      <c r="CF166" s="5">
        <v>0.1284</v>
      </c>
      <c r="CG166" s="4">
        <v>4</v>
      </c>
      <c r="CH166" s="6">
        <v>94.98</v>
      </c>
      <c r="CI166" s="4">
        <v>7</v>
      </c>
      <c r="CJ166" s="6">
        <v>116.41</v>
      </c>
      <c r="CK166" s="5">
        <v>-0.4286</v>
      </c>
      <c r="CL166" s="5">
        <v>-0.1841</v>
      </c>
      <c r="CM166" s="4"/>
      <c r="CN166" s="6"/>
      <c r="CO166" s="4"/>
      <c r="CP166" s="6"/>
      <c r="CQ166" s="5"/>
      <c r="CR166" s="5"/>
      <c r="CS166" s="4"/>
      <c r="CT166" s="6"/>
      <c r="CU166" s="4">
        <v>2</v>
      </c>
      <c r="CV166" s="6">
        <v>34.74</v>
      </c>
      <c r="CW166" s="5"/>
      <c r="CX166" s="5"/>
      <c r="CY166" s="4">
        <v>7</v>
      </c>
      <c r="CZ166" s="6">
        <v>149.68</v>
      </c>
      <c r="DA166" s="4">
        <v>25</v>
      </c>
      <c r="DB166" s="6">
        <v>601.99</v>
      </c>
      <c r="DC166" s="5">
        <v>-0.72</v>
      </c>
      <c r="DD166" s="5">
        <v>-0.7514</v>
      </c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>
        <v>4</v>
      </c>
      <c r="FV166" s="6">
        <v>83.53</v>
      </c>
      <c r="FW166" s="5"/>
      <c r="FX166" s="5"/>
      <c r="FY166" s="4"/>
      <c r="FZ166" s="6"/>
      <c r="GA166" s="4">
        <v>2</v>
      </c>
      <c r="GB166" s="6">
        <v>40.18</v>
      </c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  <c r="IA166" s="4"/>
      <c r="IB166" s="6"/>
      <c r="IC166" s="4"/>
      <c r="ID166" s="6"/>
      <c r="IE166" s="5"/>
      <c r="IF166" s="5"/>
      <c r="IG166" s="4"/>
      <c r="IH166" s="6"/>
      <c r="II166" s="4"/>
      <c r="IJ166" s="6"/>
      <c r="IK166" s="5"/>
      <c r="IL166" s="5"/>
      <c r="IM166" s="4"/>
      <c r="IN166" s="6"/>
      <c r="IO166" s="4"/>
      <c r="IP166" s="6"/>
      <c r="IQ166" s="5"/>
      <c r="IR166" s="5"/>
      <c r="IS166" s="4"/>
      <c r="IT166" s="6"/>
      <c r="IU166" s="4"/>
      <c r="IV166" s="6"/>
      <c r="IW166" s="5"/>
      <c r="IX166" s="5"/>
      <c r="IY166" s="4"/>
      <c r="IZ166" s="6"/>
      <c r="JA166" s="4"/>
      <c r="JB166" s="6"/>
      <c r="JC166" s="5"/>
      <c r="JD166" s="5"/>
      <c r="JE166" s="4"/>
      <c r="JF166" s="6"/>
      <c r="JG166" s="4"/>
      <c r="JH166" s="6"/>
      <c r="JI166" s="5"/>
      <c r="JJ166" s="5"/>
      <c r="JK166" s="4">
        <v>48</v>
      </c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>
        <v>2415</v>
      </c>
      <c r="LF166" s="4"/>
      <c r="LG166" s="4"/>
      <c r="LH166" s="4"/>
      <c r="LI166" s="4"/>
      <c r="LJ166" s="4"/>
      <c r="LK166" s="4"/>
      <c r="LL166" s="4"/>
      <c r="LM166" s="4"/>
    </row>
    <row r="167">
      <c r="A167" s="3" t="s">
        <v>136</v>
      </c>
      <c r="B167" s="3" t="s">
        <v>172</v>
      </c>
      <c r="C167" s="3" t="s">
        <v>138</v>
      </c>
      <c r="D167" s="3" t="s">
        <v>139</v>
      </c>
      <c r="E167" s="3" t="s">
        <v>173</v>
      </c>
      <c r="F167" s="3" t="s">
        <v>173</v>
      </c>
      <c r="G167" s="3" t="s">
        <v>173</v>
      </c>
      <c r="H167" s="3" t="s">
        <v>167</v>
      </c>
      <c r="I167" s="3" t="s">
        <v>290</v>
      </c>
      <c r="J167" s="3" t="s">
        <v>228</v>
      </c>
      <c r="K167" s="4"/>
      <c r="L167" s="4">
        <f>=ROUNDDOWN({0},0)</f>
      </c>
      <c r="M167" s="4">
        <v>1531</v>
      </c>
      <c r="N167" s="5">
        <v>0.3288</v>
      </c>
      <c r="O167" s="4"/>
      <c r="P167" s="4">
        <f>=ROUNDDOWN({0},0)</f>
      </c>
      <c r="Q167" s="4"/>
      <c r="R167" s="5"/>
      <c r="S167" s="4">
        <v>270</v>
      </c>
      <c r="T167" s="6">
        <v>4754.78</v>
      </c>
      <c r="U167" s="4">
        <v>755</v>
      </c>
      <c r="V167" s="6">
        <v>16868.92</v>
      </c>
      <c r="W167" s="5">
        <v>-0.6424</v>
      </c>
      <c r="X167" s="5">
        <v>-0.7181</v>
      </c>
      <c r="Y167" s="4">
        <v>72</v>
      </c>
      <c r="Z167" s="6">
        <v>1303.5</v>
      </c>
      <c r="AA167" s="4">
        <v>169</v>
      </c>
      <c r="AB167" s="6">
        <v>3930.97</v>
      </c>
      <c r="AC167" s="5">
        <v>-0.574</v>
      </c>
      <c r="AD167" s="5">
        <v>-0.6684</v>
      </c>
      <c r="AE167" s="4">
        <v>2</v>
      </c>
      <c r="AF167" s="6">
        <v>34.68</v>
      </c>
      <c r="AG167" s="4">
        <v>3</v>
      </c>
      <c r="AH167" s="6">
        <v>83.44</v>
      </c>
      <c r="AI167" s="5">
        <v>-0.3333</v>
      </c>
      <c r="AJ167" s="5">
        <v>-0.5844</v>
      </c>
      <c r="AK167" s="4"/>
      <c r="AL167" s="6"/>
      <c r="AM167" s="4"/>
      <c r="AN167" s="6"/>
      <c r="AO167" s="5"/>
      <c r="AP167" s="5"/>
      <c r="AQ167" s="4">
        <v>137</v>
      </c>
      <c r="AR167" s="6">
        <v>2420.11</v>
      </c>
      <c r="AS167" s="4">
        <v>343</v>
      </c>
      <c r="AT167" s="6">
        <v>7335.94</v>
      </c>
      <c r="AU167" s="5">
        <v>-0.6006</v>
      </c>
      <c r="AV167" s="5">
        <v>-0.6701</v>
      </c>
      <c r="AW167" s="4">
        <v>10</v>
      </c>
      <c r="AX167" s="6">
        <v>174</v>
      </c>
      <c r="AY167" s="4">
        <v>8</v>
      </c>
      <c r="AZ167" s="6">
        <v>164.25</v>
      </c>
      <c r="BA167" s="5">
        <v>0.25</v>
      </c>
      <c r="BB167" s="5">
        <v>0.0594</v>
      </c>
      <c r="BC167" s="4">
        <v>32</v>
      </c>
      <c r="BD167" s="6">
        <v>534.4</v>
      </c>
      <c r="BE167" s="4">
        <v>130</v>
      </c>
      <c r="BF167" s="6">
        <v>3006.16</v>
      </c>
      <c r="BG167" s="5">
        <v>-0.7538</v>
      </c>
      <c r="BH167" s="5">
        <v>-0.8222</v>
      </c>
      <c r="BI167" s="4">
        <v>9</v>
      </c>
      <c r="BJ167" s="6">
        <v>144.58</v>
      </c>
      <c r="BK167" s="4">
        <v>40</v>
      </c>
      <c r="BL167" s="6">
        <v>929.94</v>
      </c>
      <c r="BM167" s="5">
        <v>-0.775</v>
      </c>
      <c r="BN167" s="5">
        <v>-0.8445</v>
      </c>
      <c r="BO167" s="4">
        <v>1</v>
      </c>
      <c r="BP167" s="6">
        <v>16.97</v>
      </c>
      <c r="BQ167" s="4">
        <v>3</v>
      </c>
      <c r="BR167" s="6">
        <v>60.63</v>
      </c>
      <c r="BS167" s="5">
        <v>-0.6667</v>
      </c>
      <c r="BT167" s="5">
        <v>-0.7201</v>
      </c>
      <c r="BU167" s="4">
        <v>2</v>
      </c>
      <c r="BV167" s="6">
        <v>32.84</v>
      </c>
      <c r="BW167" s="4">
        <v>8</v>
      </c>
      <c r="BX167" s="6">
        <v>172.65</v>
      </c>
      <c r="BY167" s="5">
        <v>-0.75</v>
      </c>
      <c r="BZ167" s="5">
        <v>-0.8098</v>
      </c>
      <c r="CA167" s="4"/>
      <c r="CB167" s="6"/>
      <c r="CC167" s="4"/>
      <c r="CD167" s="6"/>
      <c r="CE167" s="5"/>
      <c r="CF167" s="5"/>
      <c r="CG167" s="4">
        <v>1</v>
      </c>
      <c r="CH167" s="6">
        <v>18.26</v>
      </c>
      <c r="CI167" s="4">
        <v>23</v>
      </c>
      <c r="CJ167" s="6">
        <v>508.45</v>
      </c>
      <c r="CK167" s="5">
        <v>-0.9565</v>
      </c>
      <c r="CL167" s="5">
        <v>-0.9641</v>
      </c>
      <c r="CM167" s="4"/>
      <c r="CN167" s="6"/>
      <c r="CO167" s="4"/>
      <c r="CP167" s="6"/>
      <c r="CQ167" s="5"/>
      <c r="CR167" s="5"/>
      <c r="CS167" s="4">
        <v>4</v>
      </c>
      <c r="CT167" s="6">
        <v>75.44</v>
      </c>
      <c r="CU167" s="4">
        <v>2</v>
      </c>
      <c r="CV167" s="6">
        <v>34.74</v>
      </c>
      <c r="CW167" s="5">
        <v>1</v>
      </c>
      <c r="CX167" s="5">
        <v>1.1716</v>
      </c>
      <c r="CY167" s="4"/>
      <c r="CZ167" s="6"/>
      <c r="DA167" s="4">
        <v>8</v>
      </c>
      <c r="DB167" s="6">
        <v>198.65</v>
      </c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>
        <v>1</v>
      </c>
      <c r="DN167" s="6">
        <v>47.99</v>
      </c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>
        <v>16</v>
      </c>
      <c r="FV167" s="6">
        <v>369.2</v>
      </c>
      <c r="FW167" s="5"/>
      <c r="FX167" s="5"/>
      <c r="FY167" s="4"/>
      <c r="FZ167" s="6"/>
      <c r="GA167" s="4">
        <v>1</v>
      </c>
      <c r="GB167" s="6">
        <v>25.91</v>
      </c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  <c r="IA167" s="4"/>
      <c r="IB167" s="6"/>
      <c r="IC167" s="4"/>
      <c r="ID167" s="6"/>
      <c r="IE167" s="5"/>
      <c r="IF167" s="5"/>
      <c r="IG167" s="4"/>
      <c r="IH167" s="6"/>
      <c r="II167" s="4"/>
      <c r="IJ167" s="6"/>
      <c r="IK167" s="5"/>
      <c r="IL167" s="5"/>
      <c r="IM167" s="4"/>
      <c r="IN167" s="6"/>
      <c r="IO167" s="4"/>
      <c r="IP167" s="6"/>
      <c r="IQ167" s="5"/>
      <c r="IR167" s="5"/>
      <c r="IS167" s="4"/>
      <c r="IT167" s="6"/>
      <c r="IU167" s="4"/>
      <c r="IV167" s="6"/>
      <c r="IW167" s="5"/>
      <c r="IX167" s="5"/>
      <c r="IY167" s="4"/>
      <c r="IZ167" s="6"/>
      <c r="JA167" s="4"/>
      <c r="JB167" s="6"/>
      <c r="JC167" s="5"/>
      <c r="JD167" s="5"/>
      <c r="JE167" s="4"/>
      <c r="JF167" s="6"/>
      <c r="JG167" s="4"/>
      <c r="JH167" s="6"/>
      <c r="JI167" s="5"/>
      <c r="JJ167" s="5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>
        <v>1531</v>
      </c>
      <c r="LF167" s="4"/>
      <c r="LG167" s="4"/>
      <c r="LH167" s="4"/>
      <c r="LI167" s="4"/>
      <c r="LJ167" s="4"/>
      <c r="LK167" s="4"/>
      <c r="LL167" s="4"/>
      <c r="LM167" s="4"/>
    </row>
    <row r="168">
      <c r="A168" s="3" t="s">
        <v>136</v>
      </c>
      <c r="B168" s="3" t="s">
        <v>172</v>
      </c>
      <c r="C168" s="3" t="s">
        <v>138</v>
      </c>
      <c r="D168" s="3" t="s">
        <v>139</v>
      </c>
      <c r="E168" s="3" t="s">
        <v>173</v>
      </c>
      <c r="F168" s="3" t="s">
        <v>173</v>
      </c>
      <c r="G168" s="3" t="s">
        <v>173</v>
      </c>
      <c r="H168" s="3" t="s">
        <v>167</v>
      </c>
      <c r="I168" s="3" t="s">
        <v>291</v>
      </c>
      <c r="J168" s="3" t="s">
        <v>226</v>
      </c>
      <c r="K168" s="4">
        <v>78</v>
      </c>
      <c r="L168" s="4">
        <f>=ROUNDDOWN(0.541666666666667,0)</f>
      </c>
      <c r="M168" s="4">
        <v>1439</v>
      </c>
      <c r="N168" s="5">
        <v>0.982</v>
      </c>
      <c r="O168" s="4"/>
      <c r="P168" s="4">
        <f>=ROUNDDOWN({0},0)</f>
      </c>
      <c r="Q168" s="4"/>
      <c r="R168" s="5"/>
      <c r="S168" s="4">
        <v>167</v>
      </c>
      <c r="T168" s="6">
        <v>4559.69</v>
      </c>
      <c r="U168" s="4">
        <v>549</v>
      </c>
      <c r="V168" s="6">
        <v>13518.19</v>
      </c>
      <c r="W168" s="5">
        <v>-0.6958</v>
      </c>
      <c r="X168" s="5">
        <v>-0.6627</v>
      </c>
      <c r="Y168" s="4">
        <v>41</v>
      </c>
      <c r="Z168" s="6">
        <v>1183.63</v>
      </c>
      <c r="AA168" s="4">
        <v>137</v>
      </c>
      <c r="AB168" s="6">
        <v>3482.39</v>
      </c>
      <c r="AC168" s="5">
        <v>-0.7007</v>
      </c>
      <c r="AD168" s="5">
        <v>-0.6601</v>
      </c>
      <c r="AE168" s="4">
        <v>5</v>
      </c>
      <c r="AF168" s="6">
        <v>123.38</v>
      </c>
      <c r="AG168" s="4">
        <v>6</v>
      </c>
      <c r="AH168" s="6">
        <v>157.94</v>
      </c>
      <c r="AI168" s="5">
        <v>-0.1667</v>
      </c>
      <c r="AJ168" s="5">
        <v>-0.2188</v>
      </c>
      <c r="AK168" s="4"/>
      <c r="AL168" s="6"/>
      <c r="AM168" s="4"/>
      <c r="AN168" s="6"/>
      <c r="AO168" s="5"/>
      <c r="AP168" s="5"/>
      <c r="AQ168" s="4">
        <v>45</v>
      </c>
      <c r="AR168" s="6">
        <v>1070.8</v>
      </c>
      <c r="AS168" s="4">
        <v>270</v>
      </c>
      <c r="AT168" s="6">
        <v>6483.49</v>
      </c>
      <c r="AU168" s="5">
        <v>-0.8333</v>
      </c>
      <c r="AV168" s="5">
        <v>-0.8348</v>
      </c>
      <c r="AW168" s="4">
        <v>14</v>
      </c>
      <c r="AX168" s="6">
        <v>396.91</v>
      </c>
      <c r="AY168" s="4">
        <v>9</v>
      </c>
      <c r="AZ168" s="6">
        <v>193.02</v>
      </c>
      <c r="BA168" s="5">
        <v>0.5556</v>
      </c>
      <c r="BB168" s="5">
        <v>1.0563</v>
      </c>
      <c r="BC168" s="4">
        <v>7</v>
      </c>
      <c r="BD168" s="6">
        <v>197.51</v>
      </c>
      <c r="BE168" s="4">
        <v>56</v>
      </c>
      <c r="BF168" s="6">
        <v>1333.1</v>
      </c>
      <c r="BG168" s="5">
        <v>-0.875</v>
      </c>
      <c r="BH168" s="5">
        <v>-0.8518</v>
      </c>
      <c r="BI168" s="4">
        <v>22</v>
      </c>
      <c r="BJ168" s="6">
        <v>581.53</v>
      </c>
      <c r="BK168" s="4">
        <v>23</v>
      </c>
      <c r="BL168" s="6">
        <v>570.88</v>
      </c>
      <c r="BM168" s="5">
        <v>-0.0435</v>
      </c>
      <c r="BN168" s="5">
        <v>0.0187</v>
      </c>
      <c r="BO168" s="4">
        <v>6</v>
      </c>
      <c r="BP168" s="6">
        <v>134.75</v>
      </c>
      <c r="BQ168" s="4">
        <v>2</v>
      </c>
      <c r="BR168" s="6">
        <v>48.73</v>
      </c>
      <c r="BS168" s="5">
        <v>2</v>
      </c>
      <c r="BT168" s="5">
        <v>1.7652</v>
      </c>
      <c r="BU168" s="4">
        <v>9</v>
      </c>
      <c r="BV168" s="6">
        <v>254.56</v>
      </c>
      <c r="BW168" s="4">
        <v>12</v>
      </c>
      <c r="BX168" s="6">
        <v>339.1</v>
      </c>
      <c r="BY168" s="5">
        <v>-0.25</v>
      </c>
      <c r="BZ168" s="5">
        <v>-0.2493</v>
      </c>
      <c r="CA168" s="4"/>
      <c r="CB168" s="6"/>
      <c r="CC168" s="4">
        <v>4</v>
      </c>
      <c r="CD168" s="6">
        <v>109.23</v>
      </c>
      <c r="CE168" s="5"/>
      <c r="CF168" s="5"/>
      <c r="CG168" s="4"/>
      <c r="CH168" s="6"/>
      <c r="CI168" s="4">
        <v>12</v>
      </c>
      <c r="CJ168" s="6">
        <v>329.28</v>
      </c>
      <c r="CK168" s="5"/>
      <c r="CL168" s="5"/>
      <c r="CM168" s="4"/>
      <c r="CN168" s="6"/>
      <c r="CO168" s="4"/>
      <c r="CP168" s="6"/>
      <c r="CQ168" s="5"/>
      <c r="CR168" s="5"/>
      <c r="CS168" s="4"/>
      <c r="CT168" s="6"/>
      <c r="CU168" s="4">
        <v>2</v>
      </c>
      <c r="CV168" s="6">
        <v>51.82</v>
      </c>
      <c r="CW168" s="5"/>
      <c r="CX168" s="5"/>
      <c r="CY168" s="4">
        <v>3</v>
      </c>
      <c r="CZ168" s="6">
        <v>89.82</v>
      </c>
      <c r="DA168" s="4">
        <v>4</v>
      </c>
      <c r="DB168" s="6">
        <v>107.78</v>
      </c>
      <c r="DC168" s="5">
        <v>-0.25</v>
      </c>
      <c r="DD168" s="5">
        <v>-0.1666</v>
      </c>
      <c r="DE168" s="4"/>
      <c r="DF168" s="6"/>
      <c r="DG168" s="4"/>
      <c r="DH168" s="6"/>
      <c r="DI168" s="5"/>
      <c r="DJ168" s="5"/>
      <c r="DK168" s="4">
        <v>8</v>
      </c>
      <c r="DL168" s="6">
        <v>368.6</v>
      </c>
      <c r="DM168" s="4"/>
      <c r="DN168" s="6"/>
      <c r="DO168" s="5"/>
      <c r="DP168" s="5"/>
      <c r="DQ168" s="4">
        <v>7</v>
      </c>
      <c r="DR168" s="6">
        <v>158.2</v>
      </c>
      <c r="DS168" s="4">
        <v>2</v>
      </c>
      <c r="DT168" s="6">
        <v>50.2</v>
      </c>
      <c r="DU168" s="5">
        <v>2.5</v>
      </c>
      <c r="DV168" s="5">
        <v>2.1514</v>
      </c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>
        <v>3</v>
      </c>
      <c r="FV168" s="6">
        <v>82.95</v>
      </c>
      <c r="FW168" s="5"/>
      <c r="FX168" s="5"/>
      <c r="FY168" s="4"/>
      <c r="FZ168" s="6"/>
      <c r="GA168" s="4">
        <v>7</v>
      </c>
      <c r="GB168" s="6">
        <v>178.28</v>
      </c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  <c r="IA168" s="4"/>
      <c r="IB168" s="6"/>
      <c r="IC168" s="4"/>
      <c r="ID168" s="6"/>
      <c r="IE168" s="5"/>
      <c r="IF168" s="5"/>
      <c r="IG168" s="4"/>
      <c r="IH168" s="6"/>
      <c r="II168" s="4"/>
      <c r="IJ168" s="6"/>
      <c r="IK168" s="5"/>
      <c r="IL168" s="5"/>
      <c r="IM168" s="4"/>
      <c r="IN168" s="6"/>
      <c r="IO168" s="4"/>
      <c r="IP168" s="6"/>
      <c r="IQ168" s="5"/>
      <c r="IR168" s="5"/>
      <c r="IS168" s="4"/>
      <c r="IT168" s="6"/>
      <c r="IU168" s="4"/>
      <c r="IV168" s="6"/>
      <c r="IW168" s="5"/>
      <c r="IX168" s="5"/>
      <c r="IY168" s="4"/>
      <c r="IZ168" s="6"/>
      <c r="JA168" s="4"/>
      <c r="JB168" s="6"/>
      <c r="JC168" s="5"/>
      <c r="JD168" s="5"/>
      <c r="JE168" s="4"/>
      <c r="JF168" s="6"/>
      <c r="JG168" s="4"/>
      <c r="JH168" s="6"/>
      <c r="JI168" s="5"/>
      <c r="JJ168" s="5"/>
      <c r="JK168" s="4">
        <v>78</v>
      </c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>
        <v>1439</v>
      </c>
      <c r="LF168" s="4"/>
      <c r="LG168" s="4"/>
      <c r="LH168" s="4"/>
      <c r="LI168" s="4"/>
      <c r="LJ168" s="4"/>
      <c r="LK168" s="4"/>
      <c r="LL168" s="4"/>
      <c r="LM168" s="4"/>
    </row>
    <row r="169">
      <c r="A169" s="3" t="s">
        <v>136</v>
      </c>
      <c r="B169" s="3" t="s">
        <v>172</v>
      </c>
      <c r="C169" s="3" t="s">
        <v>138</v>
      </c>
      <c r="D169" s="3" t="s">
        <v>139</v>
      </c>
      <c r="E169" s="3" t="s">
        <v>173</v>
      </c>
      <c r="F169" s="3" t="s">
        <v>173</v>
      </c>
      <c r="G169" s="3" t="s">
        <v>173</v>
      </c>
      <c r="H169" s="3" t="s">
        <v>167</v>
      </c>
      <c r="I169" s="3" t="s">
        <v>292</v>
      </c>
      <c r="J169" s="3" t="s">
        <v>241</v>
      </c>
      <c r="K169" s="4">
        <v>1084</v>
      </c>
      <c r="L169" s="4">
        <f>=ROUNDDOWN(16.7801857585139,0)</f>
      </c>
      <c r="M169" s="4"/>
      <c r="N169" s="5"/>
      <c r="O169" s="4"/>
      <c r="P169" s="4">
        <f>=ROUNDDOWN({0},0)</f>
      </c>
      <c r="Q169" s="4"/>
      <c r="R169" s="5"/>
      <c r="S169" s="4">
        <v>182</v>
      </c>
      <c r="T169" s="6">
        <v>4251.9</v>
      </c>
      <c r="U169" s="4">
        <v>209</v>
      </c>
      <c r="V169" s="6">
        <v>4451.78</v>
      </c>
      <c r="W169" s="5">
        <v>-0.1292</v>
      </c>
      <c r="X169" s="5">
        <v>-0.0449</v>
      </c>
      <c r="Y169" s="4">
        <v>49</v>
      </c>
      <c r="Z169" s="6">
        <v>1198.95</v>
      </c>
      <c r="AA169" s="4">
        <v>78</v>
      </c>
      <c r="AB169" s="6">
        <v>1702.54</v>
      </c>
      <c r="AC169" s="5">
        <v>-0.3718</v>
      </c>
      <c r="AD169" s="5">
        <v>-0.2958</v>
      </c>
      <c r="AE169" s="4">
        <v>8</v>
      </c>
      <c r="AF169" s="6">
        <v>173.79</v>
      </c>
      <c r="AG169" s="4"/>
      <c r="AH169" s="6"/>
      <c r="AI169" s="5"/>
      <c r="AJ169" s="5"/>
      <c r="AK169" s="4"/>
      <c r="AL169" s="6"/>
      <c r="AM169" s="4"/>
      <c r="AN169" s="6"/>
      <c r="AO169" s="5"/>
      <c r="AP169" s="5"/>
      <c r="AQ169" s="4">
        <v>62</v>
      </c>
      <c r="AR169" s="6">
        <v>1467.87</v>
      </c>
      <c r="AS169" s="4">
        <v>70</v>
      </c>
      <c r="AT169" s="6">
        <v>1405.56</v>
      </c>
      <c r="AU169" s="5">
        <v>-0.1143</v>
      </c>
      <c r="AV169" s="5">
        <v>0.0443</v>
      </c>
      <c r="AW169" s="4">
        <v>6</v>
      </c>
      <c r="AX169" s="6">
        <v>145.98</v>
      </c>
      <c r="AY169" s="4">
        <v>6</v>
      </c>
      <c r="AZ169" s="6">
        <v>147.37</v>
      </c>
      <c r="BA169" s="5"/>
      <c r="BB169" s="5">
        <v>-0.0094</v>
      </c>
      <c r="BC169" s="4">
        <v>23</v>
      </c>
      <c r="BD169" s="6">
        <v>516.5</v>
      </c>
      <c r="BE169" s="4">
        <v>35</v>
      </c>
      <c r="BF169" s="6">
        <v>747.91</v>
      </c>
      <c r="BG169" s="5">
        <v>-0.3429</v>
      </c>
      <c r="BH169" s="5">
        <v>-0.3094</v>
      </c>
      <c r="BI169" s="4">
        <v>26</v>
      </c>
      <c r="BJ169" s="6">
        <v>595.29</v>
      </c>
      <c r="BK169" s="4">
        <v>14</v>
      </c>
      <c r="BL169" s="6">
        <v>313.93</v>
      </c>
      <c r="BM169" s="5">
        <v>0.8571</v>
      </c>
      <c r="BN169" s="5">
        <v>0.8963</v>
      </c>
      <c r="BO169" s="4">
        <v>8</v>
      </c>
      <c r="BP169" s="6">
        <v>153.52</v>
      </c>
      <c r="BQ169" s="4">
        <v>1</v>
      </c>
      <c r="BR169" s="6">
        <v>20.54</v>
      </c>
      <c r="BS169" s="5">
        <v>7</v>
      </c>
      <c r="BT169" s="5">
        <v>6.4742</v>
      </c>
      <c r="BU169" s="4"/>
      <c r="BV169" s="6"/>
      <c r="BW169" s="4"/>
      <c r="BX169" s="6"/>
      <c r="BY169" s="5"/>
      <c r="BZ169" s="5"/>
      <c r="CA169" s="4"/>
      <c r="CB169" s="6"/>
      <c r="CC169" s="4">
        <v>1</v>
      </c>
      <c r="CD169" s="6">
        <v>25.91</v>
      </c>
      <c r="CE169" s="5"/>
      <c r="CF169" s="5"/>
      <c r="CG169" s="4"/>
      <c r="CH169" s="6"/>
      <c r="CI169" s="4">
        <v>1</v>
      </c>
      <c r="CJ169" s="6">
        <v>31.88</v>
      </c>
      <c r="CK169" s="5"/>
      <c r="CL169" s="5"/>
      <c r="CM169" s="4"/>
      <c r="CN169" s="6"/>
      <c r="CO169" s="4"/>
      <c r="CP169" s="6"/>
      <c r="CQ169" s="5"/>
      <c r="CR169" s="5"/>
      <c r="CS169" s="4"/>
      <c r="CT169" s="6"/>
      <c r="CU169" s="4">
        <v>2</v>
      </c>
      <c r="CV169" s="6">
        <v>37.72</v>
      </c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>
        <v>1</v>
      </c>
      <c r="FV169" s="6">
        <v>18.42</v>
      </c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  <c r="IA169" s="4"/>
      <c r="IB169" s="6"/>
      <c r="IC169" s="4"/>
      <c r="ID169" s="6"/>
      <c r="IE169" s="5"/>
      <c r="IF169" s="5"/>
      <c r="IG169" s="4"/>
      <c r="IH169" s="6"/>
      <c r="II169" s="4"/>
      <c r="IJ169" s="6"/>
      <c r="IK169" s="5"/>
      <c r="IL169" s="5"/>
      <c r="IM169" s="4"/>
      <c r="IN169" s="6"/>
      <c r="IO169" s="4"/>
      <c r="IP169" s="6"/>
      <c r="IQ169" s="5"/>
      <c r="IR169" s="5"/>
      <c r="IS169" s="4"/>
      <c r="IT169" s="6"/>
      <c r="IU169" s="4"/>
      <c r="IV169" s="6"/>
      <c r="IW169" s="5"/>
      <c r="IX169" s="5"/>
      <c r="IY169" s="4"/>
      <c r="IZ169" s="6"/>
      <c r="JA169" s="4"/>
      <c r="JB169" s="6"/>
      <c r="JC169" s="5"/>
      <c r="JD169" s="5"/>
      <c r="JE169" s="4"/>
      <c r="JF169" s="6"/>
      <c r="JG169" s="4"/>
      <c r="JH169" s="6"/>
      <c r="JI169" s="5"/>
      <c r="JJ169" s="5"/>
      <c r="JK169" s="4">
        <v>1084</v>
      </c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  <c r="LM169" s="4"/>
    </row>
    <row r="170">
      <c r="A170" s="3" t="s">
        <v>136</v>
      </c>
      <c r="B170" s="3" t="s">
        <v>172</v>
      </c>
      <c r="C170" s="3" t="s">
        <v>138</v>
      </c>
      <c r="D170" s="3" t="s">
        <v>139</v>
      </c>
      <c r="E170" s="3" t="s">
        <v>173</v>
      </c>
      <c r="F170" s="3" t="s">
        <v>173</v>
      </c>
      <c r="G170" s="3" t="s">
        <v>173</v>
      </c>
      <c r="H170" s="3" t="s">
        <v>167</v>
      </c>
      <c r="I170" s="3" t="s">
        <v>293</v>
      </c>
      <c r="J170" s="3" t="s">
        <v>228</v>
      </c>
      <c r="K170" s="4">
        <v>134</v>
      </c>
      <c r="L170" s="4">
        <f>=ROUNDDOWN(1.11666666666667,0)</f>
      </c>
      <c r="M170" s="4">
        <v>1180</v>
      </c>
      <c r="N170" s="5">
        <v>0.5373</v>
      </c>
      <c r="O170" s="4"/>
      <c r="P170" s="4">
        <f>=ROUNDDOWN({0},0)</f>
      </c>
      <c r="Q170" s="4"/>
      <c r="R170" s="5"/>
      <c r="S170" s="4">
        <v>171</v>
      </c>
      <c r="T170" s="6">
        <v>4039.41</v>
      </c>
      <c r="U170" s="4">
        <v>732</v>
      </c>
      <c r="V170" s="6">
        <v>16739.89</v>
      </c>
      <c r="W170" s="5">
        <v>-0.7664</v>
      </c>
      <c r="X170" s="5">
        <v>-0.7587</v>
      </c>
      <c r="Y170" s="4">
        <v>21</v>
      </c>
      <c r="Z170" s="6">
        <v>437.49</v>
      </c>
      <c r="AA170" s="4">
        <v>101</v>
      </c>
      <c r="AB170" s="6">
        <v>2419.72</v>
      </c>
      <c r="AC170" s="5">
        <v>-0.7921</v>
      </c>
      <c r="AD170" s="5">
        <v>-0.8192</v>
      </c>
      <c r="AE170" s="4">
        <v>4</v>
      </c>
      <c r="AF170" s="6">
        <v>99.23</v>
      </c>
      <c r="AG170" s="4">
        <v>5</v>
      </c>
      <c r="AH170" s="6">
        <v>128.14</v>
      </c>
      <c r="AI170" s="5">
        <v>-0.2</v>
      </c>
      <c r="AJ170" s="5">
        <v>-0.2256</v>
      </c>
      <c r="AK170" s="4"/>
      <c r="AL170" s="6"/>
      <c r="AM170" s="4"/>
      <c r="AN170" s="6"/>
      <c r="AO170" s="5"/>
      <c r="AP170" s="5"/>
      <c r="AQ170" s="4">
        <v>87</v>
      </c>
      <c r="AR170" s="6">
        <v>2032.95</v>
      </c>
      <c r="AS170" s="4">
        <v>375</v>
      </c>
      <c r="AT170" s="6">
        <v>8234.5</v>
      </c>
      <c r="AU170" s="5">
        <v>-0.768</v>
      </c>
      <c r="AV170" s="5">
        <v>-0.7531</v>
      </c>
      <c r="AW170" s="4">
        <v>2</v>
      </c>
      <c r="AX170" s="6">
        <v>32.84</v>
      </c>
      <c r="AY170" s="4">
        <v>3</v>
      </c>
      <c r="AZ170" s="6">
        <v>84.73</v>
      </c>
      <c r="BA170" s="5">
        <v>-0.3333</v>
      </c>
      <c r="BB170" s="5">
        <v>-0.6124</v>
      </c>
      <c r="BC170" s="4">
        <v>25</v>
      </c>
      <c r="BD170" s="6">
        <v>513.83</v>
      </c>
      <c r="BE170" s="4">
        <v>100</v>
      </c>
      <c r="BF170" s="6">
        <v>2310.14</v>
      </c>
      <c r="BG170" s="5">
        <v>-0.75</v>
      </c>
      <c r="BH170" s="5">
        <v>-0.7776</v>
      </c>
      <c r="BI170" s="4">
        <v>10</v>
      </c>
      <c r="BJ170" s="6">
        <v>267.75</v>
      </c>
      <c r="BK170" s="4">
        <v>8</v>
      </c>
      <c r="BL170" s="6">
        <v>205.71</v>
      </c>
      <c r="BM170" s="5">
        <v>0.25</v>
      </c>
      <c r="BN170" s="5">
        <v>0.3016</v>
      </c>
      <c r="BO170" s="4"/>
      <c r="BP170" s="6"/>
      <c r="BQ170" s="4"/>
      <c r="BR170" s="6"/>
      <c r="BS170" s="5"/>
      <c r="BT170" s="5"/>
      <c r="BU170" s="4">
        <v>3</v>
      </c>
      <c r="BV170" s="6">
        <v>90.6</v>
      </c>
      <c r="BW170" s="4">
        <v>6</v>
      </c>
      <c r="BX170" s="6">
        <v>157.34</v>
      </c>
      <c r="BY170" s="5">
        <v>-0.5</v>
      </c>
      <c r="BZ170" s="5">
        <v>-0.4242</v>
      </c>
      <c r="CA170" s="4">
        <v>1</v>
      </c>
      <c r="CB170" s="6">
        <v>23.32</v>
      </c>
      <c r="CC170" s="4">
        <v>3</v>
      </c>
      <c r="CD170" s="6">
        <v>81.26</v>
      </c>
      <c r="CE170" s="5">
        <v>-0.6667</v>
      </c>
      <c r="CF170" s="5">
        <v>-0.713</v>
      </c>
      <c r="CG170" s="4">
        <v>13</v>
      </c>
      <c r="CH170" s="6">
        <v>358.84</v>
      </c>
      <c r="CI170" s="4">
        <v>103</v>
      </c>
      <c r="CJ170" s="6">
        <v>2435.44</v>
      </c>
      <c r="CK170" s="5">
        <v>-0.8738</v>
      </c>
      <c r="CL170" s="5">
        <v>-0.8527</v>
      </c>
      <c r="CM170" s="4"/>
      <c r="CN170" s="6"/>
      <c r="CO170" s="4"/>
      <c r="CP170" s="6"/>
      <c r="CQ170" s="5"/>
      <c r="CR170" s="5"/>
      <c r="CS170" s="4"/>
      <c r="CT170" s="6"/>
      <c r="CU170" s="4">
        <v>3</v>
      </c>
      <c r="CV170" s="6">
        <v>80.69</v>
      </c>
      <c r="CW170" s="5"/>
      <c r="CX170" s="5"/>
      <c r="CY170" s="4">
        <v>2</v>
      </c>
      <c r="CZ170" s="6">
        <v>54.43</v>
      </c>
      <c r="DA170" s="4">
        <v>13</v>
      </c>
      <c r="DB170" s="6">
        <v>302.06</v>
      </c>
      <c r="DC170" s="5">
        <v>-0.8462</v>
      </c>
      <c r="DD170" s="5">
        <v>-0.8198</v>
      </c>
      <c r="DE170" s="4"/>
      <c r="DF170" s="6"/>
      <c r="DG170" s="4"/>
      <c r="DH170" s="6"/>
      <c r="DI170" s="5"/>
      <c r="DJ170" s="5"/>
      <c r="DK170" s="4">
        <v>3</v>
      </c>
      <c r="DL170" s="6">
        <v>128.13</v>
      </c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>
        <v>3</v>
      </c>
      <c r="FV170" s="6">
        <v>89.09</v>
      </c>
      <c r="FW170" s="5"/>
      <c r="FX170" s="5"/>
      <c r="FY170" s="4"/>
      <c r="FZ170" s="6"/>
      <c r="GA170" s="4">
        <v>9</v>
      </c>
      <c r="GB170" s="6">
        <v>211.07</v>
      </c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  <c r="IA170" s="4"/>
      <c r="IB170" s="6"/>
      <c r="IC170" s="4"/>
      <c r="ID170" s="6"/>
      <c r="IE170" s="5"/>
      <c r="IF170" s="5"/>
      <c r="IG170" s="4"/>
      <c r="IH170" s="6"/>
      <c r="II170" s="4"/>
      <c r="IJ170" s="6"/>
      <c r="IK170" s="5"/>
      <c r="IL170" s="5"/>
      <c r="IM170" s="4"/>
      <c r="IN170" s="6"/>
      <c r="IO170" s="4"/>
      <c r="IP170" s="6"/>
      <c r="IQ170" s="5"/>
      <c r="IR170" s="5"/>
      <c r="IS170" s="4"/>
      <c r="IT170" s="6"/>
      <c r="IU170" s="4"/>
      <c r="IV170" s="6"/>
      <c r="IW170" s="5"/>
      <c r="IX170" s="5"/>
      <c r="IY170" s="4"/>
      <c r="IZ170" s="6"/>
      <c r="JA170" s="4"/>
      <c r="JB170" s="6"/>
      <c r="JC170" s="5"/>
      <c r="JD170" s="5"/>
      <c r="JE170" s="4"/>
      <c r="JF170" s="6"/>
      <c r="JG170" s="4"/>
      <c r="JH170" s="6"/>
      <c r="JI170" s="5"/>
      <c r="JJ170" s="5"/>
      <c r="JK170" s="4">
        <v>134</v>
      </c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>
        <v>1180</v>
      </c>
      <c r="LF170" s="4"/>
      <c r="LG170" s="4"/>
      <c r="LH170" s="4"/>
      <c r="LI170" s="4"/>
      <c r="LJ170" s="4"/>
      <c r="LK170" s="4"/>
      <c r="LL170" s="4"/>
      <c r="LM170" s="4"/>
    </row>
    <row r="171">
      <c r="A171" s="3" t="s">
        <v>136</v>
      </c>
      <c r="B171" s="3" t="s">
        <v>172</v>
      </c>
      <c r="C171" s="3" t="s">
        <v>138</v>
      </c>
      <c r="D171" s="3" t="s">
        <v>139</v>
      </c>
      <c r="E171" s="3" t="s">
        <v>173</v>
      </c>
      <c r="F171" s="3" t="s">
        <v>173</v>
      </c>
      <c r="G171" s="3" t="s">
        <v>173</v>
      </c>
      <c r="H171" s="3" t="s">
        <v>167</v>
      </c>
      <c r="I171" s="3" t="s">
        <v>294</v>
      </c>
      <c r="J171" s="3" t="s">
        <v>226</v>
      </c>
      <c r="K171" s="4">
        <v>2</v>
      </c>
      <c r="L171" s="4">
        <f>=ROUNDDOWN(0.0110497237569061,0)</f>
      </c>
      <c r="M171" s="4">
        <v>1776</v>
      </c>
      <c r="N171" s="5">
        <v>0.1968</v>
      </c>
      <c r="O171" s="4"/>
      <c r="P171" s="4">
        <f>=ROUNDDOWN({0},0)</f>
      </c>
      <c r="Q171" s="4"/>
      <c r="R171" s="5"/>
      <c r="S171" s="4">
        <v>196</v>
      </c>
      <c r="T171" s="6">
        <v>3255.3</v>
      </c>
      <c r="U171" s="4">
        <v>168</v>
      </c>
      <c r="V171" s="6">
        <v>4382.65</v>
      </c>
      <c r="W171" s="5">
        <v>0.1667</v>
      </c>
      <c r="X171" s="5">
        <v>-0.2572</v>
      </c>
      <c r="Y171" s="4">
        <v>21</v>
      </c>
      <c r="Z171" s="6">
        <v>367.5</v>
      </c>
      <c r="AA171" s="4">
        <v>28</v>
      </c>
      <c r="AB171" s="6">
        <v>749.25</v>
      </c>
      <c r="AC171" s="5">
        <v>-0.25</v>
      </c>
      <c r="AD171" s="5">
        <v>-0.5095</v>
      </c>
      <c r="AE171" s="4">
        <v>1</v>
      </c>
      <c r="AF171" s="6">
        <v>16.09</v>
      </c>
      <c r="AG171" s="4">
        <v>2</v>
      </c>
      <c r="AH171" s="6">
        <v>65.56</v>
      </c>
      <c r="AI171" s="5">
        <v>-0.5</v>
      </c>
      <c r="AJ171" s="5">
        <v>-0.7546</v>
      </c>
      <c r="AK171" s="4"/>
      <c r="AL171" s="6"/>
      <c r="AM171" s="4"/>
      <c r="AN171" s="6"/>
      <c r="AO171" s="5"/>
      <c r="AP171" s="5"/>
      <c r="AQ171" s="4">
        <v>98</v>
      </c>
      <c r="AR171" s="6">
        <v>1626.8</v>
      </c>
      <c r="AS171" s="4">
        <v>84</v>
      </c>
      <c r="AT171" s="6">
        <v>1992.63</v>
      </c>
      <c r="AU171" s="5">
        <v>0.1667</v>
      </c>
      <c r="AV171" s="5">
        <v>-0.1836</v>
      </c>
      <c r="AW171" s="4">
        <v>6</v>
      </c>
      <c r="AX171" s="6">
        <v>98.52</v>
      </c>
      <c r="AY171" s="4">
        <v>2</v>
      </c>
      <c r="AZ171" s="6">
        <v>67.1</v>
      </c>
      <c r="BA171" s="5">
        <v>2</v>
      </c>
      <c r="BB171" s="5">
        <v>0.4683</v>
      </c>
      <c r="BC171" s="4">
        <v>30</v>
      </c>
      <c r="BD171" s="6">
        <v>483</v>
      </c>
      <c r="BE171" s="4">
        <v>27</v>
      </c>
      <c r="BF171" s="6">
        <v>797.52</v>
      </c>
      <c r="BG171" s="5">
        <v>0.1111</v>
      </c>
      <c r="BH171" s="5">
        <v>-0.3944</v>
      </c>
      <c r="BI171" s="4"/>
      <c r="BJ171" s="6"/>
      <c r="BK171" s="4">
        <v>3</v>
      </c>
      <c r="BL171" s="6">
        <v>93</v>
      </c>
      <c r="BM171" s="5"/>
      <c r="BN171" s="5"/>
      <c r="BO171" s="4">
        <v>3</v>
      </c>
      <c r="BP171" s="6">
        <v>46.86</v>
      </c>
      <c r="BQ171" s="4">
        <v>10</v>
      </c>
      <c r="BR171" s="6">
        <v>304.91</v>
      </c>
      <c r="BS171" s="5">
        <v>-0.7</v>
      </c>
      <c r="BT171" s="5">
        <v>-0.8463</v>
      </c>
      <c r="BU171" s="4">
        <v>3</v>
      </c>
      <c r="BV171" s="6">
        <v>49.26</v>
      </c>
      <c r="BW171" s="4">
        <v>2</v>
      </c>
      <c r="BX171" s="6">
        <v>51.78</v>
      </c>
      <c r="BY171" s="5">
        <v>0.5</v>
      </c>
      <c r="BZ171" s="5">
        <v>-0.0487</v>
      </c>
      <c r="CA171" s="4">
        <v>1</v>
      </c>
      <c r="CB171" s="6">
        <v>20.55</v>
      </c>
      <c r="CC171" s="4">
        <v>1</v>
      </c>
      <c r="CD171" s="6">
        <v>47.39</v>
      </c>
      <c r="CE171" s="5"/>
      <c r="CF171" s="5">
        <v>-0.5664</v>
      </c>
      <c r="CG171" s="4">
        <v>29</v>
      </c>
      <c r="CH171" s="6">
        <v>481.4</v>
      </c>
      <c r="CI171" s="4">
        <v>1</v>
      </c>
      <c r="CJ171" s="6">
        <v>30.49</v>
      </c>
      <c r="CK171" s="5">
        <v>28</v>
      </c>
      <c r="CL171" s="5">
        <v>14.7888</v>
      </c>
      <c r="CM171" s="4"/>
      <c r="CN171" s="6"/>
      <c r="CO171" s="4"/>
      <c r="CP171" s="6"/>
      <c r="CQ171" s="5"/>
      <c r="CR171" s="5"/>
      <c r="CS171" s="4"/>
      <c r="CT171" s="6"/>
      <c r="CU171" s="4"/>
      <c r="CV171" s="6"/>
      <c r="CW171" s="5"/>
      <c r="CX171" s="5"/>
      <c r="CY171" s="4">
        <v>4</v>
      </c>
      <c r="CZ171" s="6">
        <v>65.32</v>
      </c>
      <c r="DA171" s="4">
        <v>5</v>
      </c>
      <c r="DB171" s="6">
        <v>81.65</v>
      </c>
      <c r="DC171" s="5">
        <v>-0.2</v>
      </c>
      <c r="DD171" s="5">
        <v>-0.2</v>
      </c>
      <c r="DE171" s="4"/>
      <c r="DF171" s="6"/>
      <c r="DG171" s="4"/>
      <c r="DH171" s="6"/>
      <c r="DI171" s="5"/>
      <c r="DJ171" s="5"/>
      <c r="DK171" s="4"/>
      <c r="DL171" s="6"/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/>
      <c r="FP171" s="6"/>
      <c r="FQ171" s="5"/>
      <c r="FR171" s="5"/>
      <c r="FS171" s="4"/>
      <c r="FT171" s="6"/>
      <c r="FU171" s="4">
        <v>3</v>
      </c>
      <c r="FV171" s="6">
        <v>101.37</v>
      </c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  <c r="IA171" s="4"/>
      <c r="IB171" s="6"/>
      <c r="IC171" s="4"/>
      <c r="ID171" s="6"/>
      <c r="IE171" s="5"/>
      <c r="IF171" s="5"/>
      <c r="IG171" s="4"/>
      <c r="IH171" s="6"/>
      <c r="II171" s="4"/>
      <c r="IJ171" s="6"/>
      <c r="IK171" s="5"/>
      <c r="IL171" s="5"/>
      <c r="IM171" s="4"/>
      <c r="IN171" s="6"/>
      <c r="IO171" s="4"/>
      <c r="IP171" s="6"/>
      <c r="IQ171" s="5"/>
      <c r="IR171" s="5"/>
      <c r="IS171" s="4"/>
      <c r="IT171" s="6"/>
      <c r="IU171" s="4"/>
      <c r="IV171" s="6"/>
      <c r="IW171" s="5"/>
      <c r="IX171" s="5"/>
      <c r="IY171" s="4"/>
      <c r="IZ171" s="6"/>
      <c r="JA171" s="4"/>
      <c r="JB171" s="6"/>
      <c r="JC171" s="5"/>
      <c r="JD171" s="5"/>
      <c r="JE171" s="4"/>
      <c r="JF171" s="6"/>
      <c r="JG171" s="4"/>
      <c r="JH171" s="6"/>
      <c r="JI171" s="5"/>
      <c r="JJ171" s="5"/>
      <c r="JK171" s="4">
        <v>2</v>
      </c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>
        <v>1776</v>
      </c>
      <c r="LF171" s="4"/>
      <c r="LG171" s="4"/>
      <c r="LH171" s="4"/>
      <c r="LI171" s="4"/>
      <c r="LJ171" s="4"/>
      <c r="LK171" s="4"/>
      <c r="LL171" s="4"/>
      <c r="LM171" s="4"/>
    </row>
    <row r="172">
      <c r="A172" s="3" t="s">
        <v>136</v>
      </c>
      <c r="B172" s="3" t="s">
        <v>172</v>
      </c>
      <c r="C172" s="3" t="s">
        <v>138</v>
      </c>
      <c r="D172" s="3" t="s">
        <v>139</v>
      </c>
      <c r="E172" s="3" t="s">
        <v>173</v>
      </c>
      <c r="F172" s="3" t="s">
        <v>173</v>
      </c>
      <c r="G172" s="3" t="s">
        <v>173</v>
      </c>
      <c r="H172" s="3" t="s">
        <v>167</v>
      </c>
      <c r="I172" s="3" t="s">
        <v>295</v>
      </c>
      <c r="J172" s="3" t="s">
        <v>228</v>
      </c>
      <c r="K172" s="4">
        <v>114</v>
      </c>
      <c r="L172" s="4">
        <f>=ROUNDDOWN(1.78125,0)</f>
      </c>
      <c r="M172" s="4">
        <v>653</v>
      </c>
      <c r="N172" s="5">
        <v>0.8374</v>
      </c>
      <c r="O172" s="4"/>
      <c r="P172" s="4">
        <f>=ROUNDDOWN({0},0)</f>
      </c>
      <c r="Q172" s="4"/>
      <c r="R172" s="5"/>
      <c r="S172" s="4">
        <v>114</v>
      </c>
      <c r="T172" s="6">
        <v>3179.33</v>
      </c>
      <c r="U172" s="4">
        <v>138</v>
      </c>
      <c r="V172" s="6">
        <v>3957.77</v>
      </c>
      <c r="W172" s="5">
        <v>-0.1739</v>
      </c>
      <c r="X172" s="5">
        <v>-0.1967</v>
      </c>
      <c r="Y172" s="4">
        <v>19</v>
      </c>
      <c r="Z172" s="6">
        <v>547.37</v>
      </c>
      <c r="AA172" s="4">
        <v>38</v>
      </c>
      <c r="AB172" s="6">
        <v>1119.3</v>
      </c>
      <c r="AC172" s="5">
        <v>-0.5</v>
      </c>
      <c r="AD172" s="5">
        <v>-0.511</v>
      </c>
      <c r="AE172" s="4">
        <v>2</v>
      </c>
      <c r="AF172" s="6">
        <v>59</v>
      </c>
      <c r="AG172" s="4">
        <v>3</v>
      </c>
      <c r="AH172" s="6">
        <v>92.38</v>
      </c>
      <c r="AI172" s="5">
        <v>-0.3333</v>
      </c>
      <c r="AJ172" s="5">
        <v>-0.3613</v>
      </c>
      <c r="AK172" s="4"/>
      <c r="AL172" s="6"/>
      <c r="AM172" s="4"/>
      <c r="AN172" s="6"/>
      <c r="AO172" s="5"/>
      <c r="AP172" s="5"/>
      <c r="AQ172" s="4">
        <v>53</v>
      </c>
      <c r="AR172" s="6">
        <v>1435.76</v>
      </c>
      <c r="AS172" s="4">
        <v>55</v>
      </c>
      <c r="AT172" s="6">
        <v>1540.48</v>
      </c>
      <c r="AU172" s="5">
        <v>-0.0364</v>
      </c>
      <c r="AV172" s="5">
        <v>-0.068</v>
      </c>
      <c r="AW172" s="4">
        <v>7</v>
      </c>
      <c r="AX172" s="6">
        <v>176.88</v>
      </c>
      <c r="AY172" s="4">
        <v>5</v>
      </c>
      <c r="AZ172" s="6">
        <v>155.07</v>
      </c>
      <c r="BA172" s="5">
        <v>0.4</v>
      </c>
      <c r="BB172" s="5">
        <v>0.1406</v>
      </c>
      <c r="BC172" s="4">
        <v>9</v>
      </c>
      <c r="BD172" s="6">
        <v>240.21</v>
      </c>
      <c r="BE172" s="4">
        <v>10</v>
      </c>
      <c r="BF172" s="6">
        <v>263.19</v>
      </c>
      <c r="BG172" s="5">
        <v>-0.1</v>
      </c>
      <c r="BH172" s="5">
        <v>-0.0873</v>
      </c>
      <c r="BI172" s="4">
        <v>12</v>
      </c>
      <c r="BJ172" s="6">
        <v>315.71</v>
      </c>
      <c r="BK172" s="4">
        <v>6</v>
      </c>
      <c r="BL172" s="6">
        <v>154.98</v>
      </c>
      <c r="BM172" s="5">
        <v>1</v>
      </c>
      <c r="BN172" s="5">
        <v>1.0371</v>
      </c>
      <c r="BO172" s="4"/>
      <c r="BP172" s="6"/>
      <c r="BQ172" s="4"/>
      <c r="BR172" s="6"/>
      <c r="BS172" s="5"/>
      <c r="BT172" s="5"/>
      <c r="BU172" s="4">
        <v>7</v>
      </c>
      <c r="BV172" s="6">
        <v>194.16</v>
      </c>
      <c r="BW172" s="4">
        <v>17</v>
      </c>
      <c r="BX172" s="6">
        <v>503.61</v>
      </c>
      <c r="BY172" s="5">
        <v>-0.5882</v>
      </c>
      <c r="BZ172" s="5">
        <v>-0.6145</v>
      </c>
      <c r="CA172" s="4"/>
      <c r="CB172" s="6"/>
      <c r="CC172" s="4">
        <v>2</v>
      </c>
      <c r="CD172" s="6">
        <v>63.9</v>
      </c>
      <c r="CE172" s="5"/>
      <c r="CF172" s="5"/>
      <c r="CG172" s="4">
        <v>2</v>
      </c>
      <c r="CH172" s="6">
        <v>50.99</v>
      </c>
      <c r="CI172" s="4">
        <v>1</v>
      </c>
      <c r="CJ172" s="6">
        <v>31.07</v>
      </c>
      <c r="CK172" s="5">
        <v>1</v>
      </c>
      <c r="CL172" s="5">
        <v>0.6411</v>
      </c>
      <c r="CM172" s="4"/>
      <c r="CN172" s="6"/>
      <c r="CO172" s="4"/>
      <c r="CP172" s="6"/>
      <c r="CQ172" s="5"/>
      <c r="CR172" s="5"/>
      <c r="CS172" s="4"/>
      <c r="CT172" s="6"/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>
        <v>3</v>
      </c>
      <c r="DL172" s="6">
        <v>159.25</v>
      </c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>
        <v>1</v>
      </c>
      <c r="FV172" s="6">
        <v>33.79</v>
      </c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  <c r="IA172" s="4"/>
      <c r="IB172" s="6"/>
      <c r="IC172" s="4"/>
      <c r="ID172" s="6"/>
      <c r="IE172" s="5"/>
      <c r="IF172" s="5"/>
      <c r="IG172" s="4"/>
      <c r="IH172" s="6"/>
      <c r="II172" s="4"/>
      <c r="IJ172" s="6"/>
      <c r="IK172" s="5"/>
      <c r="IL172" s="5"/>
      <c r="IM172" s="4"/>
      <c r="IN172" s="6"/>
      <c r="IO172" s="4"/>
      <c r="IP172" s="6"/>
      <c r="IQ172" s="5"/>
      <c r="IR172" s="5"/>
      <c r="IS172" s="4"/>
      <c r="IT172" s="6"/>
      <c r="IU172" s="4"/>
      <c r="IV172" s="6"/>
      <c r="IW172" s="5"/>
      <c r="IX172" s="5"/>
      <c r="IY172" s="4"/>
      <c r="IZ172" s="6"/>
      <c r="JA172" s="4"/>
      <c r="JB172" s="6"/>
      <c r="JC172" s="5"/>
      <c r="JD172" s="5"/>
      <c r="JE172" s="4"/>
      <c r="JF172" s="6"/>
      <c r="JG172" s="4"/>
      <c r="JH172" s="6"/>
      <c r="JI172" s="5"/>
      <c r="JJ172" s="5"/>
      <c r="JK172" s="4">
        <v>114</v>
      </c>
      <c r="JL172" s="4"/>
      <c r="JM172" s="4"/>
      <c r="JN172" s="4"/>
      <c r="JO172" s="4"/>
      <c r="JP172" s="4"/>
      <c r="JQ172" s="4"/>
      <c r="JR172" s="4"/>
      <c r="JS172" s="4"/>
      <c r="JT172" s="4"/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/>
      <c r="LA172" s="4"/>
      <c r="LB172" s="4"/>
      <c r="LC172" s="4"/>
      <c r="LD172" s="4"/>
      <c r="LE172" s="4">
        <v>653</v>
      </c>
      <c r="LF172" s="4"/>
      <c r="LG172" s="4"/>
      <c r="LH172" s="4"/>
      <c r="LI172" s="4"/>
      <c r="LJ172" s="4"/>
      <c r="LK172" s="4"/>
      <c r="LL172" s="4"/>
      <c r="LM172" s="4"/>
    </row>
    <row r="173">
      <c r="A173" s="3" t="s">
        <v>136</v>
      </c>
      <c r="B173" s="3" t="s">
        <v>172</v>
      </c>
      <c r="C173" s="3" t="s">
        <v>138</v>
      </c>
      <c r="D173" s="3" t="s">
        <v>139</v>
      </c>
      <c r="E173" s="3" t="s">
        <v>173</v>
      </c>
      <c r="F173" s="3" t="s">
        <v>173</v>
      </c>
      <c r="G173" s="3" t="s">
        <v>173</v>
      </c>
      <c r="H173" s="3" t="s">
        <v>167</v>
      </c>
      <c r="I173" s="3" t="s">
        <v>296</v>
      </c>
      <c r="J173" s="3" t="s">
        <v>228</v>
      </c>
      <c r="K173" s="4"/>
      <c r="L173" s="4">
        <f>=ROUNDDOWN({0},0)</f>
      </c>
      <c r="M173" s="4">
        <v>1517</v>
      </c>
      <c r="N173" s="5">
        <v>0.1152</v>
      </c>
      <c r="O173" s="4"/>
      <c r="P173" s="4">
        <f>=ROUNDDOWN({0},0)</f>
      </c>
      <c r="Q173" s="4"/>
      <c r="R173" s="5"/>
      <c r="S173" s="4">
        <v>104</v>
      </c>
      <c r="T173" s="6">
        <v>2691.98</v>
      </c>
      <c r="U173" s="4">
        <v>426</v>
      </c>
      <c r="V173" s="6">
        <v>10945.59</v>
      </c>
      <c r="W173" s="5">
        <v>-0.7559</v>
      </c>
      <c r="X173" s="5">
        <v>-0.7541</v>
      </c>
      <c r="Y173" s="4">
        <v>3</v>
      </c>
      <c r="Z173" s="6">
        <v>79.53</v>
      </c>
      <c r="AA173" s="4">
        <v>86</v>
      </c>
      <c r="AB173" s="6">
        <v>2375.22</v>
      </c>
      <c r="AC173" s="5">
        <v>-0.9651</v>
      </c>
      <c r="AD173" s="5">
        <v>-0.9665</v>
      </c>
      <c r="AE173" s="4">
        <v>2</v>
      </c>
      <c r="AF173" s="6">
        <v>50.96</v>
      </c>
      <c r="AG173" s="4">
        <v>11</v>
      </c>
      <c r="AH173" s="6">
        <v>315.88</v>
      </c>
      <c r="AI173" s="5">
        <v>-0.8182</v>
      </c>
      <c r="AJ173" s="5">
        <v>-0.8387</v>
      </c>
      <c r="AK173" s="4"/>
      <c r="AL173" s="6"/>
      <c r="AM173" s="4"/>
      <c r="AN173" s="6"/>
      <c r="AO173" s="5"/>
      <c r="AP173" s="5"/>
      <c r="AQ173" s="4">
        <v>71</v>
      </c>
      <c r="AR173" s="6">
        <v>1769.99</v>
      </c>
      <c r="AS173" s="4">
        <v>155</v>
      </c>
      <c r="AT173" s="6">
        <v>3577.31</v>
      </c>
      <c r="AU173" s="5">
        <v>-0.5419</v>
      </c>
      <c r="AV173" s="5">
        <v>-0.5052</v>
      </c>
      <c r="AW173" s="4">
        <v>2</v>
      </c>
      <c r="AX173" s="6">
        <v>60.4</v>
      </c>
      <c r="AY173" s="4">
        <v>12</v>
      </c>
      <c r="AZ173" s="6">
        <v>322.07</v>
      </c>
      <c r="BA173" s="5">
        <v>-0.8333</v>
      </c>
      <c r="BB173" s="5">
        <v>-0.8125</v>
      </c>
      <c r="BC173" s="4">
        <v>16</v>
      </c>
      <c r="BD173" s="6">
        <v>445.73</v>
      </c>
      <c r="BE173" s="4">
        <v>56</v>
      </c>
      <c r="BF173" s="6">
        <v>1540.93</v>
      </c>
      <c r="BG173" s="5">
        <v>-0.7143</v>
      </c>
      <c r="BH173" s="5">
        <v>-0.7107</v>
      </c>
      <c r="BI173" s="4">
        <v>5</v>
      </c>
      <c r="BJ173" s="6">
        <v>139.5</v>
      </c>
      <c r="BK173" s="4">
        <v>17</v>
      </c>
      <c r="BL173" s="6">
        <v>416.48</v>
      </c>
      <c r="BM173" s="5">
        <v>-0.7059</v>
      </c>
      <c r="BN173" s="5">
        <v>-0.665</v>
      </c>
      <c r="BO173" s="4">
        <v>1</v>
      </c>
      <c r="BP173" s="6">
        <v>28.76</v>
      </c>
      <c r="BQ173" s="4">
        <v>2</v>
      </c>
      <c r="BR173" s="6">
        <v>51.82</v>
      </c>
      <c r="BS173" s="5">
        <v>-0.5</v>
      </c>
      <c r="BT173" s="5">
        <v>-0.445</v>
      </c>
      <c r="BU173" s="4">
        <v>1</v>
      </c>
      <c r="BV173" s="6">
        <v>30.2</v>
      </c>
      <c r="BW173" s="4">
        <v>30</v>
      </c>
      <c r="BX173" s="6">
        <v>835.9</v>
      </c>
      <c r="BY173" s="5">
        <v>-0.9667</v>
      </c>
      <c r="BZ173" s="5">
        <v>-0.9639</v>
      </c>
      <c r="CA173" s="4"/>
      <c r="CB173" s="6"/>
      <c r="CC173" s="4">
        <v>37</v>
      </c>
      <c r="CD173" s="6">
        <v>1073.02</v>
      </c>
      <c r="CE173" s="5"/>
      <c r="CF173" s="5"/>
      <c r="CG173" s="4">
        <v>3</v>
      </c>
      <c r="CH173" s="6">
        <v>86.91</v>
      </c>
      <c r="CI173" s="4">
        <v>13</v>
      </c>
      <c r="CJ173" s="6">
        <v>287.99</v>
      </c>
      <c r="CK173" s="5">
        <v>-0.7692</v>
      </c>
      <c r="CL173" s="5">
        <v>-0.6982</v>
      </c>
      <c r="CM173" s="4"/>
      <c r="CN173" s="6"/>
      <c r="CO173" s="4"/>
      <c r="CP173" s="6"/>
      <c r="CQ173" s="5"/>
      <c r="CR173" s="5"/>
      <c r="CS173" s="4"/>
      <c r="CT173" s="6"/>
      <c r="CU173" s="4">
        <v>1</v>
      </c>
      <c r="CV173" s="6">
        <v>25.91</v>
      </c>
      <c r="CW173" s="5"/>
      <c r="CX173" s="5"/>
      <c r="CY173" s="4"/>
      <c r="CZ173" s="6"/>
      <c r="DA173" s="4">
        <v>2</v>
      </c>
      <c r="DB173" s="6">
        <v>32.66</v>
      </c>
      <c r="DC173" s="5"/>
      <c r="DD173" s="5"/>
      <c r="DE173" s="4"/>
      <c r="DF173" s="6"/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/>
      <c r="DR173" s="6"/>
      <c r="DS173" s="4"/>
      <c r="DT173" s="6"/>
      <c r="DU173" s="5"/>
      <c r="DV173" s="5"/>
      <c r="DW173" s="4"/>
      <c r="DX173" s="6"/>
      <c r="DY173" s="4"/>
      <c r="DZ173" s="6"/>
      <c r="EA173" s="5"/>
      <c r="EB173" s="5"/>
      <c r="EC173" s="4"/>
      <c r="ED173" s="6"/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>
        <v>3</v>
      </c>
      <c r="FV173" s="6">
        <v>64.49</v>
      </c>
      <c r="FW173" s="5"/>
      <c r="FX173" s="5"/>
      <c r="FY173" s="4"/>
      <c r="FZ173" s="6"/>
      <c r="GA173" s="4">
        <v>1</v>
      </c>
      <c r="GB173" s="6">
        <v>25.91</v>
      </c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  <c r="IA173" s="4"/>
      <c r="IB173" s="6"/>
      <c r="IC173" s="4"/>
      <c r="ID173" s="6"/>
      <c r="IE173" s="5"/>
      <c r="IF173" s="5"/>
      <c r="IG173" s="4"/>
      <c r="IH173" s="6"/>
      <c r="II173" s="4"/>
      <c r="IJ173" s="6"/>
      <c r="IK173" s="5"/>
      <c r="IL173" s="5"/>
      <c r="IM173" s="4"/>
      <c r="IN173" s="6"/>
      <c r="IO173" s="4"/>
      <c r="IP173" s="6"/>
      <c r="IQ173" s="5"/>
      <c r="IR173" s="5"/>
      <c r="IS173" s="4"/>
      <c r="IT173" s="6"/>
      <c r="IU173" s="4"/>
      <c r="IV173" s="6"/>
      <c r="IW173" s="5"/>
      <c r="IX173" s="5"/>
      <c r="IY173" s="4"/>
      <c r="IZ173" s="6"/>
      <c r="JA173" s="4"/>
      <c r="JB173" s="6"/>
      <c r="JC173" s="5"/>
      <c r="JD173" s="5"/>
      <c r="JE173" s="4"/>
      <c r="JF173" s="6"/>
      <c r="JG173" s="4"/>
      <c r="JH173" s="6"/>
      <c r="JI173" s="5"/>
      <c r="JJ173" s="5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>
        <v>1517</v>
      </c>
      <c r="LF173" s="4"/>
      <c r="LG173" s="4"/>
      <c r="LH173" s="4"/>
      <c r="LI173" s="4"/>
      <c r="LJ173" s="4"/>
      <c r="LK173" s="4"/>
      <c r="LL173" s="4"/>
      <c r="LM173" s="4"/>
    </row>
    <row r="174">
      <c r="A174" s="3" t="s">
        <v>136</v>
      </c>
      <c r="B174" s="3" t="s">
        <v>172</v>
      </c>
      <c r="C174" s="3" t="s">
        <v>138</v>
      </c>
      <c r="D174" s="3" t="s">
        <v>139</v>
      </c>
      <c r="E174" s="3" t="s">
        <v>173</v>
      </c>
      <c r="F174" s="3" t="s">
        <v>173</v>
      </c>
      <c r="G174" s="3" t="s">
        <v>173</v>
      </c>
      <c r="H174" s="3" t="s">
        <v>167</v>
      </c>
      <c r="I174" s="3" t="s">
        <v>297</v>
      </c>
      <c r="J174" s="3" t="s">
        <v>228</v>
      </c>
      <c r="K174" s="4">
        <v>1</v>
      </c>
      <c r="L174" s="4">
        <f>=ROUNDDOWN(0.00917431192660551,0)</f>
      </c>
      <c r="M174" s="4">
        <v>1091</v>
      </c>
      <c r="N174" s="5">
        <v>0.1687</v>
      </c>
      <c r="O174" s="4"/>
      <c r="P174" s="4">
        <f>=ROUNDDOWN({0},0)</f>
      </c>
      <c r="Q174" s="4"/>
      <c r="R174" s="5"/>
      <c r="S174" s="4">
        <v>120</v>
      </c>
      <c r="T174" s="6">
        <v>2241.69</v>
      </c>
      <c r="U174" s="4">
        <v>646</v>
      </c>
      <c r="V174" s="6">
        <v>13889.47</v>
      </c>
      <c r="W174" s="5">
        <v>-0.8142</v>
      </c>
      <c r="X174" s="5">
        <v>-0.8386</v>
      </c>
      <c r="Y174" s="4">
        <v>8</v>
      </c>
      <c r="Z174" s="6">
        <v>170.5</v>
      </c>
      <c r="AA174" s="4">
        <v>40</v>
      </c>
      <c r="AB174" s="6">
        <v>983.94</v>
      </c>
      <c r="AC174" s="5">
        <v>-0.8</v>
      </c>
      <c r="AD174" s="5">
        <v>-0.8267</v>
      </c>
      <c r="AE174" s="4"/>
      <c r="AF174" s="6"/>
      <c r="AG174" s="4">
        <v>2</v>
      </c>
      <c r="AH174" s="6">
        <v>44.49</v>
      </c>
      <c r="AI174" s="5"/>
      <c r="AJ174" s="5"/>
      <c r="AK174" s="4">
        <v>2</v>
      </c>
      <c r="AL174" s="6">
        <v>19.04</v>
      </c>
      <c r="AM174" s="4"/>
      <c r="AN174" s="6"/>
      <c r="AO174" s="5"/>
      <c r="AP174" s="5"/>
      <c r="AQ174" s="4">
        <v>54</v>
      </c>
      <c r="AR174" s="6">
        <v>969.66</v>
      </c>
      <c r="AS174" s="4">
        <v>379</v>
      </c>
      <c r="AT174" s="6">
        <v>7927.3</v>
      </c>
      <c r="AU174" s="5">
        <v>-0.8575</v>
      </c>
      <c r="AV174" s="5">
        <v>-0.8777</v>
      </c>
      <c r="AW174" s="4">
        <v>1</v>
      </c>
      <c r="AX174" s="6">
        <v>16.42</v>
      </c>
      <c r="AY174" s="4">
        <v>3</v>
      </c>
      <c r="AZ174" s="6">
        <v>72.66</v>
      </c>
      <c r="BA174" s="5">
        <v>-0.6667</v>
      </c>
      <c r="BB174" s="5">
        <v>-0.774</v>
      </c>
      <c r="BC174" s="4">
        <v>46</v>
      </c>
      <c r="BD174" s="6">
        <v>788.38</v>
      </c>
      <c r="BE174" s="4">
        <v>184</v>
      </c>
      <c r="BF174" s="6">
        <v>3924.68</v>
      </c>
      <c r="BG174" s="5">
        <v>-0.75</v>
      </c>
      <c r="BH174" s="5">
        <v>-0.7991</v>
      </c>
      <c r="BI174" s="4">
        <v>1</v>
      </c>
      <c r="BJ174" s="6">
        <v>15.22</v>
      </c>
      <c r="BK174" s="4">
        <v>9</v>
      </c>
      <c r="BL174" s="6">
        <v>228.25</v>
      </c>
      <c r="BM174" s="5">
        <v>-0.8889</v>
      </c>
      <c r="BN174" s="5">
        <v>-0.9333</v>
      </c>
      <c r="BO174" s="4">
        <v>1</v>
      </c>
      <c r="BP174" s="6">
        <v>28.76</v>
      </c>
      <c r="BQ174" s="4">
        <v>5</v>
      </c>
      <c r="BR174" s="6">
        <v>110.26</v>
      </c>
      <c r="BS174" s="5">
        <v>-0.8</v>
      </c>
      <c r="BT174" s="5">
        <v>-0.7392</v>
      </c>
      <c r="BU174" s="4">
        <v>3</v>
      </c>
      <c r="BV174" s="6">
        <v>76.82</v>
      </c>
      <c r="BW174" s="4">
        <v>3</v>
      </c>
      <c r="BX174" s="6">
        <v>78.36</v>
      </c>
      <c r="BY174" s="5"/>
      <c r="BZ174" s="5">
        <v>-0.0197</v>
      </c>
      <c r="CA174" s="4">
        <v>1</v>
      </c>
      <c r="CB174" s="6">
        <v>28.76</v>
      </c>
      <c r="CC174" s="4">
        <v>3</v>
      </c>
      <c r="CD174" s="6">
        <v>52.08</v>
      </c>
      <c r="CE174" s="5">
        <v>-0.6667</v>
      </c>
      <c r="CF174" s="5">
        <v>-0.4478</v>
      </c>
      <c r="CG174" s="4">
        <v>1</v>
      </c>
      <c r="CH174" s="6">
        <v>16.83</v>
      </c>
      <c r="CI174" s="4">
        <v>6</v>
      </c>
      <c r="CJ174" s="6">
        <v>153.88</v>
      </c>
      <c r="CK174" s="5">
        <v>-0.8333</v>
      </c>
      <c r="CL174" s="5">
        <v>-0.8906</v>
      </c>
      <c r="CM174" s="4"/>
      <c r="CN174" s="6"/>
      <c r="CO174" s="4"/>
      <c r="CP174" s="6"/>
      <c r="CQ174" s="5"/>
      <c r="CR174" s="5"/>
      <c r="CS174" s="4"/>
      <c r="CT174" s="6"/>
      <c r="CU174" s="4">
        <v>2</v>
      </c>
      <c r="CV174" s="6">
        <v>57.86</v>
      </c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>
        <v>2</v>
      </c>
      <c r="DL174" s="6">
        <v>111.3</v>
      </c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/>
      <c r="DX174" s="6"/>
      <c r="DY174" s="4"/>
      <c r="DZ174" s="6"/>
      <c r="EA174" s="5"/>
      <c r="EB174" s="5"/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>
        <v>1</v>
      </c>
      <c r="FV174" s="6">
        <v>27.65</v>
      </c>
      <c r="FW174" s="5"/>
      <c r="FX174" s="5"/>
      <c r="FY174" s="4"/>
      <c r="FZ174" s="6"/>
      <c r="GA174" s="4">
        <v>9</v>
      </c>
      <c r="GB174" s="6">
        <v>228.06</v>
      </c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  <c r="IA174" s="4"/>
      <c r="IB174" s="6"/>
      <c r="IC174" s="4"/>
      <c r="ID174" s="6"/>
      <c r="IE174" s="5"/>
      <c r="IF174" s="5"/>
      <c r="IG174" s="4"/>
      <c r="IH174" s="6"/>
      <c r="II174" s="4"/>
      <c r="IJ174" s="6"/>
      <c r="IK174" s="5"/>
      <c r="IL174" s="5"/>
      <c r="IM174" s="4"/>
      <c r="IN174" s="6"/>
      <c r="IO174" s="4"/>
      <c r="IP174" s="6"/>
      <c r="IQ174" s="5"/>
      <c r="IR174" s="5"/>
      <c r="IS174" s="4"/>
      <c r="IT174" s="6"/>
      <c r="IU174" s="4"/>
      <c r="IV174" s="6"/>
      <c r="IW174" s="5"/>
      <c r="IX174" s="5"/>
      <c r="IY174" s="4"/>
      <c r="IZ174" s="6"/>
      <c r="JA174" s="4"/>
      <c r="JB174" s="6"/>
      <c r="JC174" s="5"/>
      <c r="JD174" s="5"/>
      <c r="JE174" s="4"/>
      <c r="JF174" s="6"/>
      <c r="JG174" s="4"/>
      <c r="JH174" s="6"/>
      <c r="JI174" s="5"/>
      <c r="JJ174" s="5"/>
      <c r="JK174" s="4">
        <v>1</v>
      </c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>
        <v>1091</v>
      </c>
      <c r="LF174" s="4"/>
      <c r="LG174" s="4"/>
      <c r="LH174" s="4"/>
      <c r="LI174" s="4"/>
      <c r="LJ174" s="4"/>
      <c r="LK174" s="4"/>
      <c r="LL174" s="4"/>
      <c r="LM174" s="4"/>
    </row>
    <row r="175">
      <c r="A175" s="3" t="s">
        <v>136</v>
      </c>
      <c r="B175" s="3" t="s">
        <v>172</v>
      </c>
      <c r="C175" s="3" t="s">
        <v>138</v>
      </c>
      <c r="D175" s="3" t="s">
        <v>139</v>
      </c>
      <c r="E175" s="3" t="s">
        <v>173</v>
      </c>
      <c r="F175" s="3" t="s">
        <v>173</v>
      </c>
      <c r="G175" s="3" t="s">
        <v>173</v>
      </c>
      <c r="H175" s="3" t="s">
        <v>167</v>
      </c>
      <c r="I175" s="3" t="s">
        <v>298</v>
      </c>
      <c r="J175" s="3" t="s">
        <v>241</v>
      </c>
      <c r="K175" s="4"/>
      <c r="L175" s="4">
        <f>=ROUNDDOWN({0},0)</f>
      </c>
      <c r="M175" s="4"/>
      <c r="N175" s="5"/>
      <c r="O175" s="4"/>
      <c r="P175" s="4">
        <f>=ROUNDDOWN({0},0)</f>
      </c>
      <c r="Q175" s="4"/>
      <c r="R175" s="5"/>
      <c r="S175" s="4">
        <v>79</v>
      </c>
      <c r="T175" s="6">
        <v>1855.09</v>
      </c>
      <c r="U175" s="4">
        <v>443</v>
      </c>
      <c r="V175" s="6">
        <v>10793.62</v>
      </c>
      <c r="W175" s="5">
        <v>-0.8217</v>
      </c>
      <c r="X175" s="5">
        <v>-0.8281</v>
      </c>
      <c r="Y175" s="4">
        <v>4</v>
      </c>
      <c r="Z175" s="6">
        <v>100.5</v>
      </c>
      <c r="AA175" s="4">
        <v>41</v>
      </c>
      <c r="AB175" s="6">
        <v>1005.31</v>
      </c>
      <c r="AC175" s="5">
        <v>-0.9024</v>
      </c>
      <c r="AD175" s="5">
        <v>-0.9</v>
      </c>
      <c r="AE175" s="4">
        <v>4</v>
      </c>
      <c r="AF175" s="6">
        <v>118</v>
      </c>
      <c r="AG175" s="4">
        <v>7</v>
      </c>
      <c r="AH175" s="6">
        <v>217.54</v>
      </c>
      <c r="AI175" s="5">
        <v>-0.4286</v>
      </c>
      <c r="AJ175" s="5">
        <v>-0.4576</v>
      </c>
      <c r="AK175" s="4"/>
      <c r="AL175" s="6"/>
      <c r="AM175" s="4"/>
      <c r="AN175" s="6"/>
      <c r="AO175" s="5"/>
      <c r="AP175" s="5"/>
      <c r="AQ175" s="4">
        <v>29</v>
      </c>
      <c r="AR175" s="6">
        <v>516.15</v>
      </c>
      <c r="AS175" s="4">
        <v>260</v>
      </c>
      <c r="AT175" s="6">
        <v>5995.4</v>
      </c>
      <c r="AU175" s="5">
        <v>-0.8885</v>
      </c>
      <c r="AV175" s="5">
        <v>-0.9139</v>
      </c>
      <c r="AW175" s="4">
        <v>6</v>
      </c>
      <c r="AX175" s="6">
        <v>153.64</v>
      </c>
      <c r="AY175" s="4">
        <v>19</v>
      </c>
      <c r="AZ175" s="6">
        <v>479.83</v>
      </c>
      <c r="BA175" s="5">
        <v>-0.6842</v>
      </c>
      <c r="BB175" s="5">
        <v>-0.6798</v>
      </c>
      <c r="BC175" s="4">
        <v>8</v>
      </c>
      <c r="BD175" s="6">
        <v>128.8</v>
      </c>
      <c r="BE175" s="4">
        <v>66</v>
      </c>
      <c r="BF175" s="6">
        <v>1728.26</v>
      </c>
      <c r="BG175" s="5">
        <v>-0.8788</v>
      </c>
      <c r="BH175" s="5">
        <v>-0.9255</v>
      </c>
      <c r="BI175" s="4">
        <v>2</v>
      </c>
      <c r="BJ175" s="6">
        <v>57.97</v>
      </c>
      <c r="BK175" s="4">
        <v>11</v>
      </c>
      <c r="BL175" s="6">
        <v>276.72</v>
      </c>
      <c r="BM175" s="5">
        <v>-0.8182</v>
      </c>
      <c r="BN175" s="5">
        <v>-0.7905</v>
      </c>
      <c r="BO175" s="4"/>
      <c r="BP175" s="6"/>
      <c r="BQ175" s="4">
        <v>6</v>
      </c>
      <c r="BR175" s="6">
        <v>140.32</v>
      </c>
      <c r="BS175" s="5"/>
      <c r="BT175" s="5"/>
      <c r="BU175" s="4">
        <v>10</v>
      </c>
      <c r="BV175" s="6">
        <v>288.22</v>
      </c>
      <c r="BW175" s="4">
        <v>13</v>
      </c>
      <c r="BX175" s="6">
        <v>366.17</v>
      </c>
      <c r="BY175" s="5">
        <v>-0.2308</v>
      </c>
      <c r="BZ175" s="5">
        <v>-0.2129</v>
      </c>
      <c r="CA175" s="4">
        <v>1</v>
      </c>
      <c r="CB175" s="6">
        <v>28.76</v>
      </c>
      <c r="CC175" s="4">
        <v>5</v>
      </c>
      <c r="CD175" s="6">
        <v>129.55</v>
      </c>
      <c r="CE175" s="5">
        <v>-0.8</v>
      </c>
      <c r="CF175" s="5">
        <v>-0.778</v>
      </c>
      <c r="CG175" s="4">
        <v>15</v>
      </c>
      <c r="CH175" s="6">
        <v>463.05</v>
      </c>
      <c r="CI175" s="4">
        <v>7</v>
      </c>
      <c r="CJ175" s="6">
        <v>197.12</v>
      </c>
      <c r="CK175" s="5">
        <v>1.1429</v>
      </c>
      <c r="CL175" s="5">
        <v>1.3491</v>
      </c>
      <c r="CM175" s="4"/>
      <c r="CN175" s="6"/>
      <c r="CO175" s="4"/>
      <c r="CP175" s="6"/>
      <c r="CQ175" s="5"/>
      <c r="CR175" s="5"/>
      <c r="CS175" s="4"/>
      <c r="CT175" s="6"/>
      <c r="CU175" s="4">
        <v>3</v>
      </c>
      <c r="CV175" s="6">
        <v>83.77</v>
      </c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>
        <v>1</v>
      </c>
      <c r="DN175" s="6">
        <v>47.69</v>
      </c>
      <c r="DO175" s="5"/>
      <c r="DP175" s="5"/>
      <c r="DQ175" s="4"/>
      <c r="DR175" s="6"/>
      <c r="DS175" s="4"/>
      <c r="DT175" s="6"/>
      <c r="DU175" s="5"/>
      <c r="DV175" s="5"/>
      <c r="DW175" s="4"/>
      <c r="DX175" s="6"/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>
        <v>4</v>
      </c>
      <c r="FV175" s="6">
        <v>125.94</v>
      </c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  <c r="IA175" s="4"/>
      <c r="IB175" s="6"/>
      <c r="IC175" s="4"/>
      <c r="ID175" s="6"/>
      <c r="IE175" s="5"/>
      <c r="IF175" s="5"/>
      <c r="IG175" s="4"/>
      <c r="IH175" s="6"/>
      <c r="II175" s="4"/>
      <c r="IJ175" s="6"/>
      <c r="IK175" s="5"/>
      <c r="IL175" s="5"/>
      <c r="IM175" s="4"/>
      <c r="IN175" s="6"/>
      <c r="IO175" s="4"/>
      <c r="IP175" s="6"/>
      <c r="IQ175" s="5"/>
      <c r="IR175" s="5"/>
      <c r="IS175" s="4"/>
      <c r="IT175" s="6"/>
      <c r="IU175" s="4"/>
      <c r="IV175" s="6"/>
      <c r="IW175" s="5"/>
      <c r="IX175" s="5"/>
      <c r="IY175" s="4"/>
      <c r="IZ175" s="6"/>
      <c r="JA175" s="4"/>
      <c r="JB175" s="6"/>
      <c r="JC175" s="5"/>
      <c r="JD175" s="5"/>
      <c r="JE175" s="4"/>
      <c r="JF175" s="6"/>
      <c r="JG175" s="4"/>
      <c r="JH175" s="6"/>
      <c r="JI175" s="5"/>
      <c r="JJ175" s="5"/>
      <c r="JK175" s="4"/>
      <c r="JL175" s="4"/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/>
      <c r="JX175" s="4"/>
      <c r="JY175" s="4"/>
      <c r="JZ175" s="4"/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/>
      <c r="KL175" s="4"/>
      <c r="KM175" s="4"/>
      <c r="KN175" s="4"/>
      <c r="KO175" s="4"/>
      <c r="KP175" s="4"/>
      <c r="KQ175" s="4"/>
      <c r="KR175" s="4"/>
      <c r="KS175" s="4"/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/>
      <c r="LI175" s="4"/>
      <c r="LJ175" s="4"/>
      <c r="LK175" s="4"/>
      <c r="LL175" s="4"/>
      <c r="LM175" s="4"/>
    </row>
    <row r="176">
      <c r="A176" s="3" t="s">
        <v>136</v>
      </c>
      <c r="B176" s="3" t="s">
        <v>172</v>
      </c>
      <c r="C176" s="3" t="s">
        <v>138</v>
      </c>
      <c r="D176" s="3" t="s">
        <v>139</v>
      </c>
      <c r="E176" s="3" t="s">
        <v>173</v>
      </c>
      <c r="F176" s="3" t="s">
        <v>173</v>
      </c>
      <c r="G176" s="3" t="s">
        <v>173</v>
      </c>
      <c r="H176" s="3" t="s">
        <v>167</v>
      </c>
      <c r="I176" s="3" t="s">
        <v>274</v>
      </c>
      <c r="J176" s="3" t="s">
        <v>228</v>
      </c>
      <c r="K176" s="4">
        <v>45</v>
      </c>
      <c r="L176" s="4">
        <f>=ROUNDDOWN(0.306122448979592,0)</f>
      </c>
      <c r="M176" s="4">
        <v>1458</v>
      </c>
      <c r="N176" s="5">
        <v>1</v>
      </c>
      <c r="O176" s="4"/>
      <c r="P176" s="4">
        <f>=ROUNDDOWN({0},0)</f>
      </c>
      <c r="Q176" s="4"/>
      <c r="R176" s="5"/>
      <c r="S176" s="4">
        <v>59</v>
      </c>
      <c r="T176" s="6">
        <v>1770.63</v>
      </c>
      <c r="U176" s="4">
        <v>265</v>
      </c>
      <c r="V176" s="6">
        <v>6859.84</v>
      </c>
      <c r="W176" s="5">
        <v>-0.7774</v>
      </c>
      <c r="X176" s="5">
        <v>-0.7419</v>
      </c>
      <c r="Y176" s="4">
        <v>10</v>
      </c>
      <c r="Z176" s="6">
        <v>327.5</v>
      </c>
      <c r="AA176" s="4">
        <v>28</v>
      </c>
      <c r="AB176" s="6">
        <v>917</v>
      </c>
      <c r="AC176" s="5">
        <v>-0.6429</v>
      </c>
      <c r="AD176" s="5">
        <v>-0.6429</v>
      </c>
      <c r="AE176" s="4">
        <v>4</v>
      </c>
      <c r="AF176" s="6">
        <v>118</v>
      </c>
      <c r="AG176" s="4"/>
      <c r="AH176" s="6"/>
      <c r="AI176" s="5"/>
      <c r="AJ176" s="5"/>
      <c r="AK176" s="4"/>
      <c r="AL176" s="6"/>
      <c r="AM176" s="4"/>
      <c r="AN176" s="6"/>
      <c r="AO176" s="5"/>
      <c r="AP176" s="5"/>
      <c r="AQ176" s="4">
        <v>29</v>
      </c>
      <c r="AR176" s="6">
        <v>856.08</v>
      </c>
      <c r="AS176" s="4">
        <v>191</v>
      </c>
      <c r="AT176" s="6">
        <v>4497.42</v>
      </c>
      <c r="AU176" s="5">
        <v>-0.8482</v>
      </c>
      <c r="AV176" s="5">
        <v>-0.8097</v>
      </c>
      <c r="AW176" s="4">
        <v>1</v>
      </c>
      <c r="AX176" s="6">
        <v>30.2</v>
      </c>
      <c r="AY176" s="4">
        <v>1</v>
      </c>
      <c r="AZ176" s="6">
        <v>33.55</v>
      </c>
      <c r="BA176" s="5"/>
      <c r="BB176" s="5">
        <v>-0.0999</v>
      </c>
      <c r="BC176" s="4">
        <v>3</v>
      </c>
      <c r="BD176" s="6">
        <v>88.08</v>
      </c>
      <c r="BE176" s="4">
        <v>25</v>
      </c>
      <c r="BF176" s="6">
        <v>778.25</v>
      </c>
      <c r="BG176" s="5">
        <v>-0.88</v>
      </c>
      <c r="BH176" s="5">
        <v>-0.8868</v>
      </c>
      <c r="BI176" s="4">
        <v>6</v>
      </c>
      <c r="BJ176" s="6">
        <v>169.57</v>
      </c>
      <c r="BK176" s="4">
        <v>8</v>
      </c>
      <c r="BL176" s="6">
        <v>248</v>
      </c>
      <c r="BM176" s="5">
        <v>-0.25</v>
      </c>
      <c r="BN176" s="5">
        <v>-0.3162</v>
      </c>
      <c r="BO176" s="4"/>
      <c r="BP176" s="6"/>
      <c r="BQ176" s="4"/>
      <c r="BR176" s="6"/>
      <c r="BS176" s="5"/>
      <c r="BT176" s="5"/>
      <c r="BU176" s="4">
        <v>6</v>
      </c>
      <c r="BV176" s="6">
        <v>181.2</v>
      </c>
      <c r="BW176" s="4">
        <v>4</v>
      </c>
      <c r="BX176" s="6">
        <v>134.2</v>
      </c>
      <c r="BY176" s="5">
        <v>0.5</v>
      </c>
      <c r="BZ176" s="5">
        <v>0.3502</v>
      </c>
      <c r="CA176" s="4"/>
      <c r="CB176" s="6"/>
      <c r="CC176" s="4"/>
      <c r="CD176" s="6"/>
      <c r="CE176" s="5"/>
      <c r="CF176" s="5"/>
      <c r="CG176" s="4"/>
      <c r="CH176" s="6"/>
      <c r="CI176" s="4">
        <v>6</v>
      </c>
      <c r="CJ176" s="6">
        <v>183.84</v>
      </c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/>
      <c r="DL176" s="6"/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/>
      <c r="DX176" s="6"/>
      <c r="DY176" s="4"/>
      <c r="DZ176" s="6"/>
      <c r="EA176" s="5"/>
      <c r="EB176" s="5"/>
      <c r="EC176" s="4"/>
      <c r="ED176" s="6"/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>
        <v>2</v>
      </c>
      <c r="FV176" s="6">
        <v>67.58</v>
      </c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  <c r="IA176" s="4"/>
      <c r="IB176" s="6"/>
      <c r="IC176" s="4"/>
      <c r="ID176" s="6"/>
      <c r="IE176" s="5"/>
      <c r="IF176" s="5"/>
      <c r="IG176" s="4"/>
      <c r="IH176" s="6"/>
      <c r="II176" s="4"/>
      <c r="IJ176" s="6"/>
      <c r="IK176" s="5"/>
      <c r="IL176" s="5"/>
      <c r="IM176" s="4"/>
      <c r="IN176" s="6"/>
      <c r="IO176" s="4"/>
      <c r="IP176" s="6"/>
      <c r="IQ176" s="5"/>
      <c r="IR176" s="5"/>
      <c r="IS176" s="4"/>
      <c r="IT176" s="6"/>
      <c r="IU176" s="4"/>
      <c r="IV176" s="6"/>
      <c r="IW176" s="5"/>
      <c r="IX176" s="5"/>
      <c r="IY176" s="4"/>
      <c r="IZ176" s="6"/>
      <c r="JA176" s="4"/>
      <c r="JB176" s="6"/>
      <c r="JC176" s="5"/>
      <c r="JD176" s="5"/>
      <c r="JE176" s="4"/>
      <c r="JF176" s="6"/>
      <c r="JG176" s="4"/>
      <c r="JH176" s="6"/>
      <c r="JI176" s="5"/>
      <c r="JJ176" s="5"/>
      <c r="JK176" s="4">
        <v>45</v>
      </c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/>
      <c r="KL176" s="4"/>
      <c r="KM176" s="4"/>
      <c r="KN176" s="4"/>
      <c r="KO176" s="4"/>
      <c r="KP176" s="4"/>
      <c r="KQ176" s="4"/>
      <c r="KR176" s="4"/>
      <c r="KS176" s="4"/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>
        <v>1458</v>
      </c>
      <c r="LF176" s="4"/>
      <c r="LG176" s="4"/>
      <c r="LH176" s="4"/>
      <c r="LI176" s="4"/>
      <c r="LJ176" s="4"/>
      <c r="LK176" s="4"/>
      <c r="LL176" s="4"/>
      <c r="LM176" s="4"/>
    </row>
    <row r="177">
      <c r="A177" s="3" t="s">
        <v>136</v>
      </c>
      <c r="B177" s="3" t="s">
        <v>172</v>
      </c>
      <c r="C177" s="3" t="s">
        <v>138</v>
      </c>
      <c r="D177" s="3" t="s">
        <v>139</v>
      </c>
      <c r="E177" s="3" t="s">
        <v>173</v>
      </c>
      <c r="F177" s="3" t="s">
        <v>173</v>
      </c>
      <c r="G177" s="3" t="s">
        <v>173</v>
      </c>
      <c r="H177" s="3" t="s">
        <v>167</v>
      </c>
      <c r="I177" s="3" t="s">
        <v>299</v>
      </c>
      <c r="J177" s="3" t="s">
        <v>228</v>
      </c>
      <c r="K177" s="4"/>
      <c r="L177" s="4">
        <f>=ROUNDDOWN({0},0)</f>
      </c>
      <c r="M177" s="4">
        <v>1271</v>
      </c>
      <c r="N177" s="5">
        <v>0.0659</v>
      </c>
      <c r="O177" s="4"/>
      <c r="P177" s="4">
        <f>=ROUNDDOWN({0},0)</f>
      </c>
      <c r="Q177" s="4"/>
      <c r="R177" s="5"/>
      <c r="S177" s="4">
        <v>69</v>
      </c>
      <c r="T177" s="6">
        <v>1724.55</v>
      </c>
      <c r="U177" s="4">
        <v>344</v>
      </c>
      <c r="V177" s="6">
        <v>8917.95</v>
      </c>
      <c r="W177" s="5">
        <v>-0.7994</v>
      </c>
      <c r="X177" s="5">
        <v>-0.8066</v>
      </c>
      <c r="Y177" s="4">
        <v>11</v>
      </c>
      <c r="Z177" s="6">
        <v>285.37</v>
      </c>
      <c r="AA177" s="4">
        <v>212</v>
      </c>
      <c r="AB177" s="6">
        <v>5404.76</v>
      </c>
      <c r="AC177" s="5">
        <v>-0.9481</v>
      </c>
      <c r="AD177" s="5">
        <v>-0.9472</v>
      </c>
      <c r="AE177" s="4"/>
      <c r="AF177" s="6"/>
      <c r="AG177" s="4"/>
      <c r="AH177" s="6"/>
      <c r="AI177" s="5"/>
      <c r="AJ177" s="5"/>
      <c r="AK177" s="4"/>
      <c r="AL177" s="6"/>
      <c r="AM177" s="4"/>
      <c r="AN177" s="6"/>
      <c r="AO177" s="5"/>
      <c r="AP177" s="5"/>
      <c r="AQ177" s="4">
        <v>35</v>
      </c>
      <c r="AR177" s="6">
        <v>840.15</v>
      </c>
      <c r="AS177" s="4">
        <v>22</v>
      </c>
      <c r="AT177" s="6">
        <v>656.92</v>
      </c>
      <c r="AU177" s="5">
        <v>0.5909</v>
      </c>
      <c r="AV177" s="5">
        <v>0.2789</v>
      </c>
      <c r="AW177" s="4">
        <v>3</v>
      </c>
      <c r="AX177" s="6">
        <v>73.34</v>
      </c>
      <c r="AY177" s="4">
        <v>10</v>
      </c>
      <c r="AZ177" s="6">
        <v>281.54</v>
      </c>
      <c r="BA177" s="5">
        <v>-0.7</v>
      </c>
      <c r="BB177" s="5">
        <v>-0.7395</v>
      </c>
      <c r="BC177" s="4">
        <v>4</v>
      </c>
      <c r="BD177" s="6">
        <v>93.41</v>
      </c>
      <c r="BE177" s="4">
        <v>31</v>
      </c>
      <c r="BF177" s="6">
        <v>707.5</v>
      </c>
      <c r="BG177" s="5">
        <v>-0.871</v>
      </c>
      <c r="BH177" s="5">
        <v>-0.868</v>
      </c>
      <c r="BI177" s="4">
        <v>5</v>
      </c>
      <c r="BJ177" s="6">
        <v>139.5</v>
      </c>
      <c r="BK177" s="4">
        <v>18</v>
      </c>
      <c r="BL177" s="6">
        <v>490.33</v>
      </c>
      <c r="BM177" s="5">
        <v>-0.7222</v>
      </c>
      <c r="BN177" s="5">
        <v>-0.7155</v>
      </c>
      <c r="BO177" s="4">
        <v>2</v>
      </c>
      <c r="BP177" s="6">
        <v>48.9</v>
      </c>
      <c r="BQ177" s="4">
        <v>3</v>
      </c>
      <c r="BR177" s="6">
        <v>80.68</v>
      </c>
      <c r="BS177" s="5">
        <v>-0.3333</v>
      </c>
      <c r="BT177" s="5">
        <v>-0.3939</v>
      </c>
      <c r="BU177" s="4">
        <v>3</v>
      </c>
      <c r="BV177" s="6">
        <v>81.98</v>
      </c>
      <c r="BW177" s="4">
        <v>11</v>
      </c>
      <c r="BX177" s="6">
        <v>315.63</v>
      </c>
      <c r="BY177" s="5">
        <v>-0.7273</v>
      </c>
      <c r="BZ177" s="5">
        <v>-0.7403</v>
      </c>
      <c r="CA177" s="4"/>
      <c r="CB177" s="6"/>
      <c r="CC177" s="4">
        <v>7</v>
      </c>
      <c r="CD177" s="6">
        <v>178.72</v>
      </c>
      <c r="CE177" s="5"/>
      <c r="CF177" s="5"/>
      <c r="CG177" s="4">
        <v>2</v>
      </c>
      <c r="CH177" s="6">
        <v>42.14</v>
      </c>
      <c r="CI177" s="4"/>
      <c r="CJ177" s="6"/>
      <c r="CK177" s="5"/>
      <c r="CL177" s="5"/>
      <c r="CM177" s="4"/>
      <c r="CN177" s="6"/>
      <c r="CO177" s="4"/>
      <c r="CP177" s="6"/>
      <c r="CQ177" s="5"/>
      <c r="CR177" s="5"/>
      <c r="CS177" s="4"/>
      <c r="CT177" s="6"/>
      <c r="CU177" s="4">
        <v>10</v>
      </c>
      <c r="CV177" s="6">
        <v>205.36</v>
      </c>
      <c r="CW177" s="5"/>
      <c r="CX177" s="5"/>
      <c r="CY177" s="4">
        <v>4</v>
      </c>
      <c r="CZ177" s="6">
        <v>119.76</v>
      </c>
      <c r="DA177" s="4">
        <v>19</v>
      </c>
      <c r="DB177" s="6">
        <v>568.86</v>
      </c>
      <c r="DC177" s="5">
        <v>-0.7895</v>
      </c>
      <c r="DD177" s="5">
        <v>-0.7895</v>
      </c>
      <c r="DE177" s="4"/>
      <c r="DF177" s="6"/>
      <c r="DG177" s="4"/>
      <c r="DH177" s="6"/>
      <c r="DI177" s="5"/>
      <c r="DJ177" s="5"/>
      <c r="DK177" s="4"/>
      <c r="DL177" s="6"/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/>
      <c r="ED177" s="6"/>
      <c r="EE177" s="4"/>
      <c r="EF177" s="6"/>
      <c r="EG177" s="5"/>
      <c r="EH177" s="5"/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>
        <v>1</v>
      </c>
      <c r="FV177" s="6">
        <v>27.65</v>
      </c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  <c r="IA177" s="4"/>
      <c r="IB177" s="6"/>
      <c r="IC177" s="4"/>
      <c r="ID177" s="6"/>
      <c r="IE177" s="5"/>
      <c r="IF177" s="5"/>
      <c r="IG177" s="4"/>
      <c r="IH177" s="6"/>
      <c r="II177" s="4"/>
      <c r="IJ177" s="6"/>
      <c r="IK177" s="5"/>
      <c r="IL177" s="5"/>
      <c r="IM177" s="4"/>
      <c r="IN177" s="6"/>
      <c r="IO177" s="4"/>
      <c r="IP177" s="6"/>
      <c r="IQ177" s="5"/>
      <c r="IR177" s="5"/>
      <c r="IS177" s="4"/>
      <c r="IT177" s="6"/>
      <c r="IU177" s="4"/>
      <c r="IV177" s="6"/>
      <c r="IW177" s="5"/>
      <c r="IX177" s="5"/>
      <c r="IY177" s="4"/>
      <c r="IZ177" s="6"/>
      <c r="JA177" s="4"/>
      <c r="JB177" s="6"/>
      <c r="JC177" s="5"/>
      <c r="JD177" s="5"/>
      <c r="JE177" s="4"/>
      <c r="JF177" s="6"/>
      <c r="JG177" s="4"/>
      <c r="JH177" s="6"/>
      <c r="JI177" s="5"/>
      <c r="JJ177" s="5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/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>
        <v>1271</v>
      </c>
      <c r="LF177" s="4"/>
      <c r="LG177" s="4"/>
      <c r="LH177" s="4"/>
      <c r="LI177" s="4"/>
      <c r="LJ177" s="4"/>
      <c r="LK177" s="4"/>
      <c r="LL177" s="4"/>
      <c r="LM177" s="4"/>
    </row>
    <row r="178">
      <c r="A178" s="3" t="s">
        <v>136</v>
      </c>
      <c r="B178" s="3" t="s">
        <v>172</v>
      </c>
      <c r="C178" s="3" t="s">
        <v>138</v>
      </c>
      <c r="D178" s="3" t="s">
        <v>139</v>
      </c>
      <c r="E178" s="3" t="s">
        <v>173</v>
      </c>
      <c r="F178" s="3" t="s">
        <v>173</v>
      </c>
      <c r="G178" s="3" t="s">
        <v>173</v>
      </c>
      <c r="H178" s="3" t="s">
        <v>167</v>
      </c>
      <c r="I178" s="3" t="s">
        <v>300</v>
      </c>
      <c r="J178" s="3" t="s">
        <v>241</v>
      </c>
      <c r="K178" s="4">
        <v>147</v>
      </c>
      <c r="L178" s="4">
        <f>=ROUNDDOWN(4.32352941176471,0)</f>
      </c>
      <c r="M178" s="4"/>
      <c r="N178" s="5"/>
      <c r="O178" s="4"/>
      <c r="P178" s="4">
        <f>=ROUNDDOWN({0},0)</f>
      </c>
      <c r="Q178" s="4"/>
      <c r="R178" s="5"/>
      <c r="S178" s="4">
        <v>33</v>
      </c>
      <c r="T178" s="6">
        <v>822.3</v>
      </c>
      <c r="U178" s="4">
        <v>179</v>
      </c>
      <c r="V178" s="6">
        <v>4036.1</v>
      </c>
      <c r="W178" s="5">
        <v>-0.8156</v>
      </c>
      <c r="X178" s="5">
        <v>-0.7963</v>
      </c>
      <c r="Y178" s="4">
        <v>8</v>
      </c>
      <c r="Z178" s="6">
        <v>155.25</v>
      </c>
      <c r="AA178" s="4">
        <v>76</v>
      </c>
      <c r="AB178" s="6">
        <v>1811.65</v>
      </c>
      <c r="AC178" s="5">
        <v>-0.8947</v>
      </c>
      <c r="AD178" s="5">
        <v>-0.9143</v>
      </c>
      <c r="AE178" s="4"/>
      <c r="AF178" s="6"/>
      <c r="AG178" s="4">
        <v>3</v>
      </c>
      <c r="AH178" s="6">
        <v>62.58</v>
      </c>
      <c r="AI178" s="5"/>
      <c r="AJ178" s="5"/>
      <c r="AK178" s="4"/>
      <c r="AL178" s="6"/>
      <c r="AM178" s="4"/>
      <c r="AN178" s="6"/>
      <c r="AO178" s="5"/>
      <c r="AP178" s="5"/>
      <c r="AQ178" s="4">
        <v>16</v>
      </c>
      <c r="AR178" s="6">
        <v>424.01</v>
      </c>
      <c r="AS178" s="4">
        <v>33</v>
      </c>
      <c r="AT178" s="6">
        <v>741.08</v>
      </c>
      <c r="AU178" s="5">
        <v>-0.5152</v>
      </c>
      <c r="AV178" s="5">
        <v>-0.4278</v>
      </c>
      <c r="AW178" s="4">
        <v>3</v>
      </c>
      <c r="AX178" s="6">
        <v>76.82</v>
      </c>
      <c r="AY178" s="4">
        <v>1</v>
      </c>
      <c r="AZ178" s="6">
        <v>18.24</v>
      </c>
      <c r="BA178" s="5">
        <v>2</v>
      </c>
      <c r="BB178" s="5">
        <v>3.2116</v>
      </c>
      <c r="BC178" s="4"/>
      <c r="BD178" s="6"/>
      <c r="BE178" s="4"/>
      <c r="BF178" s="6"/>
      <c r="BG178" s="5"/>
      <c r="BH178" s="5"/>
      <c r="BI178" s="4">
        <v>1</v>
      </c>
      <c r="BJ178" s="6">
        <v>15.22</v>
      </c>
      <c r="BK178" s="4">
        <v>2</v>
      </c>
      <c r="BL178" s="6">
        <v>50.72</v>
      </c>
      <c r="BM178" s="5">
        <v>-0.5</v>
      </c>
      <c r="BN178" s="5">
        <v>-0.6999</v>
      </c>
      <c r="BO178" s="4"/>
      <c r="BP178" s="6"/>
      <c r="BQ178" s="4"/>
      <c r="BR178" s="6"/>
      <c r="BS178" s="5"/>
      <c r="BT178" s="5"/>
      <c r="BU178" s="4">
        <v>5</v>
      </c>
      <c r="BV178" s="6">
        <v>151</v>
      </c>
      <c r="BW178" s="4">
        <v>7</v>
      </c>
      <c r="BX178" s="6">
        <v>202.97</v>
      </c>
      <c r="BY178" s="5">
        <v>-0.2857</v>
      </c>
      <c r="BZ178" s="5">
        <v>-0.256</v>
      </c>
      <c r="CA178" s="4"/>
      <c r="CB178" s="6"/>
      <c r="CC178" s="4">
        <v>2</v>
      </c>
      <c r="CD178" s="6">
        <v>50.8</v>
      </c>
      <c r="CE178" s="5"/>
      <c r="CF178" s="5"/>
      <c r="CG178" s="4"/>
      <c r="CH178" s="6"/>
      <c r="CI178" s="4">
        <v>1</v>
      </c>
      <c r="CJ178" s="6">
        <v>30.49</v>
      </c>
      <c r="CK178" s="5"/>
      <c r="CL178" s="5"/>
      <c r="CM178" s="4"/>
      <c r="CN178" s="6"/>
      <c r="CO178" s="4"/>
      <c r="CP178" s="6"/>
      <c r="CQ178" s="5"/>
      <c r="CR178" s="5"/>
      <c r="CS178" s="4"/>
      <c r="CT178" s="6"/>
      <c r="CU178" s="4">
        <v>3</v>
      </c>
      <c r="CV178" s="6">
        <v>66.11</v>
      </c>
      <c r="CW178" s="5"/>
      <c r="CX178" s="5"/>
      <c r="CY178" s="4"/>
      <c r="CZ178" s="6"/>
      <c r="DA178" s="4">
        <v>48</v>
      </c>
      <c r="DB178" s="6">
        <v>924.67</v>
      </c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/>
      <c r="DX178" s="6"/>
      <c r="DY178" s="4"/>
      <c r="DZ178" s="6"/>
      <c r="EA178" s="5"/>
      <c r="EB178" s="5"/>
      <c r="EC178" s="4"/>
      <c r="ED178" s="6"/>
      <c r="EE178" s="4"/>
      <c r="EF178" s="6"/>
      <c r="EG178" s="5"/>
      <c r="EH178" s="5"/>
      <c r="EI178" s="4"/>
      <c r="EJ178" s="6"/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>
        <v>3</v>
      </c>
      <c r="FV178" s="6">
        <v>76.79</v>
      </c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  <c r="IA178" s="4"/>
      <c r="IB178" s="6"/>
      <c r="IC178" s="4"/>
      <c r="ID178" s="6"/>
      <c r="IE178" s="5"/>
      <c r="IF178" s="5"/>
      <c r="IG178" s="4"/>
      <c r="IH178" s="6"/>
      <c r="II178" s="4"/>
      <c r="IJ178" s="6"/>
      <c r="IK178" s="5"/>
      <c r="IL178" s="5"/>
      <c r="IM178" s="4"/>
      <c r="IN178" s="6"/>
      <c r="IO178" s="4"/>
      <c r="IP178" s="6"/>
      <c r="IQ178" s="5"/>
      <c r="IR178" s="5"/>
      <c r="IS178" s="4"/>
      <c r="IT178" s="6"/>
      <c r="IU178" s="4"/>
      <c r="IV178" s="6"/>
      <c r="IW178" s="5"/>
      <c r="IX178" s="5"/>
      <c r="IY178" s="4"/>
      <c r="IZ178" s="6"/>
      <c r="JA178" s="4"/>
      <c r="JB178" s="6"/>
      <c r="JC178" s="5"/>
      <c r="JD178" s="5"/>
      <c r="JE178" s="4"/>
      <c r="JF178" s="6"/>
      <c r="JG178" s="4"/>
      <c r="JH178" s="6"/>
      <c r="JI178" s="5"/>
      <c r="JJ178" s="5"/>
      <c r="JK178" s="4">
        <v>147</v>
      </c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</row>
    <row r="179">
      <c r="A179" s="3" t="s">
        <v>136</v>
      </c>
      <c r="B179" s="3" t="s">
        <v>172</v>
      </c>
      <c r="C179" s="3" t="s">
        <v>138</v>
      </c>
      <c r="D179" s="3" t="s">
        <v>139</v>
      </c>
      <c r="E179" s="3" t="s">
        <v>173</v>
      </c>
      <c r="F179" s="3" t="s">
        <v>173</v>
      </c>
      <c r="G179" s="3" t="s">
        <v>173</v>
      </c>
      <c r="H179" s="3" t="s">
        <v>167</v>
      </c>
      <c r="I179" s="3" t="s">
        <v>301</v>
      </c>
      <c r="J179" s="3" t="s">
        <v>226</v>
      </c>
      <c r="K179" s="4">
        <v>5</v>
      </c>
      <c r="L179" s="4">
        <f>=ROUNDDOWN(0.0164473684210526,0)</f>
      </c>
      <c r="M179" s="4">
        <v>2965</v>
      </c>
      <c r="N179" s="5"/>
      <c r="O179" s="4"/>
      <c r="P179" s="4">
        <f>=ROUNDDOWN({0},0)</f>
      </c>
      <c r="Q179" s="4"/>
      <c r="R179" s="5"/>
      <c r="S179" s="4">
        <v>4</v>
      </c>
      <c r="T179" s="6">
        <v>105.07</v>
      </c>
      <c r="U179" s="4">
        <v>214</v>
      </c>
      <c r="V179" s="6">
        <v>5143.53</v>
      </c>
      <c r="W179" s="5">
        <v>-0.9813</v>
      </c>
      <c r="X179" s="5">
        <v>-0.9796</v>
      </c>
      <c r="Y179" s="4"/>
      <c r="Z179" s="6"/>
      <c r="AA179" s="4">
        <v>19</v>
      </c>
      <c r="AB179" s="6">
        <v>492.25</v>
      </c>
      <c r="AC179" s="5"/>
      <c r="AD179" s="5"/>
      <c r="AE179" s="4"/>
      <c r="AF179" s="6"/>
      <c r="AG179" s="4">
        <v>3</v>
      </c>
      <c r="AH179" s="6">
        <v>77.48</v>
      </c>
      <c r="AI179" s="5"/>
      <c r="AJ179" s="5"/>
      <c r="AK179" s="4"/>
      <c r="AL179" s="6"/>
      <c r="AM179" s="4"/>
      <c r="AN179" s="6"/>
      <c r="AO179" s="5"/>
      <c r="AP179" s="5"/>
      <c r="AQ179" s="4"/>
      <c r="AR179" s="6"/>
      <c r="AS179" s="4">
        <v>128</v>
      </c>
      <c r="AT179" s="6">
        <v>2962.91</v>
      </c>
      <c r="AU179" s="5"/>
      <c r="AV179" s="5"/>
      <c r="AW179" s="4"/>
      <c r="AX179" s="6"/>
      <c r="AY179" s="4">
        <v>3</v>
      </c>
      <c r="AZ179" s="6">
        <v>73.15</v>
      </c>
      <c r="BA179" s="5"/>
      <c r="BB179" s="5"/>
      <c r="BC179" s="4">
        <v>1</v>
      </c>
      <c r="BD179" s="6">
        <v>24.02</v>
      </c>
      <c r="BE179" s="4">
        <v>19</v>
      </c>
      <c r="BF179" s="6">
        <v>466.84</v>
      </c>
      <c r="BG179" s="5">
        <v>-0.9474</v>
      </c>
      <c r="BH179" s="5">
        <v>-0.9485</v>
      </c>
      <c r="BI179" s="4"/>
      <c r="BJ179" s="6"/>
      <c r="BK179" s="4">
        <v>3</v>
      </c>
      <c r="BL179" s="6">
        <v>84.54</v>
      </c>
      <c r="BM179" s="5"/>
      <c r="BN179" s="5"/>
      <c r="BO179" s="4"/>
      <c r="BP179" s="6"/>
      <c r="BQ179" s="4">
        <v>1</v>
      </c>
      <c r="BR179" s="6">
        <v>31.95</v>
      </c>
      <c r="BS179" s="5"/>
      <c r="BT179" s="5"/>
      <c r="BU179" s="4"/>
      <c r="BV179" s="6"/>
      <c r="BW179" s="4">
        <v>6</v>
      </c>
      <c r="BX179" s="6">
        <v>182.25</v>
      </c>
      <c r="BY179" s="5"/>
      <c r="BZ179" s="5"/>
      <c r="CA179" s="4">
        <v>2</v>
      </c>
      <c r="CB179" s="6">
        <v>52.08</v>
      </c>
      <c r="CC179" s="4">
        <v>4</v>
      </c>
      <c r="CD179" s="6">
        <v>100.55</v>
      </c>
      <c r="CE179" s="5">
        <v>-0.5</v>
      </c>
      <c r="CF179" s="5">
        <v>-0.482</v>
      </c>
      <c r="CG179" s="4">
        <v>1</v>
      </c>
      <c r="CH179" s="6">
        <v>28.97</v>
      </c>
      <c r="CI179" s="4">
        <v>16</v>
      </c>
      <c r="CJ179" s="6">
        <v>369.37</v>
      </c>
      <c r="CK179" s="5">
        <v>-0.9375</v>
      </c>
      <c r="CL179" s="5">
        <v>-0.9216</v>
      </c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/>
      <c r="DH179" s="6"/>
      <c r="DI179" s="5"/>
      <c r="DJ179" s="5"/>
      <c r="DK179" s="4"/>
      <c r="DL179" s="6"/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/>
      <c r="DX179" s="6"/>
      <c r="DY179" s="4"/>
      <c r="DZ179" s="6"/>
      <c r="EA179" s="5"/>
      <c r="EB179" s="5"/>
      <c r="EC179" s="4"/>
      <c r="ED179" s="6"/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>
        <v>12</v>
      </c>
      <c r="FV179" s="6">
        <v>302.24</v>
      </c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  <c r="IA179" s="4"/>
      <c r="IB179" s="6"/>
      <c r="IC179" s="4"/>
      <c r="ID179" s="6"/>
      <c r="IE179" s="5"/>
      <c r="IF179" s="5"/>
      <c r="IG179" s="4"/>
      <c r="IH179" s="6"/>
      <c r="II179" s="4"/>
      <c r="IJ179" s="6"/>
      <c r="IK179" s="5"/>
      <c r="IL179" s="5"/>
      <c r="IM179" s="4"/>
      <c r="IN179" s="6"/>
      <c r="IO179" s="4"/>
      <c r="IP179" s="6"/>
      <c r="IQ179" s="5"/>
      <c r="IR179" s="5"/>
      <c r="IS179" s="4"/>
      <c r="IT179" s="6"/>
      <c r="IU179" s="4"/>
      <c r="IV179" s="6"/>
      <c r="IW179" s="5"/>
      <c r="IX179" s="5"/>
      <c r="IY179" s="4"/>
      <c r="IZ179" s="6"/>
      <c r="JA179" s="4"/>
      <c r="JB179" s="6"/>
      <c r="JC179" s="5"/>
      <c r="JD179" s="5"/>
      <c r="JE179" s="4"/>
      <c r="JF179" s="6"/>
      <c r="JG179" s="4"/>
      <c r="JH179" s="6"/>
      <c r="JI179" s="5"/>
      <c r="JJ179" s="5"/>
      <c r="JK179" s="4">
        <v>5</v>
      </c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>
        <v>2965</v>
      </c>
      <c r="LF179" s="4"/>
      <c r="LG179" s="4"/>
      <c r="LH179" s="4"/>
      <c r="LI179" s="4"/>
      <c r="LJ179" s="4"/>
      <c r="LK179" s="4"/>
      <c r="LL179" s="4"/>
      <c r="LM179" s="4"/>
    </row>
    <row r="180">
      <c r="A180" s="3" t="s">
        <v>136</v>
      </c>
      <c r="B180" s="3" t="s">
        <v>172</v>
      </c>
      <c r="C180" s="3" t="s">
        <v>138</v>
      </c>
      <c r="D180" s="3" t="s">
        <v>139</v>
      </c>
      <c r="E180" s="3" t="s">
        <v>173</v>
      </c>
      <c r="F180" s="3" t="s">
        <v>173</v>
      </c>
      <c r="G180" s="3" t="s">
        <v>173</v>
      </c>
      <c r="H180" s="3" t="s">
        <v>167</v>
      </c>
      <c r="I180" s="3" t="s">
        <v>302</v>
      </c>
      <c r="J180" s="3" t="s">
        <v>226</v>
      </c>
      <c r="K180" s="4"/>
      <c r="L180" s="4">
        <f>=ROUNDDOWN({0},0)</f>
      </c>
      <c r="M180" s="4">
        <v>988</v>
      </c>
      <c r="N180" s="5"/>
      <c r="O180" s="4"/>
      <c r="P180" s="4">
        <f>=ROUNDDOWN({0},0)</f>
      </c>
      <c r="Q180" s="4"/>
      <c r="R180" s="5"/>
      <c r="S180" s="4">
        <v>1</v>
      </c>
      <c r="T180" s="6">
        <v>39.55</v>
      </c>
      <c r="U180" s="4">
        <v>241</v>
      </c>
      <c r="V180" s="6">
        <v>6244.77</v>
      </c>
      <c r="W180" s="5">
        <v>-0.9959</v>
      </c>
      <c r="X180" s="5">
        <v>-0.9937</v>
      </c>
      <c r="Y180" s="4"/>
      <c r="Z180" s="6"/>
      <c r="AA180" s="4">
        <v>65</v>
      </c>
      <c r="AB180" s="6">
        <v>1721.85</v>
      </c>
      <c r="AC180" s="5"/>
      <c r="AD180" s="5"/>
      <c r="AE180" s="4"/>
      <c r="AF180" s="6"/>
      <c r="AG180" s="4">
        <v>5</v>
      </c>
      <c r="AH180" s="6">
        <v>134.1</v>
      </c>
      <c r="AI180" s="5"/>
      <c r="AJ180" s="5"/>
      <c r="AK180" s="4"/>
      <c r="AL180" s="6"/>
      <c r="AM180" s="4"/>
      <c r="AN180" s="6"/>
      <c r="AO180" s="5"/>
      <c r="AP180" s="5"/>
      <c r="AQ180" s="4"/>
      <c r="AR180" s="6"/>
      <c r="AS180" s="4">
        <v>106</v>
      </c>
      <c r="AT180" s="6">
        <v>2701.42</v>
      </c>
      <c r="AU180" s="5"/>
      <c r="AV180" s="5"/>
      <c r="AW180" s="4"/>
      <c r="AX180" s="6"/>
      <c r="AY180" s="4">
        <v>10</v>
      </c>
      <c r="AZ180" s="6">
        <v>272.1</v>
      </c>
      <c r="BA180" s="5"/>
      <c r="BB180" s="5"/>
      <c r="BC180" s="4"/>
      <c r="BD180" s="6"/>
      <c r="BE180" s="4">
        <v>25</v>
      </c>
      <c r="BF180" s="6">
        <v>636.75</v>
      </c>
      <c r="BG180" s="5"/>
      <c r="BH180" s="5"/>
      <c r="BI180" s="4"/>
      <c r="BJ180" s="6"/>
      <c r="BK180" s="4">
        <v>14</v>
      </c>
      <c r="BL180" s="6">
        <v>355.04</v>
      </c>
      <c r="BM180" s="5"/>
      <c r="BN180" s="5"/>
      <c r="BO180" s="4"/>
      <c r="BP180" s="6"/>
      <c r="BQ180" s="4">
        <v>2</v>
      </c>
      <c r="BR180" s="6">
        <v>51.82</v>
      </c>
      <c r="BS180" s="5"/>
      <c r="BT180" s="5"/>
      <c r="BU180" s="4"/>
      <c r="BV180" s="6"/>
      <c r="BW180" s="4">
        <v>5</v>
      </c>
      <c r="BX180" s="6">
        <v>136</v>
      </c>
      <c r="BY180" s="5"/>
      <c r="BZ180" s="5"/>
      <c r="CA180" s="4"/>
      <c r="CB180" s="6"/>
      <c r="CC180" s="4">
        <v>2</v>
      </c>
      <c r="CD180" s="6">
        <v>51.82</v>
      </c>
      <c r="CE180" s="5"/>
      <c r="CF180" s="5"/>
      <c r="CG180" s="4"/>
      <c r="CH180" s="6"/>
      <c r="CI180" s="4">
        <v>2</v>
      </c>
      <c r="CJ180" s="6">
        <v>50.84</v>
      </c>
      <c r="CK180" s="5"/>
      <c r="CL180" s="5"/>
      <c r="CM180" s="4"/>
      <c r="CN180" s="6"/>
      <c r="CO180" s="4"/>
      <c r="CP180" s="6"/>
      <c r="CQ180" s="5"/>
      <c r="CR180" s="5"/>
      <c r="CS180" s="4"/>
      <c r="CT180" s="6"/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/>
      <c r="DF180" s="6"/>
      <c r="DG180" s="4"/>
      <c r="DH180" s="6"/>
      <c r="DI180" s="5"/>
      <c r="DJ180" s="5"/>
      <c r="DK180" s="4">
        <v>1</v>
      </c>
      <c r="DL180" s="6">
        <v>39.55</v>
      </c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>
        <v>2</v>
      </c>
      <c r="FV180" s="6">
        <v>55.3</v>
      </c>
      <c r="FW180" s="5"/>
      <c r="FX180" s="5"/>
      <c r="FY180" s="4"/>
      <c r="FZ180" s="6"/>
      <c r="GA180" s="4">
        <v>3</v>
      </c>
      <c r="GB180" s="6">
        <v>77.73</v>
      </c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  <c r="IA180" s="4"/>
      <c r="IB180" s="6"/>
      <c r="IC180" s="4"/>
      <c r="ID180" s="6"/>
      <c r="IE180" s="5"/>
      <c r="IF180" s="5"/>
      <c r="IG180" s="4"/>
      <c r="IH180" s="6"/>
      <c r="II180" s="4"/>
      <c r="IJ180" s="6"/>
      <c r="IK180" s="5"/>
      <c r="IL180" s="5"/>
      <c r="IM180" s="4"/>
      <c r="IN180" s="6"/>
      <c r="IO180" s="4"/>
      <c r="IP180" s="6"/>
      <c r="IQ180" s="5"/>
      <c r="IR180" s="5"/>
      <c r="IS180" s="4"/>
      <c r="IT180" s="6"/>
      <c r="IU180" s="4"/>
      <c r="IV180" s="6"/>
      <c r="IW180" s="5"/>
      <c r="IX180" s="5"/>
      <c r="IY180" s="4"/>
      <c r="IZ180" s="6"/>
      <c r="JA180" s="4"/>
      <c r="JB180" s="6"/>
      <c r="JC180" s="5"/>
      <c r="JD180" s="5"/>
      <c r="JE180" s="4"/>
      <c r="JF180" s="6"/>
      <c r="JG180" s="4"/>
      <c r="JH180" s="6"/>
      <c r="JI180" s="5"/>
      <c r="JJ180" s="5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>
        <v>988</v>
      </c>
      <c r="LF180" s="4"/>
      <c r="LG180" s="4"/>
      <c r="LH180" s="4"/>
      <c r="LI180" s="4"/>
      <c r="LJ180" s="4"/>
      <c r="LK180" s="4"/>
      <c r="LL180" s="4"/>
      <c r="LM180" s="4"/>
    </row>
    <row r="181">
      <c r="A181" s="3" t="s">
        <v>136</v>
      </c>
      <c r="B181" s="3" t="s">
        <v>172</v>
      </c>
      <c r="C181" s="3" t="s">
        <v>138</v>
      </c>
      <c r="D181" s="3" t="s">
        <v>139</v>
      </c>
      <c r="E181" s="3" t="s">
        <v>173</v>
      </c>
      <c r="F181" s="3" t="s">
        <v>173</v>
      </c>
      <c r="G181" s="3" t="s">
        <v>173</v>
      </c>
      <c r="H181" s="3" t="s">
        <v>167</v>
      </c>
      <c r="I181" s="3" t="s">
        <v>303</v>
      </c>
      <c r="J181" s="3" t="s">
        <v>226</v>
      </c>
      <c r="K181" s="4"/>
      <c r="L181" s="4">
        <f>=ROUNDDOWN({0},0)</f>
      </c>
      <c r="M181" s="4">
        <v>470</v>
      </c>
      <c r="N181" s="5"/>
      <c r="O181" s="4"/>
      <c r="P181" s="4">
        <f>=ROUNDDOWN({0},0)</f>
      </c>
      <c r="Q181" s="4"/>
      <c r="R181" s="5"/>
      <c r="S181" s="4">
        <v>1</v>
      </c>
      <c r="T181" s="6">
        <v>20.55</v>
      </c>
      <c r="U181" s="4">
        <v>62</v>
      </c>
      <c r="V181" s="6">
        <v>2037.42</v>
      </c>
      <c r="W181" s="5">
        <v>-0.9839</v>
      </c>
      <c r="X181" s="5">
        <v>-0.9899</v>
      </c>
      <c r="Y181" s="4"/>
      <c r="Z181" s="6"/>
      <c r="AA181" s="4">
        <v>8</v>
      </c>
      <c r="AB181" s="6">
        <v>262</v>
      </c>
      <c r="AC181" s="5"/>
      <c r="AD181" s="5"/>
      <c r="AE181" s="4"/>
      <c r="AF181" s="6"/>
      <c r="AG181" s="4"/>
      <c r="AH181" s="6"/>
      <c r="AI181" s="5"/>
      <c r="AJ181" s="5"/>
      <c r="AK181" s="4"/>
      <c r="AL181" s="6"/>
      <c r="AM181" s="4"/>
      <c r="AN181" s="6"/>
      <c r="AO181" s="5"/>
      <c r="AP181" s="5"/>
      <c r="AQ181" s="4"/>
      <c r="AR181" s="6"/>
      <c r="AS181" s="4">
        <v>31</v>
      </c>
      <c r="AT181" s="6">
        <v>1007.19</v>
      </c>
      <c r="AU181" s="5"/>
      <c r="AV181" s="5"/>
      <c r="AW181" s="4"/>
      <c r="AX181" s="6"/>
      <c r="AY181" s="4">
        <v>1</v>
      </c>
      <c r="AZ181" s="6">
        <v>33.55</v>
      </c>
      <c r="BA181" s="5"/>
      <c r="BB181" s="5"/>
      <c r="BC181" s="4"/>
      <c r="BD181" s="6"/>
      <c r="BE181" s="4">
        <v>15</v>
      </c>
      <c r="BF181" s="6">
        <v>511.2</v>
      </c>
      <c r="BG181" s="5"/>
      <c r="BH181" s="5"/>
      <c r="BI181" s="4"/>
      <c r="BJ181" s="6"/>
      <c r="BK181" s="4">
        <v>2</v>
      </c>
      <c r="BL181" s="6">
        <v>62</v>
      </c>
      <c r="BM181" s="5"/>
      <c r="BN181" s="5"/>
      <c r="BO181" s="4"/>
      <c r="BP181" s="6"/>
      <c r="BQ181" s="4"/>
      <c r="BR181" s="6"/>
      <c r="BS181" s="5"/>
      <c r="BT181" s="5"/>
      <c r="BU181" s="4"/>
      <c r="BV181" s="6"/>
      <c r="BW181" s="4">
        <v>2</v>
      </c>
      <c r="BX181" s="6">
        <v>67.1</v>
      </c>
      <c r="BY181" s="5"/>
      <c r="BZ181" s="5"/>
      <c r="CA181" s="4">
        <v>1</v>
      </c>
      <c r="CB181" s="6">
        <v>20.55</v>
      </c>
      <c r="CC181" s="4">
        <v>1</v>
      </c>
      <c r="CD181" s="6">
        <v>31.95</v>
      </c>
      <c r="CE181" s="5"/>
      <c r="CF181" s="5">
        <v>-0.3568</v>
      </c>
      <c r="CG181" s="4"/>
      <c r="CH181" s="6"/>
      <c r="CI181" s="4">
        <v>1</v>
      </c>
      <c r="CJ181" s="6">
        <v>32.49</v>
      </c>
      <c r="CK181" s="5"/>
      <c r="CL181" s="5"/>
      <c r="CM181" s="4"/>
      <c r="CN181" s="6"/>
      <c r="CO181" s="4"/>
      <c r="CP181" s="6"/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>
        <v>1</v>
      </c>
      <c r="DB181" s="6">
        <v>29.94</v>
      </c>
      <c r="DC181" s="5"/>
      <c r="DD181" s="5"/>
      <c r="DE181" s="4"/>
      <c r="DF181" s="6"/>
      <c r="DG181" s="4"/>
      <c r="DH181" s="6"/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/>
      <c r="ED181" s="6"/>
      <c r="EE181" s="4"/>
      <c r="EF181" s="6"/>
      <c r="EG181" s="5"/>
      <c r="EH181" s="5"/>
      <c r="EI181" s="4"/>
      <c r="EJ181" s="6"/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  <c r="IA181" s="4"/>
      <c r="IB181" s="6"/>
      <c r="IC181" s="4"/>
      <c r="ID181" s="6"/>
      <c r="IE181" s="5"/>
      <c r="IF181" s="5"/>
      <c r="IG181" s="4"/>
      <c r="IH181" s="6"/>
      <c r="II181" s="4"/>
      <c r="IJ181" s="6"/>
      <c r="IK181" s="5"/>
      <c r="IL181" s="5"/>
      <c r="IM181" s="4"/>
      <c r="IN181" s="6"/>
      <c r="IO181" s="4"/>
      <c r="IP181" s="6"/>
      <c r="IQ181" s="5"/>
      <c r="IR181" s="5"/>
      <c r="IS181" s="4"/>
      <c r="IT181" s="6"/>
      <c r="IU181" s="4"/>
      <c r="IV181" s="6"/>
      <c r="IW181" s="5"/>
      <c r="IX181" s="5"/>
      <c r="IY181" s="4"/>
      <c r="IZ181" s="6"/>
      <c r="JA181" s="4"/>
      <c r="JB181" s="6"/>
      <c r="JC181" s="5"/>
      <c r="JD181" s="5"/>
      <c r="JE181" s="4"/>
      <c r="JF181" s="6"/>
      <c r="JG181" s="4"/>
      <c r="JH181" s="6"/>
      <c r="JI181" s="5"/>
      <c r="JJ181" s="5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>
        <v>470</v>
      </c>
      <c r="LF181" s="4"/>
      <c r="LG181" s="4"/>
      <c r="LH181" s="4"/>
      <c r="LI181" s="4"/>
      <c r="LJ181" s="4"/>
      <c r="LK181" s="4"/>
      <c r="LL181" s="4"/>
      <c r="LM181" s="4"/>
    </row>
    <row r="182">
      <c r="A182" s="3" t="s">
        <v>136</v>
      </c>
      <c r="B182" s="3" t="s">
        <v>172</v>
      </c>
      <c r="C182" s="3" t="s">
        <v>138</v>
      </c>
      <c r="D182" s="3" t="s">
        <v>139</v>
      </c>
      <c r="E182" s="3" t="s">
        <v>173</v>
      </c>
      <c r="F182" s="3" t="s">
        <v>173</v>
      </c>
      <c r="G182" s="3" t="s">
        <v>173</v>
      </c>
      <c r="H182" s="3" t="s">
        <v>167</v>
      </c>
      <c r="I182" s="3" t="s">
        <v>304</v>
      </c>
      <c r="J182" s="3" t="s">
        <v>241</v>
      </c>
      <c r="K182" s="4"/>
      <c r="L182" s="4">
        <f>=ROUNDDOWN({0},0)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>
        <v>18</v>
      </c>
      <c r="V182" s="6">
        <v>507.3</v>
      </c>
      <c r="W182" s="5"/>
      <c r="X182" s="5"/>
      <c r="Y182" s="4"/>
      <c r="Z182" s="6"/>
      <c r="AA182" s="4">
        <v>1</v>
      </c>
      <c r="AB182" s="6">
        <v>32.75</v>
      </c>
      <c r="AC182" s="5"/>
      <c r="AD182" s="5"/>
      <c r="AE182" s="4"/>
      <c r="AF182" s="6"/>
      <c r="AG182" s="4"/>
      <c r="AH182" s="6"/>
      <c r="AI182" s="5"/>
      <c r="AJ182" s="5"/>
      <c r="AK182" s="4"/>
      <c r="AL182" s="6"/>
      <c r="AM182" s="4"/>
      <c r="AN182" s="6"/>
      <c r="AO182" s="5"/>
      <c r="AP182" s="5"/>
      <c r="AQ182" s="4"/>
      <c r="AR182" s="6"/>
      <c r="AS182" s="4">
        <v>11</v>
      </c>
      <c r="AT182" s="6">
        <v>293.33</v>
      </c>
      <c r="AU182" s="5"/>
      <c r="AV182" s="5"/>
      <c r="AW182" s="4"/>
      <c r="AX182" s="6"/>
      <c r="AY182" s="4"/>
      <c r="AZ182" s="6"/>
      <c r="BA182" s="5"/>
      <c r="BB182" s="5"/>
      <c r="BC182" s="4"/>
      <c r="BD182" s="6"/>
      <c r="BE182" s="4">
        <v>2</v>
      </c>
      <c r="BF182" s="6">
        <v>62.26</v>
      </c>
      <c r="BG182" s="5"/>
      <c r="BH182" s="5"/>
      <c r="BI182" s="4"/>
      <c r="BJ182" s="6"/>
      <c r="BK182" s="4"/>
      <c r="BL182" s="6"/>
      <c r="BM182" s="5"/>
      <c r="BN182" s="5"/>
      <c r="BO182" s="4"/>
      <c r="BP182" s="6"/>
      <c r="BQ182" s="4"/>
      <c r="BR182" s="6"/>
      <c r="BS182" s="5"/>
      <c r="BT182" s="5"/>
      <c r="BU182" s="4"/>
      <c r="BV182" s="6"/>
      <c r="BW182" s="4">
        <v>1</v>
      </c>
      <c r="BX182" s="6">
        <v>33.55</v>
      </c>
      <c r="BY182" s="5"/>
      <c r="BZ182" s="5"/>
      <c r="CA182" s="4"/>
      <c r="CB182" s="6"/>
      <c r="CC182" s="4">
        <v>2</v>
      </c>
      <c r="CD182" s="6">
        <v>54.77</v>
      </c>
      <c r="CE182" s="5"/>
      <c r="CF182" s="5"/>
      <c r="CG182" s="4"/>
      <c r="CH182" s="6"/>
      <c r="CI182" s="4">
        <v>1</v>
      </c>
      <c r="CJ182" s="6">
        <v>30.64</v>
      </c>
      <c r="CK182" s="5"/>
      <c r="CL182" s="5"/>
      <c r="CM182" s="4"/>
      <c r="CN182" s="6"/>
      <c r="CO182" s="4"/>
      <c r="CP182" s="6"/>
      <c r="CQ182" s="5"/>
      <c r="CR182" s="5"/>
      <c r="CS182" s="4"/>
      <c r="CT182" s="6"/>
      <c r="CU182" s="4"/>
      <c r="CV182" s="6"/>
      <c r="CW182" s="5"/>
      <c r="CX182" s="5"/>
      <c r="CY182" s="4"/>
      <c r="CZ182" s="6"/>
      <c r="DA182" s="4"/>
      <c r="DB182" s="6"/>
      <c r="DC182" s="5"/>
      <c r="DD182" s="5"/>
      <c r="DE182" s="4"/>
      <c r="DF182" s="6"/>
      <c r="DG182" s="4"/>
      <c r="DH182" s="6"/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/>
      <c r="DX182" s="6"/>
      <c r="DY182" s="4"/>
      <c r="DZ182" s="6"/>
      <c r="EA182" s="5"/>
      <c r="EB182" s="5"/>
      <c r="EC182" s="4"/>
      <c r="ED182" s="6"/>
      <c r="EE182" s="4"/>
      <c r="EF182" s="6"/>
      <c r="EG182" s="5"/>
      <c r="EH182" s="5"/>
      <c r="EI182" s="4"/>
      <c r="EJ182" s="6"/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  <c r="IA182" s="4"/>
      <c r="IB182" s="6"/>
      <c r="IC182" s="4"/>
      <c r="ID182" s="6"/>
      <c r="IE182" s="5"/>
      <c r="IF182" s="5"/>
      <c r="IG182" s="4"/>
      <c r="IH182" s="6"/>
      <c r="II182" s="4"/>
      <c r="IJ182" s="6"/>
      <c r="IK182" s="5"/>
      <c r="IL182" s="5"/>
      <c r="IM182" s="4"/>
      <c r="IN182" s="6"/>
      <c r="IO182" s="4"/>
      <c r="IP182" s="6"/>
      <c r="IQ182" s="5"/>
      <c r="IR182" s="5"/>
      <c r="IS182" s="4"/>
      <c r="IT182" s="6"/>
      <c r="IU182" s="4"/>
      <c r="IV182" s="6"/>
      <c r="IW182" s="5"/>
      <c r="IX182" s="5"/>
      <c r="IY182" s="4"/>
      <c r="IZ182" s="6"/>
      <c r="JA182" s="4"/>
      <c r="JB182" s="6"/>
      <c r="JC182" s="5"/>
      <c r="JD182" s="5"/>
      <c r="JE182" s="4"/>
      <c r="JF182" s="6"/>
      <c r="JG182" s="4"/>
      <c r="JH182" s="6"/>
      <c r="JI182" s="5"/>
      <c r="JJ182" s="5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  <c r="LM182" s="4"/>
    </row>
    <row r="183">
      <c r="A183" s="3" t="s">
        <v>136</v>
      </c>
      <c r="B183" s="3" t="s">
        <v>172</v>
      </c>
      <c r="C183" s="3" t="s">
        <v>138</v>
      </c>
      <c r="D183" s="3" t="s">
        <v>139</v>
      </c>
      <c r="E183" s="3" t="s">
        <v>173</v>
      </c>
      <c r="F183" s="3" t="s">
        <v>173</v>
      </c>
      <c r="G183" s="3" t="s">
        <v>173</v>
      </c>
      <c r="H183" s="3" t="s">
        <v>167</v>
      </c>
      <c r="I183" s="3" t="s">
        <v>305</v>
      </c>
      <c r="J183" s="3" t="s">
        <v>241</v>
      </c>
      <c r="K183" s="4"/>
      <c r="L183" s="4">
        <f>=ROUNDDOWN({0},0)</f>
      </c>
      <c r="M183" s="4"/>
      <c r="N183" s="5"/>
      <c r="O183" s="4"/>
      <c r="P183" s="4">
        <f>=ROUNDDOWN({0},0)</f>
      </c>
      <c r="Q183" s="4"/>
      <c r="R183" s="5"/>
      <c r="S183" s="4"/>
      <c r="T183" s="6"/>
      <c r="U183" s="4">
        <v>372</v>
      </c>
      <c r="V183" s="6">
        <v>9951.32</v>
      </c>
      <c r="W183" s="5"/>
      <c r="X183" s="5"/>
      <c r="Y183" s="4"/>
      <c r="Z183" s="6"/>
      <c r="AA183" s="4">
        <v>156</v>
      </c>
      <c r="AB183" s="6">
        <v>4252.28</v>
      </c>
      <c r="AC183" s="5"/>
      <c r="AD183" s="5"/>
      <c r="AE183" s="4"/>
      <c r="AF183" s="6"/>
      <c r="AG183" s="4">
        <v>2</v>
      </c>
      <c r="AH183" s="6">
        <v>53.64</v>
      </c>
      <c r="AI183" s="5"/>
      <c r="AJ183" s="5"/>
      <c r="AK183" s="4"/>
      <c r="AL183" s="6"/>
      <c r="AM183" s="4"/>
      <c r="AN183" s="6"/>
      <c r="AO183" s="5"/>
      <c r="AP183" s="5"/>
      <c r="AQ183" s="4"/>
      <c r="AR183" s="6"/>
      <c r="AS183" s="4">
        <v>115</v>
      </c>
      <c r="AT183" s="6">
        <v>2929.18</v>
      </c>
      <c r="AU183" s="5"/>
      <c r="AV183" s="5"/>
      <c r="AW183" s="4"/>
      <c r="AX183" s="6"/>
      <c r="AY183" s="4">
        <v>16</v>
      </c>
      <c r="AZ183" s="6">
        <v>457.48</v>
      </c>
      <c r="BA183" s="5"/>
      <c r="BB183" s="5"/>
      <c r="BC183" s="4"/>
      <c r="BD183" s="6"/>
      <c r="BE183" s="4">
        <v>36</v>
      </c>
      <c r="BF183" s="6">
        <v>966.69</v>
      </c>
      <c r="BG183" s="5"/>
      <c r="BH183" s="5"/>
      <c r="BI183" s="4"/>
      <c r="BJ183" s="6"/>
      <c r="BK183" s="4">
        <v>15</v>
      </c>
      <c r="BL183" s="6">
        <v>402.96</v>
      </c>
      <c r="BM183" s="5"/>
      <c r="BN183" s="5"/>
      <c r="BO183" s="4"/>
      <c r="BP183" s="6"/>
      <c r="BQ183" s="4">
        <v>2</v>
      </c>
      <c r="BR183" s="6">
        <v>51.82</v>
      </c>
      <c r="BS183" s="5"/>
      <c r="BT183" s="5"/>
      <c r="BU183" s="4"/>
      <c r="BV183" s="6"/>
      <c r="BW183" s="4">
        <v>12</v>
      </c>
      <c r="BX183" s="6">
        <v>345.32</v>
      </c>
      <c r="BY183" s="5"/>
      <c r="BZ183" s="5"/>
      <c r="CA183" s="4"/>
      <c r="CB183" s="6"/>
      <c r="CC183" s="4">
        <v>6</v>
      </c>
      <c r="CD183" s="6">
        <v>173.58</v>
      </c>
      <c r="CE183" s="5"/>
      <c r="CF183" s="5"/>
      <c r="CG183" s="4"/>
      <c r="CH183" s="6"/>
      <c r="CI183" s="4">
        <v>4</v>
      </c>
      <c r="CJ183" s="6">
        <v>101.69</v>
      </c>
      <c r="CK183" s="5"/>
      <c r="CL183" s="5"/>
      <c r="CM183" s="4"/>
      <c r="CN183" s="6"/>
      <c r="CO183" s="4"/>
      <c r="CP183" s="6"/>
      <c r="CQ183" s="5"/>
      <c r="CR183" s="5"/>
      <c r="CS183" s="4"/>
      <c r="CT183" s="6"/>
      <c r="CU183" s="4">
        <v>6</v>
      </c>
      <c r="CV183" s="6">
        <v>164.46</v>
      </c>
      <c r="CW183" s="5"/>
      <c r="CX183" s="5"/>
      <c r="CY183" s="4"/>
      <c r="CZ183" s="6"/>
      <c r="DA183" s="4"/>
      <c r="DB183" s="6"/>
      <c r="DC183" s="5"/>
      <c r="DD183" s="5"/>
      <c r="DE183" s="4"/>
      <c r="DF183" s="6"/>
      <c r="DG183" s="4"/>
      <c r="DH183" s="6"/>
      <c r="DI183" s="5"/>
      <c r="DJ183" s="5"/>
      <c r="DK183" s="4"/>
      <c r="DL183" s="6"/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/>
      <c r="DX183" s="6"/>
      <c r="DY183" s="4"/>
      <c r="DZ183" s="6"/>
      <c r="EA183" s="5"/>
      <c r="EB183" s="5"/>
      <c r="EC183" s="4"/>
      <c r="ED183" s="6"/>
      <c r="EE183" s="4"/>
      <c r="EF183" s="6"/>
      <c r="EG183" s="5"/>
      <c r="EH183" s="5"/>
      <c r="EI183" s="4"/>
      <c r="EJ183" s="6"/>
      <c r="EK183" s="4"/>
      <c r="EL183" s="6"/>
      <c r="EM183" s="5"/>
      <c r="EN183" s="5"/>
      <c r="EO183" s="4"/>
      <c r="EP183" s="6"/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/>
      <c r="FP183" s="6"/>
      <c r="FQ183" s="5"/>
      <c r="FR183" s="5"/>
      <c r="FS183" s="4"/>
      <c r="FT183" s="6"/>
      <c r="FU183" s="4">
        <v>2</v>
      </c>
      <c r="FV183" s="6">
        <v>52.22</v>
      </c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  <c r="IA183" s="4"/>
      <c r="IB183" s="6"/>
      <c r="IC183" s="4"/>
      <c r="ID183" s="6"/>
      <c r="IE183" s="5"/>
      <c r="IF183" s="5"/>
      <c r="IG183" s="4"/>
      <c r="IH183" s="6"/>
      <c r="II183" s="4"/>
      <c r="IJ183" s="6"/>
      <c r="IK183" s="5"/>
      <c r="IL183" s="5"/>
      <c r="IM183" s="4"/>
      <c r="IN183" s="6"/>
      <c r="IO183" s="4"/>
      <c r="IP183" s="6"/>
      <c r="IQ183" s="5"/>
      <c r="IR183" s="5"/>
      <c r="IS183" s="4"/>
      <c r="IT183" s="6"/>
      <c r="IU183" s="4"/>
      <c r="IV183" s="6"/>
      <c r="IW183" s="5"/>
      <c r="IX183" s="5"/>
      <c r="IY183" s="4"/>
      <c r="IZ183" s="6"/>
      <c r="JA183" s="4"/>
      <c r="JB183" s="6"/>
      <c r="JC183" s="5"/>
      <c r="JD183" s="5"/>
      <c r="JE183" s="4"/>
      <c r="JF183" s="6"/>
      <c r="JG183" s="4"/>
      <c r="JH183" s="6"/>
      <c r="JI183" s="5"/>
      <c r="JJ183" s="5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  <c r="LK183" s="4"/>
      <c r="LL183" s="4"/>
      <c r="LM183" s="4"/>
    </row>
    <row r="184">
      <c r="A184" s="3" t="s">
        <v>136</v>
      </c>
      <c r="B184" s="3" t="s">
        <v>172</v>
      </c>
      <c r="C184" s="3" t="s">
        <v>138</v>
      </c>
      <c r="D184" s="3" t="s">
        <v>139</v>
      </c>
      <c r="E184" s="3" t="s">
        <v>173</v>
      </c>
      <c r="F184" s="3" t="s">
        <v>173</v>
      </c>
      <c r="G184" s="3" t="s">
        <v>173</v>
      </c>
      <c r="H184" s="3" t="s">
        <v>167</v>
      </c>
      <c r="I184" s="3" t="s">
        <v>306</v>
      </c>
      <c r="J184" s="3" t="s">
        <v>243</v>
      </c>
      <c r="K184" s="4">
        <v>2</v>
      </c>
      <c r="L184" s="4">
        <f>=ROUNDDOWN(0.0125786163522013,0)</f>
      </c>
      <c r="M184" s="4">
        <v>1568</v>
      </c>
      <c r="N184" s="5"/>
      <c r="O184" s="4"/>
      <c r="P184" s="4">
        <f>=ROUNDDOWN({0},0)</f>
      </c>
      <c r="Q184" s="4"/>
      <c r="R184" s="5"/>
      <c r="S184" s="4"/>
      <c r="T184" s="6"/>
      <c r="U184" s="4">
        <v>90</v>
      </c>
      <c r="V184" s="6">
        <v>2429.13</v>
      </c>
      <c r="W184" s="5"/>
      <c r="X184" s="5"/>
      <c r="Y184" s="4"/>
      <c r="Z184" s="6"/>
      <c r="AA184" s="4">
        <v>19</v>
      </c>
      <c r="AB184" s="6">
        <v>520.34</v>
      </c>
      <c r="AC184" s="5"/>
      <c r="AD184" s="5"/>
      <c r="AE184" s="4"/>
      <c r="AF184" s="6"/>
      <c r="AG184" s="4">
        <v>3</v>
      </c>
      <c r="AH184" s="6">
        <v>89.4</v>
      </c>
      <c r="AI184" s="5"/>
      <c r="AJ184" s="5"/>
      <c r="AK184" s="4"/>
      <c r="AL184" s="6"/>
      <c r="AM184" s="4"/>
      <c r="AN184" s="6"/>
      <c r="AO184" s="5"/>
      <c r="AP184" s="5"/>
      <c r="AQ184" s="4"/>
      <c r="AR184" s="6"/>
      <c r="AS184" s="4">
        <v>47</v>
      </c>
      <c r="AT184" s="6">
        <v>1223.68</v>
      </c>
      <c r="AU184" s="5"/>
      <c r="AV184" s="5"/>
      <c r="AW184" s="4"/>
      <c r="AX184" s="6"/>
      <c r="AY184" s="4"/>
      <c r="AZ184" s="6"/>
      <c r="BA184" s="5"/>
      <c r="BB184" s="5"/>
      <c r="BC184" s="4"/>
      <c r="BD184" s="6"/>
      <c r="BE184" s="4">
        <v>6</v>
      </c>
      <c r="BF184" s="6">
        <v>179.2</v>
      </c>
      <c r="BG184" s="5"/>
      <c r="BH184" s="5"/>
      <c r="BI184" s="4"/>
      <c r="BJ184" s="6"/>
      <c r="BK184" s="4"/>
      <c r="BL184" s="6"/>
      <c r="BM184" s="5"/>
      <c r="BN184" s="5"/>
      <c r="BO184" s="4"/>
      <c r="BP184" s="6"/>
      <c r="BQ184" s="4"/>
      <c r="BR184" s="6"/>
      <c r="BS184" s="5"/>
      <c r="BT184" s="5"/>
      <c r="BU184" s="4"/>
      <c r="BV184" s="6"/>
      <c r="BW184" s="4"/>
      <c r="BX184" s="6"/>
      <c r="BY184" s="5"/>
      <c r="BZ184" s="5"/>
      <c r="CA184" s="4"/>
      <c r="CB184" s="6"/>
      <c r="CC184" s="4">
        <v>3</v>
      </c>
      <c r="CD184" s="6">
        <v>74.14</v>
      </c>
      <c r="CE184" s="5"/>
      <c r="CF184" s="5"/>
      <c r="CG184" s="4"/>
      <c r="CH184" s="6"/>
      <c r="CI184" s="4">
        <v>2</v>
      </c>
      <c r="CJ184" s="6">
        <v>54.67</v>
      </c>
      <c r="CK184" s="5"/>
      <c r="CL184" s="5"/>
      <c r="CM184" s="4"/>
      <c r="CN184" s="6"/>
      <c r="CO184" s="4"/>
      <c r="CP184" s="6"/>
      <c r="CQ184" s="5"/>
      <c r="CR184" s="5"/>
      <c r="CS184" s="4"/>
      <c r="CT184" s="6"/>
      <c r="CU184" s="4"/>
      <c r="CV184" s="6"/>
      <c r="CW184" s="5"/>
      <c r="CX184" s="5"/>
      <c r="CY184" s="4"/>
      <c r="CZ184" s="6"/>
      <c r="DA184" s="4">
        <v>3</v>
      </c>
      <c r="DB184" s="6">
        <v>89.82</v>
      </c>
      <c r="DC184" s="5"/>
      <c r="DD184" s="5"/>
      <c r="DE184" s="4"/>
      <c r="DF184" s="6"/>
      <c r="DG184" s="4"/>
      <c r="DH184" s="6"/>
      <c r="DI184" s="5"/>
      <c r="DJ184" s="5"/>
      <c r="DK184" s="4"/>
      <c r="DL184" s="6"/>
      <c r="DM184" s="4"/>
      <c r="DN184" s="6"/>
      <c r="DO184" s="5"/>
      <c r="DP184" s="5"/>
      <c r="DQ184" s="4"/>
      <c r="DR184" s="6"/>
      <c r="DS184" s="4">
        <v>5</v>
      </c>
      <c r="DT184" s="6">
        <v>148.74</v>
      </c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>
        <v>2</v>
      </c>
      <c r="FV184" s="6">
        <v>49.14</v>
      </c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  <c r="IA184" s="4"/>
      <c r="IB184" s="6"/>
      <c r="IC184" s="4"/>
      <c r="ID184" s="6"/>
      <c r="IE184" s="5"/>
      <c r="IF184" s="5"/>
      <c r="IG184" s="4"/>
      <c r="IH184" s="6"/>
      <c r="II184" s="4"/>
      <c r="IJ184" s="6"/>
      <c r="IK184" s="5"/>
      <c r="IL184" s="5"/>
      <c r="IM184" s="4"/>
      <c r="IN184" s="6"/>
      <c r="IO184" s="4"/>
      <c r="IP184" s="6"/>
      <c r="IQ184" s="5"/>
      <c r="IR184" s="5"/>
      <c r="IS184" s="4"/>
      <c r="IT184" s="6"/>
      <c r="IU184" s="4"/>
      <c r="IV184" s="6"/>
      <c r="IW184" s="5"/>
      <c r="IX184" s="5"/>
      <c r="IY184" s="4"/>
      <c r="IZ184" s="6"/>
      <c r="JA184" s="4"/>
      <c r="JB184" s="6"/>
      <c r="JC184" s="5"/>
      <c r="JD184" s="5"/>
      <c r="JE184" s="4"/>
      <c r="JF184" s="6"/>
      <c r="JG184" s="4"/>
      <c r="JH184" s="6"/>
      <c r="JI184" s="5"/>
      <c r="JJ184" s="5"/>
      <c r="JK184" s="4">
        <v>2</v>
      </c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>
        <v>1568</v>
      </c>
      <c r="LF184" s="4"/>
      <c r="LG184" s="4"/>
      <c r="LH184" s="4"/>
      <c r="LI184" s="4"/>
      <c r="LJ184" s="4"/>
      <c r="LK184" s="4"/>
      <c r="LL184" s="4"/>
      <c r="LM184" s="4"/>
    </row>
    <row r="185">
      <c r="A185" s="3" t="s">
        <v>136</v>
      </c>
      <c r="B185" s="3" t="s">
        <v>172</v>
      </c>
      <c r="C185" s="3" t="s">
        <v>138</v>
      </c>
      <c r="D185" s="3" t="s">
        <v>139</v>
      </c>
      <c r="E185" s="3" t="s">
        <v>173</v>
      </c>
      <c r="F185" s="3" t="s">
        <v>173</v>
      </c>
      <c r="G185" s="3" t="s">
        <v>173</v>
      </c>
      <c r="H185" s="3" t="s">
        <v>167</v>
      </c>
      <c r="I185" s="3" t="s">
        <v>307</v>
      </c>
      <c r="J185" s="3" t="s">
        <v>241</v>
      </c>
      <c r="K185" s="4"/>
      <c r="L185" s="4">
        <f>=ROUNDDOWN({0},0)</f>
      </c>
      <c r="M185" s="4"/>
      <c r="N185" s="5"/>
      <c r="O185" s="4"/>
      <c r="P185" s="4">
        <f>=ROUNDDOWN({0},0)</f>
      </c>
      <c r="Q185" s="4"/>
      <c r="R185" s="5"/>
      <c r="S185" s="4"/>
      <c r="T185" s="6"/>
      <c r="U185" s="4">
        <v>42</v>
      </c>
      <c r="V185" s="6">
        <v>944.32</v>
      </c>
      <c r="W185" s="5"/>
      <c r="X185" s="5"/>
      <c r="Y185" s="4"/>
      <c r="Z185" s="6"/>
      <c r="AA185" s="4">
        <v>11</v>
      </c>
      <c r="AB185" s="6">
        <v>235.29</v>
      </c>
      <c r="AC185" s="5"/>
      <c r="AD185" s="5"/>
      <c r="AE185" s="4"/>
      <c r="AF185" s="6"/>
      <c r="AG185" s="4"/>
      <c r="AH185" s="6"/>
      <c r="AI185" s="5"/>
      <c r="AJ185" s="5"/>
      <c r="AK185" s="4"/>
      <c r="AL185" s="6"/>
      <c r="AM185" s="4"/>
      <c r="AN185" s="6"/>
      <c r="AO185" s="5"/>
      <c r="AP185" s="5"/>
      <c r="AQ185" s="4"/>
      <c r="AR185" s="6"/>
      <c r="AS185" s="4">
        <v>17</v>
      </c>
      <c r="AT185" s="6">
        <v>392.09</v>
      </c>
      <c r="AU185" s="5"/>
      <c r="AV185" s="5"/>
      <c r="AW185" s="4"/>
      <c r="AX185" s="6"/>
      <c r="AY185" s="4"/>
      <c r="AZ185" s="6"/>
      <c r="BA185" s="5"/>
      <c r="BB185" s="5"/>
      <c r="BC185" s="4"/>
      <c r="BD185" s="6"/>
      <c r="BE185" s="4">
        <v>11</v>
      </c>
      <c r="BF185" s="6">
        <v>249.04</v>
      </c>
      <c r="BG185" s="5"/>
      <c r="BH185" s="5"/>
      <c r="BI185" s="4"/>
      <c r="BJ185" s="6"/>
      <c r="BK185" s="4">
        <v>2</v>
      </c>
      <c r="BL185" s="6">
        <v>45.08</v>
      </c>
      <c r="BM185" s="5"/>
      <c r="BN185" s="5"/>
      <c r="BO185" s="4"/>
      <c r="BP185" s="6"/>
      <c r="BQ185" s="4">
        <v>1</v>
      </c>
      <c r="BR185" s="6">
        <v>22.82</v>
      </c>
      <c r="BS185" s="5"/>
      <c r="BT185" s="5"/>
      <c r="BU185" s="4"/>
      <c r="BV185" s="6"/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/>
      <c r="CN185" s="6"/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/>
      <c r="DX185" s="6"/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  <c r="IA185" s="4"/>
      <c r="IB185" s="6"/>
      <c r="IC185" s="4"/>
      <c r="ID185" s="6"/>
      <c r="IE185" s="5"/>
      <c r="IF185" s="5"/>
      <c r="IG185" s="4"/>
      <c r="IH185" s="6"/>
      <c r="II185" s="4"/>
      <c r="IJ185" s="6"/>
      <c r="IK185" s="5"/>
      <c r="IL185" s="5"/>
      <c r="IM185" s="4"/>
      <c r="IN185" s="6"/>
      <c r="IO185" s="4"/>
      <c r="IP185" s="6"/>
      <c r="IQ185" s="5"/>
      <c r="IR185" s="5"/>
      <c r="IS185" s="4"/>
      <c r="IT185" s="6"/>
      <c r="IU185" s="4"/>
      <c r="IV185" s="6"/>
      <c r="IW185" s="5"/>
      <c r="IX185" s="5"/>
      <c r="IY185" s="4"/>
      <c r="IZ185" s="6"/>
      <c r="JA185" s="4"/>
      <c r="JB185" s="6"/>
      <c r="JC185" s="5"/>
      <c r="JD185" s="5"/>
      <c r="JE185" s="4"/>
      <c r="JF185" s="6"/>
      <c r="JG185" s="4"/>
      <c r="JH185" s="6"/>
      <c r="JI185" s="5"/>
      <c r="JJ185" s="5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  <c r="LM185" s="4"/>
    </row>
    <row r="186">
      <c r="A186" s="3" t="s">
        <v>136</v>
      </c>
      <c r="B186" s="3" t="s">
        <v>172</v>
      </c>
      <c r="C186" s="3" t="s">
        <v>138</v>
      </c>
      <c r="D186" s="3" t="s">
        <v>139</v>
      </c>
      <c r="E186" s="3" t="s">
        <v>173</v>
      </c>
      <c r="F186" s="3" t="s">
        <v>173</v>
      </c>
      <c r="G186" s="3" t="s">
        <v>173</v>
      </c>
      <c r="H186" s="3" t="s">
        <v>167</v>
      </c>
      <c r="I186" s="3" t="s">
        <v>273</v>
      </c>
      <c r="J186" s="3" t="s">
        <v>228</v>
      </c>
      <c r="K186" s="4"/>
      <c r="L186" s="4">
        <f>=ROUNDDOWN({0},0)</f>
      </c>
      <c r="M186" s="4">
        <v>1461</v>
      </c>
      <c r="N186" s="5"/>
      <c r="O186" s="4"/>
      <c r="P186" s="4">
        <f>=ROUNDDOWN({0},0)</f>
      </c>
      <c r="Q186" s="4"/>
      <c r="R186" s="5"/>
      <c r="S186" s="4"/>
      <c r="T186" s="6"/>
      <c r="U186" s="4">
        <v>711</v>
      </c>
      <c r="V186" s="6">
        <v>16608.59</v>
      </c>
      <c r="W186" s="5"/>
      <c r="X186" s="5"/>
      <c r="Y186" s="4"/>
      <c r="Z186" s="6"/>
      <c r="AA186" s="4">
        <v>89</v>
      </c>
      <c r="AB186" s="6">
        <v>2544.75</v>
      </c>
      <c r="AC186" s="5"/>
      <c r="AD186" s="5"/>
      <c r="AE186" s="4"/>
      <c r="AF186" s="6"/>
      <c r="AG186" s="4">
        <v>9</v>
      </c>
      <c r="AH186" s="6">
        <v>256.28</v>
      </c>
      <c r="AI186" s="5"/>
      <c r="AJ186" s="5"/>
      <c r="AK186" s="4"/>
      <c r="AL186" s="6"/>
      <c r="AM186" s="4"/>
      <c r="AN186" s="6"/>
      <c r="AO186" s="5"/>
      <c r="AP186" s="5"/>
      <c r="AQ186" s="4"/>
      <c r="AR186" s="6"/>
      <c r="AS186" s="4">
        <v>491</v>
      </c>
      <c r="AT186" s="6">
        <v>10616.37</v>
      </c>
      <c r="AU186" s="5"/>
      <c r="AV186" s="5"/>
      <c r="AW186" s="4"/>
      <c r="AX186" s="6"/>
      <c r="AY186" s="4">
        <v>15</v>
      </c>
      <c r="AZ186" s="6">
        <v>468.92</v>
      </c>
      <c r="BA186" s="5"/>
      <c r="BB186" s="5"/>
      <c r="BC186" s="4"/>
      <c r="BD186" s="6"/>
      <c r="BE186" s="4">
        <v>58</v>
      </c>
      <c r="BF186" s="6">
        <v>1451.79</v>
      </c>
      <c r="BG186" s="5"/>
      <c r="BH186" s="5"/>
      <c r="BI186" s="4"/>
      <c r="BJ186" s="6"/>
      <c r="BK186" s="4">
        <v>12</v>
      </c>
      <c r="BL186" s="6">
        <v>326.9</v>
      </c>
      <c r="BM186" s="5"/>
      <c r="BN186" s="5"/>
      <c r="BO186" s="4"/>
      <c r="BP186" s="6"/>
      <c r="BQ186" s="4"/>
      <c r="BR186" s="6"/>
      <c r="BS186" s="5"/>
      <c r="BT186" s="5"/>
      <c r="BU186" s="4"/>
      <c r="BV186" s="6"/>
      <c r="BW186" s="4">
        <v>13</v>
      </c>
      <c r="BX186" s="6">
        <v>363.68</v>
      </c>
      <c r="BY186" s="5"/>
      <c r="BZ186" s="5"/>
      <c r="CA186" s="4"/>
      <c r="CB186" s="6"/>
      <c r="CC186" s="4">
        <v>4</v>
      </c>
      <c r="CD186" s="6">
        <v>127.8</v>
      </c>
      <c r="CE186" s="5"/>
      <c r="CF186" s="5"/>
      <c r="CG186" s="4"/>
      <c r="CH186" s="6"/>
      <c r="CI186" s="4">
        <v>10</v>
      </c>
      <c r="CJ186" s="6">
        <v>208.44</v>
      </c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>
        <v>2</v>
      </c>
      <c r="CV186" s="6">
        <v>49.32</v>
      </c>
      <c r="CW186" s="5"/>
      <c r="CX186" s="5"/>
      <c r="CY186" s="4"/>
      <c r="CZ186" s="6"/>
      <c r="DA186" s="4">
        <v>4</v>
      </c>
      <c r="DB186" s="6">
        <v>65.32</v>
      </c>
      <c r="DC186" s="5"/>
      <c r="DD186" s="5"/>
      <c r="DE186" s="4"/>
      <c r="DF186" s="6"/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/>
      <c r="DR186" s="6"/>
      <c r="DS186" s="4"/>
      <c r="DT186" s="6"/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>
        <v>4</v>
      </c>
      <c r="FV186" s="6">
        <v>129.02</v>
      </c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  <c r="IA186" s="4"/>
      <c r="IB186" s="6"/>
      <c r="IC186" s="4"/>
      <c r="ID186" s="6"/>
      <c r="IE186" s="5"/>
      <c r="IF186" s="5"/>
      <c r="IG186" s="4"/>
      <c r="IH186" s="6"/>
      <c r="II186" s="4"/>
      <c r="IJ186" s="6"/>
      <c r="IK186" s="5"/>
      <c r="IL186" s="5"/>
      <c r="IM186" s="4"/>
      <c r="IN186" s="6"/>
      <c r="IO186" s="4"/>
      <c r="IP186" s="6"/>
      <c r="IQ186" s="5"/>
      <c r="IR186" s="5"/>
      <c r="IS186" s="4"/>
      <c r="IT186" s="6"/>
      <c r="IU186" s="4"/>
      <c r="IV186" s="6"/>
      <c r="IW186" s="5"/>
      <c r="IX186" s="5"/>
      <c r="IY186" s="4"/>
      <c r="IZ186" s="6"/>
      <c r="JA186" s="4"/>
      <c r="JB186" s="6"/>
      <c r="JC186" s="5"/>
      <c r="JD186" s="5"/>
      <c r="JE186" s="4"/>
      <c r="JF186" s="6"/>
      <c r="JG186" s="4"/>
      <c r="JH186" s="6"/>
      <c r="JI186" s="5"/>
      <c r="JJ186" s="5"/>
      <c r="JK186" s="4"/>
      <c r="JL186" s="4"/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/>
      <c r="LA186" s="4"/>
      <c r="LB186" s="4"/>
      <c r="LC186" s="4"/>
      <c r="LD186" s="4"/>
      <c r="LE186" s="4">
        <v>1461</v>
      </c>
      <c r="LF186" s="4"/>
      <c r="LG186" s="4"/>
      <c r="LH186" s="4"/>
      <c r="LI186" s="4"/>
      <c r="LJ186" s="4"/>
      <c r="LK186" s="4"/>
      <c r="LL186" s="4"/>
      <c r="LM186" s="4"/>
    </row>
    <row r="187">
      <c r="A187" s="3" t="s">
        <v>136</v>
      </c>
      <c r="B187" s="3" t="s">
        <v>172</v>
      </c>
      <c r="C187" s="3" t="s">
        <v>138</v>
      </c>
      <c r="D187" s="3" t="s">
        <v>139</v>
      </c>
      <c r="E187" s="3" t="s">
        <v>173</v>
      </c>
      <c r="F187" s="3" t="s">
        <v>173</v>
      </c>
      <c r="G187" s="3" t="s">
        <v>173</v>
      </c>
      <c r="H187" s="3" t="s">
        <v>167</v>
      </c>
      <c r="I187" s="3" t="s">
        <v>308</v>
      </c>
      <c r="J187" s="3" t="s">
        <v>228</v>
      </c>
      <c r="K187" s="4">
        <v>2</v>
      </c>
      <c r="L187" s="4">
        <f>=ROUNDDOWN(0.133333333333333,0)</f>
      </c>
      <c r="M187" s="4">
        <v>156</v>
      </c>
      <c r="N187" s="5"/>
      <c r="O187" s="4"/>
      <c r="P187" s="4">
        <f>=ROUNDDOWN({0},0)</f>
      </c>
      <c r="Q187" s="4"/>
      <c r="R187" s="5"/>
      <c r="S187" s="4"/>
      <c r="T187" s="6"/>
      <c r="U187" s="4">
        <v>2</v>
      </c>
      <c r="V187" s="6">
        <v>64.98</v>
      </c>
      <c r="W187" s="5"/>
      <c r="X187" s="5"/>
      <c r="Y187" s="4"/>
      <c r="Z187" s="6"/>
      <c r="AA187" s="4"/>
      <c r="AB187" s="6"/>
      <c r="AC187" s="5"/>
      <c r="AD187" s="5"/>
      <c r="AE187" s="4"/>
      <c r="AF187" s="6"/>
      <c r="AG187" s="4"/>
      <c r="AH187" s="6"/>
      <c r="AI187" s="5"/>
      <c r="AJ187" s="5"/>
      <c r="AK187" s="4"/>
      <c r="AL187" s="6"/>
      <c r="AM187" s="4"/>
      <c r="AN187" s="6"/>
      <c r="AO187" s="5"/>
      <c r="AP187" s="5"/>
      <c r="AQ187" s="4"/>
      <c r="AR187" s="6"/>
      <c r="AS187" s="4">
        <v>2</v>
      </c>
      <c r="AT187" s="6">
        <v>64.98</v>
      </c>
      <c r="AU187" s="5"/>
      <c r="AV187" s="5"/>
      <c r="AW187" s="4"/>
      <c r="AX187" s="6"/>
      <c r="AY187" s="4"/>
      <c r="AZ187" s="6"/>
      <c r="BA187" s="5"/>
      <c r="BB187" s="5"/>
      <c r="BC187" s="4"/>
      <c r="BD187" s="6"/>
      <c r="BE187" s="4"/>
      <c r="BF187" s="6"/>
      <c r="BG187" s="5"/>
      <c r="BH187" s="5"/>
      <c r="BI187" s="4"/>
      <c r="BJ187" s="6"/>
      <c r="BK187" s="4"/>
      <c r="BL187" s="6"/>
      <c r="BM187" s="5"/>
      <c r="BN187" s="5"/>
      <c r="BO187" s="4"/>
      <c r="BP187" s="6"/>
      <c r="BQ187" s="4"/>
      <c r="BR187" s="6"/>
      <c r="BS187" s="5"/>
      <c r="BT187" s="5"/>
      <c r="BU187" s="4"/>
      <c r="BV187" s="6"/>
      <c r="BW187" s="4"/>
      <c r="BX187" s="6"/>
      <c r="BY187" s="5"/>
      <c r="BZ187" s="5"/>
      <c r="CA187" s="4"/>
      <c r="CB187" s="6"/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/>
      <c r="CT187" s="6"/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/>
      <c r="DL187" s="6"/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/>
      <c r="ED187" s="6"/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  <c r="IA187" s="4"/>
      <c r="IB187" s="6"/>
      <c r="IC187" s="4"/>
      <c r="ID187" s="6"/>
      <c r="IE187" s="5"/>
      <c r="IF187" s="5"/>
      <c r="IG187" s="4"/>
      <c r="IH187" s="6"/>
      <c r="II187" s="4"/>
      <c r="IJ187" s="6"/>
      <c r="IK187" s="5"/>
      <c r="IL187" s="5"/>
      <c r="IM187" s="4"/>
      <c r="IN187" s="6"/>
      <c r="IO187" s="4"/>
      <c r="IP187" s="6"/>
      <c r="IQ187" s="5"/>
      <c r="IR187" s="5"/>
      <c r="IS187" s="4"/>
      <c r="IT187" s="6"/>
      <c r="IU187" s="4"/>
      <c r="IV187" s="6"/>
      <c r="IW187" s="5"/>
      <c r="IX187" s="5"/>
      <c r="IY187" s="4"/>
      <c r="IZ187" s="6"/>
      <c r="JA187" s="4"/>
      <c r="JB187" s="6"/>
      <c r="JC187" s="5"/>
      <c r="JD187" s="5"/>
      <c r="JE187" s="4"/>
      <c r="JF187" s="6"/>
      <c r="JG187" s="4"/>
      <c r="JH187" s="6"/>
      <c r="JI187" s="5"/>
      <c r="JJ187" s="5"/>
      <c r="JK187" s="4">
        <v>2</v>
      </c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>
        <v>156</v>
      </c>
      <c r="LF187" s="4"/>
      <c r="LG187" s="4"/>
      <c r="LH187" s="4"/>
      <c r="LI187" s="4"/>
      <c r="LJ187" s="4"/>
      <c r="LK187" s="4"/>
      <c r="LL187" s="4"/>
      <c r="LM187" s="4"/>
    </row>
    <row r="188">
      <c r="A188" s="3" t="s">
        <v>136</v>
      </c>
      <c r="B188" s="3" t="s">
        <v>172</v>
      </c>
      <c r="C188" s="3" t="s">
        <v>138</v>
      </c>
      <c r="D188" s="3" t="s">
        <v>139</v>
      </c>
      <c r="E188" s="3" t="s">
        <v>173</v>
      </c>
      <c r="F188" s="3" t="s">
        <v>173</v>
      </c>
      <c r="G188" s="3" t="s">
        <v>173</v>
      </c>
      <c r="H188" s="3" t="s">
        <v>167</v>
      </c>
      <c r="I188" s="3" t="s">
        <v>309</v>
      </c>
      <c r="J188" s="3" t="s">
        <v>241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/>
      <c r="T188" s="6"/>
      <c r="U188" s="4">
        <v>368</v>
      </c>
      <c r="V188" s="6">
        <v>8267.54</v>
      </c>
      <c r="W188" s="5"/>
      <c r="X188" s="5"/>
      <c r="Y188" s="4"/>
      <c r="Z188" s="6"/>
      <c r="AA188" s="4">
        <v>38</v>
      </c>
      <c r="AB188" s="6">
        <v>983.73</v>
      </c>
      <c r="AC188" s="5"/>
      <c r="AD188" s="5"/>
      <c r="AE188" s="4"/>
      <c r="AF188" s="6"/>
      <c r="AG188" s="4">
        <v>3</v>
      </c>
      <c r="AH188" s="6">
        <v>83.44</v>
      </c>
      <c r="AI188" s="5"/>
      <c r="AJ188" s="5"/>
      <c r="AK188" s="4"/>
      <c r="AL188" s="6"/>
      <c r="AM188" s="4"/>
      <c r="AN188" s="6"/>
      <c r="AO188" s="5"/>
      <c r="AP188" s="5"/>
      <c r="AQ188" s="4"/>
      <c r="AR188" s="6"/>
      <c r="AS188" s="4">
        <v>216</v>
      </c>
      <c r="AT188" s="6">
        <v>4468.6</v>
      </c>
      <c r="AU188" s="5"/>
      <c r="AV188" s="5"/>
      <c r="AW188" s="4"/>
      <c r="AX188" s="6"/>
      <c r="AY188" s="4">
        <v>6</v>
      </c>
      <c r="AZ188" s="6">
        <v>169.46</v>
      </c>
      <c r="BA188" s="5"/>
      <c r="BB188" s="5"/>
      <c r="BC188" s="4"/>
      <c r="BD188" s="6"/>
      <c r="BE188" s="4">
        <v>55</v>
      </c>
      <c r="BF188" s="6">
        <v>1318.78</v>
      </c>
      <c r="BG188" s="5"/>
      <c r="BH188" s="5"/>
      <c r="BI188" s="4"/>
      <c r="BJ188" s="6"/>
      <c r="BK188" s="4">
        <v>6</v>
      </c>
      <c r="BL188" s="6">
        <v>152.16</v>
      </c>
      <c r="BM188" s="5"/>
      <c r="BN188" s="5"/>
      <c r="BO188" s="4"/>
      <c r="BP188" s="6"/>
      <c r="BQ188" s="4"/>
      <c r="BR188" s="6"/>
      <c r="BS188" s="5"/>
      <c r="BT188" s="5"/>
      <c r="BU188" s="4"/>
      <c r="BV188" s="6"/>
      <c r="BW188" s="4">
        <v>8</v>
      </c>
      <c r="BX188" s="6">
        <v>220.58</v>
      </c>
      <c r="BY188" s="5"/>
      <c r="BZ188" s="5"/>
      <c r="CA188" s="4"/>
      <c r="CB188" s="6"/>
      <c r="CC188" s="4"/>
      <c r="CD188" s="6"/>
      <c r="CE188" s="5"/>
      <c r="CF188" s="5"/>
      <c r="CG188" s="4"/>
      <c r="CH188" s="6"/>
      <c r="CI188" s="4">
        <v>2</v>
      </c>
      <c r="CJ188" s="6">
        <v>47.7</v>
      </c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>
        <v>1</v>
      </c>
      <c r="CV188" s="6">
        <v>25.91</v>
      </c>
      <c r="CW188" s="5"/>
      <c r="CX188" s="5"/>
      <c r="CY188" s="4"/>
      <c r="CZ188" s="6"/>
      <c r="DA188" s="4">
        <v>30</v>
      </c>
      <c r="DB188" s="6">
        <v>726.54</v>
      </c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>
        <v>3</v>
      </c>
      <c r="FV188" s="6">
        <v>70.64</v>
      </c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  <c r="IA188" s="4"/>
      <c r="IB188" s="6"/>
      <c r="IC188" s="4"/>
      <c r="ID188" s="6"/>
      <c r="IE188" s="5"/>
      <c r="IF188" s="5"/>
      <c r="IG188" s="4"/>
      <c r="IH188" s="6"/>
      <c r="II188" s="4"/>
      <c r="IJ188" s="6"/>
      <c r="IK188" s="5"/>
      <c r="IL188" s="5"/>
      <c r="IM188" s="4"/>
      <c r="IN188" s="6"/>
      <c r="IO188" s="4"/>
      <c r="IP188" s="6"/>
      <c r="IQ188" s="5"/>
      <c r="IR188" s="5"/>
      <c r="IS188" s="4"/>
      <c r="IT188" s="6"/>
      <c r="IU188" s="4"/>
      <c r="IV188" s="6"/>
      <c r="IW188" s="5"/>
      <c r="IX188" s="5"/>
      <c r="IY188" s="4"/>
      <c r="IZ188" s="6"/>
      <c r="JA188" s="4"/>
      <c r="JB188" s="6"/>
      <c r="JC188" s="5"/>
      <c r="JD188" s="5"/>
      <c r="JE188" s="4"/>
      <c r="JF188" s="6"/>
      <c r="JG188" s="4"/>
      <c r="JH188" s="6"/>
      <c r="JI188" s="5"/>
      <c r="JJ188" s="5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  <c r="LK188" s="4"/>
      <c r="LL188" s="4"/>
      <c r="LM188" s="4"/>
    </row>
    <row r="189">
      <c r="A189" s="3" t="s">
        <v>136</v>
      </c>
      <c r="B189" s="3" t="s">
        <v>172</v>
      </c>
      <c r="C189" s="3" t="s">
        <v>138</v>
      </c>
      <c r="D189" s="3" t="s">
        <v>139</v>
      </c>
      <c r="E189" s="3" t="s">
        <v>174</v>
      </c>
      <c r="F189" s="3" t="s">
        <v>174</v>
      </c>
      <c r="G189" s="3" t="s">
        <v>174</v>
      </c>
      <c r="H189" s="3" t="s">
        <v>175</v>
      </c>
      <c r="I189" s="3" t="s">
        <v>238</v>
      </c>
      <c r="J189" s="3" t="s">
        <v>228</v>
      </c>
      <c r="K189" s="4">
        <v>515</v>
      </c>
      <c r="L189" s="4">
        <f>=ROUNDDOWN(5.65934065934066,0)</f>
      </c>
      <c r="M189" s="4">
        <v>530</v>
      </c>
      <c r="N189" s="5">
        <v>0.8663</v>
      </c>
      <c r="O189" s="4"/>
      <c r="P189" s="4">
        <f>=ROUNDDOWN({0},0)</f>
      </c>
      <c r="Q189" s="4"/>
      <c r="R189" s="5"/>
      <c r="S189" s="4">
        <v>789</v>
      </c>
      <c r="T189" s="6">
        <v>23680.06</v>
      </c>
      <c r="U189" s="4">
        <v>219</v>
      </c>
      <c r="V189" s="6">
        <v>6640.96</v>
      </c>
      <c r="W189" s="5">
        <v>2.6027</v>
      </c>
      <c r="X189" s="5">
        <v>2.5658</v>
      </c>
      <c r="Y189" s="4">
        <v>126</v>
      </c>
      <c r="Z189" s="6">
        <v>3875.7</v>
      </c>
      <c r="AA189" s="4">
        <v>34</v>
      </c>
      <c r="AB189" s="6">
        <v>1048.85</v>
      </c>
      <c r="AC189" s="5">
        <v>2.7059</v>
      </c>
      <c r="AD189" s="5">
        <v>2.6952</v>
      </c>
      <c r="AE189" s="4">
        <v>27</v>
      </c>
      <c r="AF189" s="6">
        <v>810.58</v>
      </c>
      <c r="AG189" s="4">
        <v>2</v>
      </c>
      <c r="AH189" s="6">
        <v>60.98</v>
      </c>
      <c r="AI189" s="5">
        <v>12.5</v>
      </c>
      <c r="AJ189" s="5">
        <v>12.2926</v>
      </c>
      <c r="AK189" s="4"/>
      <c r="AL189" s="6"/>
      <c r="AM189" s="4"/>
      <c r="AN189" s="6"/>
      <c r="AO189" s="5"/>
      <c r="AP189" s="5"/>
      <c r="AQ189" s="4">
        <v>357</v>
      </c>
      <c r="AR189" s="6">
        <v>10544.34</v>
      </c>
      <c r="AS189" s="4">
        <v>67</v>
      </c>
      <c r="AT189" s="6">
        <v>2021.73</v>
      </c>
      <c r="AU189" s="5">
        <v>4.3284</v>
      </c>
      <c r="AV189" s="5">
        <v>4.2155</v>
      </c>
      <c r="AW189" s="4">
        <v>17</v>
      </c>
      <c r="AX189" s="6">
        <v>524.59</v>
      </c>
      <c r="AY189" s="4">
        <v>21</v>
      </c>
      <c r="AZ189" s="6">
        <v>628.9</v>
      </c>
      <c r="BA189" s="5">
        <v>-0.1905</v>
      </c>
      <c r="BB189" s="5">
        <v>-0.1659</v>
      </c>
      <c r="BC189" s="4">
        <v>65</v>
      </c>
      <c r="BD189" s="6">
        <v>2003.3</v>
      </c>
      <c r="BE189" s="4"/>
      <c r="BF189" s="6"/>
      <c r="BG189" s="5"/>
      <c r="BH189" s="5"/>
      <c r="BI189" s="4">
        <v>141</v>
      </c>
      <c r="BJ189" s="6">
        <v>4343.81</v>
      </c>
      <c r="BK189" s="4">
        <v>78</v>
      </c>
      <c r="BL189" s="6">
        <v>2330.46</v>
      </c>
      <c r="BM189" s="5">
        <v>0.8077</v>
      </c>
      <c r="BN189" s="5">
        <v>0.8639</v>
      </c>
      <c r="BO189" s="4">
        <v>32</v>
      </c>
      <c r="BP189" s="6">
        <v>811.34</v>
      </c>
      <c r="BQ189" s="4">
        <v>7</v>
      </c>
      <c r="BR189" s="6">
        <v>177.63</v>
      </c>
      <c r="BS189" s="5">
        <v>3.5714</v>
      </c>
      <c r="BT189" s="5">
        <v>3.5676</v>
      </c>
      <c r="BU189" s="4"/>
      <c r="BV189" s="6"/>
      <c r="BW189" s="4"/>
      <c r="BX189" s="6"/>
      <c r="BY189" s="5"/>
      <c r="BZ189" s="5"/>
      <c r="CA189" s="4"/>
      <c r="CB189" s="6"/>
      <c r="CC189" s="4">
        <v>2</v>
      </c>
      <c r="CD189" s="6">
        <v>66.18</v>
      </c>
      <c r="CE189" s="5"/>
      <c r="CF189" s="5"/>
      <c r="CG189" s="4">
        <v>16</v>
      </c>
      <c r="CH189" s="6">
        <v>512.57</v>
      </c>
      <c r="CI189" s="4">
        <v>1</v>
      </c>
      <c r="CJ189" s="6">
        <v>31.02</v>
      </c>
      <c r="CK189" s="5">
        <v>15</v>
      </c>
      <c r="CL189" s="5">
        <v>15.5239</v>
      </c>
      <c r="CM189" s="4"/>
      <c r="CN189" s="6"/>
      <c r="CO189" s="4"/>
      <c r="CP189" s="6"/>
      <c r="CQ189" s="5"/>
      <c r="CR189" s="5"/>
      <c r="CS189" s="4">
        <v>8</v>
      </c>
      <c r="CT189" s="6">
        <v>253.83</v>
      </c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>
        <v>2</v>
      </c>
      <c r="DN189" s="6">
        <v>118.48</v>
      </c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>
        <v>4</v>
      </c>
      <c r="FV189" s="6">
        <v>130.17</v>
      </c>
      <c r="FW189" s="5"/>
      <c r="FX189" s="5"/>
      <c r="FY189" s="4"/>
      <c r="FZ189" s="6"/>
      <c r="GA189" s="4">
        <v>1</v>
      </c>
      <c r="GB189" s="6">
        <v>26.56</v>
      </c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  <c r="IA189" s="4"/>
      <c r="IB189" s="6"/>
      <c r="IC189" s="4"/>
      <c r="ID189" s="6"/>
      <c r="IE189" s="5"/>
      <c r="IF189" s="5"/>
      <c r="IG189" s="4"/>
      <c r="IH189" s="6"/>
      <c r="II189" s="4"/>
      <c r="IJ189" s="6"/>
      <c r="IK189" s="5"/>
      <c r="IL189" s="5"/>
      <c r="IM189" s="4"/>
      <c r="IN189" s="6"/>
      <c r="IO189" s="4"/>
      <c r="IP189" s="6"/>
      <c r="IQ189" s="5"/>
      <c r="IR189" s="5"/>
      <c r="IS189" s="4"/>
      <c r="IT189" s="6"/>
      <c r="IU189" s="4"/>
      <c r="IV189" s="6"/>
      <c r="IW189" s="5"/>
      <c r="IX189" s="5"/>
      <c r="IY189" s="4"/>
      <c r="IZ189" s="6"/>
      <c r="JA189" s="4"/>
      <c r="JB189" s="6"/>
      <c r="JC189" s="5"/>
      <c r="JD189" s="5"/>
      <c r="JE189" s="4"/>
      <c r="JF189" s="6"/>
      <c r="JG189" s="4"/>
      <c r="JH189" s="6"/>
      <c r="JI189" s="5"/>
      <c r="JJ189" s="5"/>
      <c r="JK189" s="4">
        <v>515</v>
      </c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>
        <v>530</v>
      </c>
      <c r="LF189" s="4"/>
      <c r="LG189" s="4"/>
      <c r="LH189" s="4"/>
      <c r="LI189" s="4"/>
      <c r="LJ189" s="4"/>
      <c r="LK189" s="4"/>
      <c r="LL189" s="4"/>
      <c r="LM189" s="4"/>
    </row>
    <row r="190">
      <c r="A190" s="3" t="s">
        <v>136</v>
      </c>
      <c r="B190" s="3" t="s">
        <v>172</v>
      </c>
      <c r="C190" s="3" t="s">
        <v>138</v>
      </c>
      <c r="D190" s="3" t="s">
        <v>139</v>
      </c>
      <c r="E190" s="3" t="s">
        <v>174</v>
      </c>
      <c r="F190" s="3" t="s">
        <v>174</v>
      </c>
      <c r="G190" s="3" t="s">
        <v>174</v>
      </c>
      <c r="H190" s="3" t="s">
        <v>175</v>
      </c>
      <c r="I190" s="3" t="s">
        <v>230</v>
      </c>
      <c r="J190" s="3" t="s">
        <v>228</v>
      </c>
      <c r="K190" s="4">
        <v>502</v>
      </c>
      <c r="L190" s="4">
        <f>=ROUNDDOWN(2.90173410404624,0)</f>
      </c>
      <c r="M190" s="4">
        <v>1240</v>
      </c>
      <c r="N190" s="5">
        <v>0.9382</v>
      </c>
      <c r="O190" s="4"/>
      <c r="P190" s="4">
        <f>=ROUNDDOWN({0},0)</f>
      </c>
      <c r="Q190" s="4"/>
      <c r="R190" s="5"/>
      <c r="S190" s="4">
        <v>478</v>
      </c>
      <c r="T190" s="6">
        <v>14134.65</v>
      </c>
      <c r="U190" s="4">
        <v>821</v>
      </c>
      <c r="V190" s="6">
        <v>25203.7</v>
      </c>
      <c r="W190" s="5">
        <v>-0.4178</v>
      </c>
      <c r="X190" s="5">
        <v>-0.4392</v>
      </c>
      <c r="Y190" s="4">
        <v>104</v>
      </c>
      <c r="Z190" s="6">
        <v>3256.81</v>
      </c>
      <c r="AA190" s="4">
        <v>81</v>
      </c>
      <c r="AB190" s="6">
        <v>2519.45</v>
      </c>
      <c r="AC190" s="5">
        <v>0.284</v>
      </c>
      <c r="AD190" s="5">
        <v>0.2927</v>
      </c>
      <c r="AE190" s="4">
        <v>11</v>
      </c>
      <c r="AF190" s="6">
        <v>342.86</v>
      </c>
      <c r="AG190" s="4">
        <v>5</v>
      </c>
      <c r="AH190" s="6">
        <v>140.31</v>
      </c>
      <c r="AI190" s="5">
        <v>1.2</v>
      </c>
      <c r="AJ190" s="5">
        <v>1.4436</v>
      </c>
      <c r="AK190" s="4"/>
      <c r="AL190" s="6"/>
      <c r="AM190" s="4"/>
      <c r="AN190" s="6"/>
      <c r="AO190" s="5"/>
      <c r="AP190" s="5"/>
      <c r="AQ190" s="4">
        <v>205</v>
      </c>
      <c r="AR190" s="6">
        <v>5730.77</v>
      </c>
      <c r="AS190" s="4">
        <v>422</v>
      </c>
      <c r="AT190" s="6">
        <v>12756.33</v>
      </c>
      <c r="AU190" s="5">
        <v>-0.5142</v>
      </c>
      <c r="AV190" s="5">
        <v>-0.5508</v>
      </c>
      <c r="AW190" s="4">
        <v>14</v>
      </c>
      <c r="AX190" s="6">
        <v>448.69</v>
      </c>
      <c r="AY190" s="4">
        <v>33</v>
      </c>
      <c r="AZ190" s="6">
        <v>1012.92</v>
      </c>
      <c r="BA190" s="5">
        <v>-0.5758</v>
      </c>
      <c r="BB190" s="5">
        <v>-0.557</v>
      </c>
      <c r="BC190" s="4">
        <v>2</v>
      </c>
      <c r="BD190" s="6">
        <v>56.44</v>
      </c>
      <c r="BE190" s="4">
        <v>15</v>
      </c>
      <c r="BF190" s="6">
        <v>423.3</v>
      </c>
      <c r="BG190" s="5">
        <v>-0.8667</v>
      </c>
      <c r="BH190" s="5">
        <v>-0.8667</v>
      </c>
      <c r="BI190" s="4">
        <v>110</v>
      </c>
      <c r="BJ190" s="6">
        <v>3340.19</v>
      </c>
      <c r="BK190" s="4">
        <v>189</v>
      </c>
      <c r="BL190" s="6">
        <v>5888.67</v>
      </c>
      <c r="BM190" s="5">
        <v>-0.418</v>
      </c>
      <c r="BN190" s="5">
        <v>-0.4328</v>
      </c>
      <c r="BO190" s="4">
        <v>10</v>
      </c>
      <c r="BP190" s="6">
        <v>271.72</v>
      </c>
      <c r="BQ190" s="4"/>
      <c r="BR190" s="6"/>
      <c r="BS190" s="5"/>
      <c r="BT190" s="5"/>
      <c r="BU190" s="4">
        <v>3</v>
      </c>
      <c r="BV190" s="6">
        <v>87.71</v>
      </c>
      <c r="BW190" s="4">
        <v>12</v>
      </c>
      <c r="BX190" s="6">
        <v>337.77</v>
      </c>
      <c r="BY190" s="5">
        <v>-0.75</v>
      </c>
      <c r="BZ190" s="5">
        <v>-0.7403</v>
      </c>
      <c r="CA190" s="4">
        <v>2</v>
      </c>
      <c r="CB190" s="6">
        <v>73.51</v>
      </c>
      <c r="CC190" s="4">
        <v>19</v>
      </c>
      <c r="CD190" s="6">
        <v>584.52</v>
      </c>
      <c r="CE190" s="5">
        <v>-0.8947</v>
      </c>
      <c r="CF190" s="5">
        <v>-0.8742</v>
      </c>
      <c r="CG190" s="4">
        <v>8</v>
      </c>
      <c r="CH190" s="6">
        <v>204.98</v>
      </c>
      <c r="CI190" s="4">
        <v>10</v>
      </c>
      <c r="CJ190" s="6">
        <v>315.18</v>
      </c>
      <c r="CK190" s="5">
        <v>-0.2</v>
      </c>
      <c r="CL190" s="5">
        <v>-0.3496</v>
      </c>
      <c r="CM190" s="4"/>
      <c r="CN190" s="6"/>
      <c r="CO190" s="4"/>
      <c r="CP190" s="6"/>
      <c r="CQ190" s="5"/>
      <c r="CR190" s="5"/>
      <c r="CS190" s="4">
        <v>4</v>
      </c>
      <c r="CT190" s="6">
        <v>139.34</v>
      </c>
      <c r="CU190" s="4">
        <v>8</v>
      </c>
      <c r="CV190" s="6">
        <v>269.27</v>
      </c>
      <c r="CW190" s="5">
        <v>-0.5</v>
      </c>
      <c r="CX190" s="5">
        <v>-0.4825</v>
      </c>
      <c r="CY190" s="4">
        <v>4</v>
      </c>
      <c r="CZ190" s="6">
        <v>126.44</v>
      </c>
      <c r="DA190" s="4">
        <v>6</v>
      </c>
      <c r="DB190" s="6">
        <v>173.5</v>
      </c>
      <c r="DC190" s="5">
        <v>-0.3333</v>
      </c>
      <c r="DD190" s="5">
        <v>-0.2712</v>
      </c>
      <c r="DE190" s="4"/>
      <c r="DF190" s="6"/>
      <c r="DG190" s="4"/>
      <c r="DH190" s="6"/>
      <c r="DI190" s="5"/>
      <c r="DJ190" s="5"/>
      <c r="DK190" s="4">
        <v>1</v>
      </c>
      <c r="DL190" s="6">
        <v>55.19</v>
      </c>
      <c r="DM190" s="4">
        <v>5</v>
      </c>
      <c r="DN190" s="6">
        <v>277.95</v>
      </c>
      <c r="DO190" s="5">
        <v>-0.8</v>
      </c>
      <c r="DP190" s="5">
        <v>-0.8014</v>
      </c>
      <c r="DQ190" s="4"/>
      <c r="DR190" s="6"/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/>
      <c r="ED190" s="6"/>
      <c r="EE190" s="4"/>
      <c r="EF190" s="6"/>
      <c r="EG190" s="5"/>
      <c r="EH190" s="5"/>
      <c r="EI190" s="4"/>
      <c r="EJ190" s="6"/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>
        <v>11</v>
      </c>
      <c r="FV190" s="6">
        <v>351.31</v>
      </c>
      <c r="FW190" s="5"/>
      <c r="FX190" s="5"/>
      <c r="FY190" s="4"/>
      <c r="FZ190" s="6"/>
      <c r="GA190" s="4">
        <v>3</v>
      </c>
      <c r="GB190" s="6">
        <v>95.13</v>
      </c>
      <c r="GC190" s="5"/>
      <c r="GD190" s="5"/>
      <c r="GE190" s="4"/>
      <c r="GF190" s="6"/>
      <c r="GG190" s="4">
        <v>2</v>
      </c>
      <c r="GH190" s="6">
        <v>58.09</v>
      </c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  <c r="IA190" s="4"/>
      <c r="IB190" s="6"/>
      <c r="IC190" s="4"/>
      <c r="ID190" s="6"/>
      <c r="IE190" s="5"/>
      <c r="IF190" s="5"/>
      <c r="IG190" s="4"/>
      <c r="IH190" s="6"/>
      <c r="II190" s="4"/>
      <c r="IJ190" s="6"/>
      <c r="IK190" s="5"/>
      <c r="IL190" s="5"/>
      <c r="IM190" s="4"/>
      <c r="IN190" s="6"/>
      <c r="IO190" s="4"/>
      <c r="IP190" s="6"/>
      <c r="IQ190" s="5"/>
      <c r="IR190" s="5"/>
      <c r="IS190" s="4"/>
      <c r="IT190" s="6"/>
      <c r="IU190" s="4"/>
      <c r="IV190" s="6"/>
      <c r="IW190" s="5"/>
      <c r="IX190" s="5"/>
      <c r="IY190" s="4"/>
      <c r="IZ190" s="6"/>
      <c r="JA190" s="4"/>
      <c r="JB190" s="6"/>
      <c r="JC190" s="5"/>
      <c r="JD190" s="5"/>
      <c r="JE190" s="4"/>
      <c r="JF190" s="6"/>
      <c r="JG190" s="4"/>
      <c r="JH190" s="6"/>
      <c r="JI190" s="5"/>
      <c r="JJ190" s="5"/>
      <c r="JK190" s="4">
        <v>502</v>
      </c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>
        <v>1240</v>
      </c>
      <c r="LF190" s="4"/>
      <c r="LG190" s="4"/>
      <c r="LH190" s="4"/>
      <c r="LI190" s="4"/>
      <c r="LJ190" s="4"/>
      <c r="LK190" s="4"/>
      <c r="LL190" s="4"/>
      <c r="LM190" s="4"/>
    </row>
    <row r="191">
      <c r="A191" s="3" t="s">
        <v>136</v>
      </c>
      <c r="B191" s="3" t="s">
        <v>172</v>
      </c>
      <c r="C191" s="3" t="s">
        <v>138</v>
      </c>
      <c r="D191" s="3" t="s">
        <v>139</v>
      </c>
      <c r="E191" s="3" t="s">
        <v>174</v>
      </c>
      <c r="F191" s="3" t="s">
        <v>174</v>
      </c>
      <c r="G191" s="3" t="s">
        <v>174</v>
      </c>
      <c r="H191" s="3" t="s">
        <v>175</v>
      </c>
      <c r="I191" s="3" t="s">
        <v>245</v>
      </c>
      <c r="J191" s="3" t="s">
        <v>228</v>
      </c>
      <c r="K191" s="4">
        <v>9</v>
      </c>
      <c r="L191" s="4">
        <f>=ROUNDDOWN(0.145161290322581,0)</f>
      </c>
      <c r="M191" s="4">
        <v>560</v>
      </c>
      <c r="N191" s="5">
        <v>0.5689</v>
      </c>
      <c r="O191" s="4"/>
      <c r="P191" s="4">
        <f>=ROUNDDOWN({0},0)</f>
      </c>
      <c r="Q191" s="4"/>
      <c r="R191" s="5"/>
      <c r="S191" s="4">
        <v>375</v>
      </c>
      <c r="T191" s="6">
        <v>11695.3</v>
      </c>
      <c r="U191" s="4"/>
      <c r="V191" s="6"/>
      <c r="W191" s="5"/>
      <c r="X191" s="5"/>
      <c r="Y191" s="4"/>
      <c r="Z191" s="6"/>
      <c r="AA191" s="4"/>
      <c r="AB191" s="6"/>
      <c r="AC191" s="5"/>
      <c r="AD191" s="5"/>
      <c r="AE191" s="4">
        <v>16</v>
      </c>
      <c r="AF191" s="6">
        <v>508.24</v>
      </c>
      <c r="AG191" s="4"/>
      <c r="AH191" s="6"/>
      <c r="AI191" s="5"/>
      <c r="AJ191" s="5"/>
      <c r="AK191" s="4"/>
      <c r="AL191" s="6"/>
      <c r="AM191" s="4"/>
      <c r="AN191" s="6"/>
      <c r="AO191" s="5"/>
      <c r="AP191" s="5"/>
      <c r="AQ191" s="4">
        <v>150</v>
      </c>
      <c r="AR191" s="6">
        <v>4737.49</v>
      </c>
      <c r="AS191" s="4"/>
      <c r="AT191" s="6"/>
      <c r="AU191" s="5"/>
      <c r="AV191" s="5"/>
      <c r="AW191" s="4">
        <v>7</v>
      </c>
      <c r="AX191" s="6">
        <v>234.89</v>
      </c>
      <c r="AY191" s="4"/>
      <c r="AZ191" s="6"/>
      <c r="BA191" s="5"/>
      <c r="BB191" s="5"/>
      <c r="BC191" s="4">
        <v>34</v>
      </c>
      <c r="BD191" s="6">
        <v>1047.32</v>
      </c>
      <c r="BE191" s="4"/>
      <c r="BF191" s="6"/>
      <c r="BG191" s="5"/>
      <c r="BH191" s="5"/>
      <c r="BI191" s="4">
        <v>96</v>
      </c>
      <c r="BJ191" s="6">
        <v>3004.72</v>
      </c>
      <c r="BK191" s="4"/>
      <c r="BL191" s="6"/>
      <c r="BM191" s="5"/>
      <c r="BN191" s="5"/>
      <c r="BO191" s="4">
        <v>12</v>
      </c>
      <c r="BP191" s="6">
        <v>322.85</v>
      </c>
      <c r="BQ191" s="4"/>
      <c r="BR191" s="6"/>
      <c r="BS191" s="5"/>
      <c r="BT191" s="5"/>
      <c r="BU191" s="4"/>
      <c r="BV191" s="6"/>
      <c r="BW191" s="4"/>
      <c r="BX191" s="6"/>
      <c r="BY191" s="5"/>
      <c r="BZ191" s="5"/>
      <c r="CA191" s="4"/>
      <c r="CB191" s="6"/>
      <c r="CC191" s="4"/>
      <c r="CD191" s="6"/>
      <c r="CE191" s="5"/>
      <c r="CF191" s="5"/>
      <c r="CG191" s="4">
        <v>60</v>
      </c>
      <c r="CH191" s="6">
        <v>1839.79</v>
      </c>
      <c r="CI191" s="4"/>
      <c r="CJ191" s="6"/>
      <c r="CK191" s="5"/>
      <c r="CL191" s="5"/>
      <c r="CM191" s="4"/>
      <c r="CN191" s="6"/>
      <c r="CO191" s="4"/>
      <c r="CP191" s="6"/>
      <c r="CQ191" s="5"/>
      <c r="CR191" s="5"/>
      <c r="CS191" s="4"/>
      <c r="CT191" s="6"/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/>
      <c r="DX191" s="6"/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/>
      <c r="FP191" s="6"/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  <c r="IA191" s="4"/>
      <c r="IB191" s="6"/>
      <c r="IC191" s="4"/>
      <c r="ID191" s="6"/>
      <c r="IE191" s="5"/>
      <c r="IF191" s="5"/>
      <c r="IG191" s="4"/>
      <c r="IH191" s="6"/>
      <c r="II191" s="4"/>
      <c r="IJ191" s="6"/>
      <c r="IK191" s="5"/>
      <c r="IL191" s="5"/>
      <c r="IM191" s="4"/>
      <c r="IN191" s="6"/>
      <c r="IO191" s="4"/>
      <c r="IP191" s="6"/>
      <c r="IQ191" s="5"/>
      <c r="IR191" s="5"/>
      <c r="IS191" s="4"/>
      <c r="IT191" s="6"/>
      <c r="IU191" s="4"/>
      <c r="IV191" s="6"/>
      <c r="IW191" s="5"/>
      <c r="IX191" s="5"/>
      <c r="IY191" s="4"/>
      <c r="IZ191" s="6"/>
      <c r="JA191" s="4"/>
      <c r="JB191" s="6"/>
      <c r="JC191" s="5"/>
      <c r="JD191" s="5"/>
      <c r="JE191" s="4"/>
      <c r="JF191" s="6"/>
      <c r="JG191" s="4"/>
      <c r="JH191" s="6"/>
      <c r="JI191" s="5"/>
      <c r="JJ191" s="5"/>
      <c r="JK191" s="4">
        <v>9</v>
      </c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>
        <v>560</v>
      </c>
      <c r="LF191" s="4"/>
      <c r="LG191" s="4"/>
      <c r="LH191" s="4"/>
      <c r="LI191" s="4"/>
      <c r="LJ191" s="4"/>
      <c r="LK191" s="4"/>
      <c r="LL191" s="4"/>
      <c r="LM191" s="4"/>
    </row>
    <row r="192">
      <c r="A192" s="3" t="s">
        <v>136</v>
      </c>
      <c r="B192" s="3" t="s">
        <v>172</v>
      </c>
      <c r="C192" s="3" t="s">
        <v>138</v>
      </c>
      <c r="D192" s="3" t="s">
        <v>139</v>
      </c>
      <c r="E192" s="3" t="s">
        <v>174</v>
      </c>
      <c r="F192" s="3" t="s">
        <v>174</v>
      </c>
      <c r="G192" s="3" t="s">
        <v>174</v>
      </c>
      <c r="H192" s="3" t="s">
        <v>175</v>
      </c>
      <c r="I192" s="3" t="s">
        <v>310</v>
      </c>
      <c r="J192" s="3" t="s">
        <v>228</v>
      </c>
      <c r="K192" s="4">
        <v>67</v>
      </c>
      <c r="L192" s="4">
        <f>=ROUNDDOWN(0.87012987012987,0)</f>
      </c>
      <c r="M192" s="4">
        <v>650</v>
      </c>
      <c r="N192" s="5">
        <v>0.7212</v>
      </c>
      <c r="O192" s="4"/>
      <c r="P192" s="4">
        <f>=ROUNDDOWN({0},0)</f>
      </c>
      <c r="Q192" s="4"/>
      <c r="R192" s="5"/>
      <c r="S192" s="4">
        <v>318</v>
      </c>
      <c r="T192" s="6">
        <v>9556.59</v>
      </c>
      <c r="U192" s="4">
        <v>454</v>
      </c>
      <c r="V192" s="6">
        <v>13168.46</v>
      </c>
      <c r="W192" s="5">
        <v>-0.2996</v>
      </c>
      <c r="X192" s="5">
        <v>-0.2743</v>
      </c>
      <c r="Y192" s="4">
        <v>89</v>
      </c>
      <c r="Z192" s="6">
        <v>2659.56</v>
      </c>
      <c r="AA192" s="4">
        <v>25</v>
      </c>
      <c r="AB192" s="6">
        <v>759.69</v>
      </c>
      <c r="AC192" s="5">
        <v>2.56</v>
      </c>
      <c r="AD192" s="5">
        <v>2.5008</v>
      </c>
      <c r="AE192" s="4">
        <v>11</v>
      </c>
      <c r="AF192" s="6">
        <v>337.86</v>
      </c>
      <c r="AG192" s="4">
        <v>2</v>
      </c>
      <c r="AH192" s="6">
        <v>62.1</v>
      </c>
      <c r="AI192" s="5">
        <v>4.5</v>
      </c>
      <c r="AJ192" s="5">
        <v>4.4406</v>
      </c>
      <c r="AK192" s="4"/>
      <c r="AL192" s="6"/>
      <c r="AM192" s="4"/>
      <c r="AN192" s="6"/>
      <c r="AO192" s="5"/>
      <c r="AP192" s="5"/>
      <c r="AQ192" s="4">
        <v>86</v>
      </c>
      <c r="AR192" s="6">
        <v>2559.13</v>
      </c>
      <c r="AS192" s="4">
        <v>236</v>
      </c>
      <c r="AT192" s="6">
        <v>6739.43</v>
      </c>
      <c r="AU192" s="5">
        <v>-0.6356</v>
      </c>
      <c r="AV192" s="5">
        <v>-0.6203</v>
      </c>
      <c r="AW192" s="4">
        <v>7</v>
      </c>
      <c r="AX192" s="6">
        <v>210.6</v>
      </c>
      <c r="AY192" s="4">
        <v>15</v>
      </c>
      <c r="AZ192" s="6">
        <v>452.86</v>
      </c>
      <c r="BA192" s="5">
        <v>-0.5333</v>
      </c>
      <c r="BB192" s="5">
        <v>-0.535</v>
      </c>
      <c r="BC192" s="4">
        <v>7</v>
      </c>
      <c r="BD192" s="6">
        <v>152.11</v>
      </c>
      <c r="BE192" s="4">
        <v>24</v>
      </c>
      <c r="BF192" s="6">
        <v>539.44</v>
      </c>
      <c r="BG192" s="5">
        <v>-0.7083</v>
      </c>
      <c r="BH192" s="5">
        <v>-0.718</v>
      </c>
      <c r="BI192" s="4">
        <v>76</v>
      </c>
      <c r="BJ192" s="6">
        <v>2322.57</v>
      </c>
      <c r="BK192" s="4">
        <v>91</v>
      </c>
      <c r="BL192" s="6">
        <v>2781.17</v>
      </c>
      <c r="BM192" s="5">
        <v>-0.1648</v>
      </c>
      <c r="BN192" s="5">
        <v>-0.1649</v>
      </c>
      <c r="BO192" s="4">
        <v>5</v>
      </c>
      <c r="BP192" s="6">
        <v>139.94</v>
      </c>
      <c r="BQ192" s="4">
        <v>8</v>
      </c>
      <c r="BR192" s="6">
        <v>218.4</v>
      </c>
      <c r="BS192" s="5">
        <v>-0.375</v>
      </c>
      <c r="BT192" s="5">
        <v>-0.3592</v>
      </c>
      <c r="BU192" s="4">
        <v>5</v>
      </c>
      <c r="BV192" s="6">
        <v>166.95</v>
      </c>
      <c r="BW192" s="4">
        <v>12</v>
      </c>
      <c r="BX192" s="6">
        <v>366.53</v>
      </c>
      <c r="BY192" s="5">
        <v>-0.5833</v>
      </c>
      <c r="BZ192" s="5">
        <v>-0.5445</v>
      </c>
      <c r="CA192" s="4"/>
      <c r="CB192" s="6"/>
      <c r="CC192" s="4">
        <v>9</v>
      </c>
      <c r="CD192" s="6">
        <v>279.9</v>
      </c>
      <c r="CE192" s="5"/>
      <c r="CF192" s="5"/>
      <c r="CG192" s="4">
        <v>23</v>
      </c>
      <c r="CH192" s="6">
        <v>754.81</v>
      </c>
      <c r="CI192" s="4">
        <v>8</v>
      </c>
      <c r="CJ192" s="6">
        <v>242.41</v>
      </c>
      <c r="CK192" s="5">
        <v>1.875</v>
      </c>
      <c r="CL192" s="5">
        <v>2.1138</v>
      </c>
      <c r="CM192" s="4"/>
      <c r="CN192" s="6"/>
      <c r="CO192" s="4"/>
      <c r="CP192" s="6"/>
      <c r="CQ192" s="5"/>
      <c r="CR192" s="5"/>
      <c r="CS192" s="4">
        <v>3</v>
      </c>
      <c r="CT192" s="6">
        <v>95.45</v>
      </c>
      <c r="CU192" s="4">
        <v>9</v>
      </c>
      <c r="CV192" s="6">
        <v>273.92</v>
      </c>
      <c r="CW192" s="5">
        <v>-0.6667</v>
      </c>
      <c r="CX192" s="5">
        <v>-0.6515</v>
      </c>
      <c r="CY192" s="4">
        <v>6</v>
      </c>
      <c r="CZ192" s="6">
        <v>157.61</v>
      </c>
      <c r="DA192" s="4">
        <v>4</v>
      </c>
      <c r="DB192" s="6">
        <v>91.84</v>
      </c>
      <c r="DC192" s="5">
        <v>0.5</v>
      </c>
      <c r="DD192" s="5">
        <v>0.7161</v>
      </c>
      <c r="DE192" s="4"/>
      <c r="DF192" s="6"/>
      <c r="DG192" s="4"/>
      <c r="DH192" s="6"/>
      <c r="DI192" s="5"/>
      <c r="DJ192" s="5"/>
      <c r="DK192" s="4"/>
      <c r="DL192" s="6"/>
      <c r="DM192" s="4">
        <v>2</v>
      </c>
      <c r="DN192" s="6">
        <v>86.38</v>
      </c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>
        <v>7</v>
      </c>
      <c r="FV192" s="6">
        <v>208.98</v>
      </c>
      <c r="FW192" s="5"/>
      <c r="FX192" s="5"/>
      <c r="FY192" s="4"/>
      <c r="FZ192" s="6"/>
      <c r="GA192" s="4">
        <v>1</v>
      </c>
      <c r="GB192" s="6">
        <v>33.44</v>
      </c>
      <c r="GC192" s="5"/>
      <c r="GD192" s="5"/>
      <c r="GE192" s="4"/>
      <c r="GF192" s="6"/>
      <c r="GG192" s="4">
        <v>1</v>
      </c>
      <c r="GH192" s="6">
        <v>31.97</v>
      </c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  <c r="IA192" s="4"/>
      <c r="IB192" s="6"/>
      <c r="IC192" s="4"/>
      <c r="ID192" s="6"/>
      <c r="IE192" s="5"/>
      <c r="IF192" s="5"/>
      <c r="IG192" s="4"/>
      <c r="IH192" s="6"/>
      <c r="II192" s="4"/>
      <c r="IJ192" s="6"/>
      <c r="IK192" s="5"/>
      <c r="IL192" s="5"/>
      <c r="IM192" s="4"/>
      <c r="IN192" s="6"/>
      <c r="IO192" s="4"/>
      <c r="IP192" s="6"/>
      <c r="IQ192" s="5"/>
      <c r="IR192" s="5"/>
      <c r="IS192" s="4"/>
      <c r="IT192" s="6"/>
      <c r="IU192" s="4"/>
      <c r="IV192" s="6"/>
      <c r="IW192" s="5"/>
      <c r="IX192" s="5"/>
      <c r="IY192" s="4"/>
      <c r="IZ192" s="6"/>
      <c r="JA192" s="4"/>
      <c r="JB192" s="6"/>
      <c r="JC192" s="5"/>
      <c r="JD192" s="5"/>
      <c r="JE192" s="4"/>
      <c r="JF192" s="6"/>
      <c r="JG192" s="4"/>
      <c r="JH192" s="6"/>
      <c r="JI192" s="5"/>
      <c r="JJ192" s="5"/>
      <c r="JK192" s="4">
        <v>67</v>
      </c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>
        <v>650</v>
      </c>
      <c r="LF192" s="4"/>
      <c r="LG192" s="4"/>
      <c r="LH192" s="4"/>
      <c r="LI192" s="4"/>
      <c r="LJ192" s="4"/>
      <c r="LK192" s="4"/>
      <c r="LL192" s="4"/>
      <c r="LM192" s="4"/>
    </row>
    <row r="193">
      <c r="A193" s="3" t="s">
        <v>136</v>
      </c>
      <c r="B193" s="3" t="s">
        <v>172</v>
      </c>
      <c r="C193" s="3" t="s">
        <v>138</v>
      </c>
      <c r="D193" s="3" t="s">
        <v>139</v>
      </c>
      <c r="E193" s="3" t="s">
        <v>174</v>
      </c>
      <c r="F193" s="3" t="s">
        <v>174</v>
      </c>
      <c r="G193" s="3" t="s">
        <v>174</v>
      </c>
      <c r="H193" s="3" t="s">
        <v>175</v>
      </c>
      <c r="I193" s="3" t="s">
        <v>311</v>
      </c>
      <c r="J193" s="3" t="s">
        <v>228</v>
      </c>
      <c r="K193" s="4">
        <v>112</v>
      </c>
      <c r="L193" s="4">
        <f>=ROUNDDOWN(1.89830508474576,0)</f>
      </c>
      <c r="M193" s="4">
        <v>540</v>
      </c>
      <c r="N193" s="5">
        <v>0.9947</v>
      </c>
      <c r="O193" s="4"/>
      <c r="P193" s="4">
        <f>=ROUNDDOWN({0},0)</f>
      </c>
      <c r="Q193" s="4"/>
      <c r="R193" s="5"/>
      <c r="S193" s="4">
        <v>279</v>
      </c>
      <c r="T193" s="6">
        <v>8927.16</v>
      </c>
      <c r="U193" s="4"/>
      <c r="V193" s="6"/>
      <c r="W193" s="5"/>
      <c r="X193" s="5"/>
      <c r="Y193" s="4"/>
      <c r="Z193" s="6"/>
      <c r="AA193" s="4"/>
      <c r="AB193" s="6"/>
      <c r="AC193" s="5"/>
      <c r="AD193" s="5"/>
      <c r="AE193" s="4">
        <v>8</v>
      </c>
      <c r="AF193" s="6">
        <v>281.29</v>
      </c>
      <c r="AG193" s="4"/>
      <c r="AH193" s="6"/>
      <c r="AI193" s="5"/>
      <c r="AJ193" s="5"/>
      <c r="AK193" s="4"/>
      <c r="AL193" s="6"/>
      <c r="AM193" s="4"/>
      <c r="AN193" s="6"/>
      <c r="AO193" s="5"/>
      <c r="AP193" s="5"/>
      <c r="AQ193" s="4">
        <v>58</v>
      </c>
      <c r="AR193" s="6">
        <v>1820.27</v>
      </c>
      <c r="AS193" s="4"/>
      <c r="AT193" s="6"/>
      <c r="AU193" s="5"/>
      <c r="AV193" s="5"/>
      <c r="AW193" s="4">
        <v>5</v>
      </c>
      <c r="AX193" s="6">
        <v>169.59</v>
      </c>
      <c r="AY193" s="4"/>
      <c r="AZ193" s="6"/>
      <c r="BA193" s="5"/>
      <c r="BB193" s="5"/>
      <c r="BC193" s="4">
        <v>24</v>
      </c>
      <c r="BD193" s="6">
        <v>838.28</v>
      </c>
      <c r="BE193" s="4"/>
      <c r="BF193" s="6"/>
      <c r="BG193" s="5"/>
      <c r="BH193" s="5"/>
      <c r="BI193" s="4">
        <v>155</v>
      </c>
      <c r="BJ193" s="6">
        <v>4841.68</v>
      </c>
      <c r="BK193" s="4"/>
      <c r="BL193" s="6"/>
      <c r="BM193" s="5"/>
      <c r="BN193" s="5"/>
      <c r="BO193" s="4">
        <v>2</v>
      </c>
      <c r="BP193" s="6">
        <v>51.87</v>
      </c>
      <c r="BQ193" s="4"/>
      <c r="BR193" s="6"/>
      <c r="BS193" s="5"/>
      <c r="BT193" s="5"/>
      <c r="BU193" s="4"/>
      <c r="BV193" s="6"/>
      <c r="BW193" s="4"/>
      <c r="BX193" s="6"/>
      <c r="BY193" s="5"/>
      <c r="BZ193" s="5"/>
      <c r="CA193" s="4"/>
      <c r="CB193" s="6"/>
      <c r="CC193" s="4"/>
      <c r="CD193" s="6"/>
      <c r="CE193" s="5"/>
      <c r="CF193" s="5"/>
      <c r="CG193" s="4">
        <v>26</v>
      </c>
      <c r="CH193" s="6">
        <v>889.41</v>
      </c>
      <c r="CI193" s="4"/>
      <c r="CJ193" s="6"/>
      <c r="CK193" s="5"/>
      <c r="CL193" s="5"/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/>
      <c r="ED193" s="6"/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>
        <v>1</v>
      </c>
      <c r="EV193" s="6">
        <v>34.77</v>
      </c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  <c r="IA193" s="4"/>
      <c r="IB193" s="6"/>
      <c r="IC193" s="4"/>
      <c r="ID193" s="6"/>
      <c r="IE193" s="5"/>
      <c r="IF193" s="5"/>
      <c r="IG193" s="4"/>
      <c r="IH193" s="6"/>
      <c r="II193" s="4"/>
      <c r="IJ193" s="6"/>
      <c r="IK193" s="5"/>
      <c r="IL193" s="5"/>
      <c r="IM193" s="4"/>
      <c r="IN193" s="6"/>
      <c r="IO193" s="4"/>
      <c r="IP193" s="6"/>
      <c r="IQ193" s="5"/>
      <c r="IR193" s="5"/>
      <c r="IS193" s="4"/>
      <c r="IT193" s="6"/>
      <c r="IU193" s="4"/>
      <c r="IV193" s="6"/>
      <c r="IW193" s="5"/>
      <c r="IX193" s="5"/>
      <c r="IY193" s="4"/>
      <c r="IZ193" s="6"/>
      <c r="JA193" s="4"/>
      <c r="JB193" s="6"/>
      <c r="JC193" s="5"/>
      <c r="JD193" s="5"/>
      <c r="JE193" s="4"/>
      <c r="JF193" s="6"/>
      <c r="JG193" s="4"/>
      <c r="JH193" s="6"/>
      <c r="JI193" s="5"/>
      <c r="JJ193" s="5"/>
      <c r="JK193" s="4">
        <v>112</v>
      </c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>
        <v>540</v>
      </c>
      <c r="LF193" s="4"/>
      <c r="LG193" s="4"/>
      <c r="LH193" s="4"/>
      <c r="LI193" s="4"/>
      <c r="LJ193" s="4"/>
      <c r="LK193" s="4"/>
      <c r="LL193" s="4"/>
      <c r="LM193" s="4"/>
    </row>
    <row r="194">
      <c r="A194" s="3" t="s">
        <v>136</v>
      </c>
      <c r="B194" s="3" t="s">
        <v>172</v>
      </c>
      <c r="C194" s="3" t="s">
        <v>138</v>
      </c>
      <c r="D194" s="3" t="s">
        <v>139</v>
      </c>
      <c r="E194" s="3" t="s">
        <v>174</v>
      </c>
      <c r="F194" s="3" t="s">
        <v>174</v>
      </c>
      <c r="G194" s="3" t="s">
        <v>174</v>
      </c>
      <c r="H194" s="3" t="s">
        <v>175</v>
      </c>
      <c r="I194" s="3" t="s">
        <v>240</v>
      </c>
      <c r="J194" s="3" t="s">
        <v>228</v>
      </c>
      <c r="K194" s="4">
        <v>100</v>
      </c>
      <c r="L194" s="4">
        <f>=ROUNDDOWN(0.826446280991736,0)</f>
      </c>
      <c r="M194" s="4">
        <v>930</v>
      </c>
      <c r="N194" s="5">
        <v>0.4918</v>
      </c>
      <c r="O194" s="4"/>
      <c r="P194" s="4">
        <f>=ROUNDDOWN({0},0)</f>
      </c>
      <c r="Q194" s="4"/>
      <c r="R194" s="5"/>
      <c r="S194" s="4">
        <v>294</v>
      </c>
      <c r="T194" s="6">
        <v>8844.84</v>
      </c>
      <c r="U194" s="4">
        <v>588</v>
      </c>
      <c r="V194" s="6">
        <v>17752.86</v>
      </c>
      <c r="W194" s="5">
        <v>-0.5</v>
      </c>
      <c r="X194" s="5">
        <v>-0.5018</v>
      </c>
      <c r="Y194" s="4">
        <v>36</v>
      </c>
      <c r="Z194" s="6">
        <v>1064.21</v>
      </c>
      <c r="AA194" s="4">
        <v>45</v>
      </c>
      <c r="AB194" s="6">
        <v>1406.5</v>
      </c>
      <c r="AC194" s="5">
        <v>-0.2</v>
      </c>
      <c r="AD194" s="5">
        <v>-0.2434</v>
      </c>
      <c r="AE194" s="4">
        <v>12</v>
      </c>
      <c r="AF194" s="6">
        <v>399.37</v>
      </c>
      <c r="AG194" s="4">
        <v>5</v>
      </c>
      <c r="AH194" s="6">
        <v>159.09</v>
      </c>
      <c r="AI194" s="5">
        <v>1.4</v>
      </c>
      <c r="AJ194" s="5">
        <v>1.5103</v>
      </c>
      <c r="AK194" s="4"/>
      <c r="AL194" s="6"/>
      <c r="AM194" s="4"/>
      <c r="AN194" s="6"/>
      <c r="AO194" s="5"/>
      <c r="AP194" s="5"/>
      <c r="AQ194" s="4">
        <v>135</v>
      </c>
      <c r="AR194" s="6">
        <v>3913.21</v>
      </c>
      <c r="AS194" s="4">
        <v>370</v>
      </c>
      <c r="AT194" s="6">
        <v>11010.21</v>
      </c>
      <c r="AU194" s="5">
        <v>-0.6351</v>
      </c>
      <c r="AV194" s="5">
        <v>-0.6446</v>
      </c>
      <c r="AW194" s="4">
        <v>11</v>
      </c>
      <c r="AX194" s="6">
        <v>335.53</v>
      </c>
      <c r="AY194" s="4">
        <v>19</v>
      </c>
      <c r="AZ194" s="6">
        <v>603.4</v>
      </c>
      <c r="BA194" s="5">
        <v>-0.4211</v>
      </c>
      <c r="BB194" s="5">
        <v>-0.4439</v>
      </c>
      <c r="BC194" s="4"/>
      <c r="BD194" s="6"/>
      <c r="BE194" s="4"/>
      <c r="BF194" s="6"/>
      <c r="BG194" s="5"/>
      <c r="BH194" s="5"/>
      <c r="BI194" s="4">
        <v>84</v>
      </c>
      <c r="BJ194" s="6">
        <v>2657.86</v>
      </c>
      <c r="BK194" s="4">
        <v>72</v>
      </c>
      <c r="BL194" s="6">
        <v>2247.09</v>
      </c>
      <c r="BM194" s="5">
        <v>0.1667</v>
      </c>
      <c r="BN194" s="5">
        <v>0.1828</v>
      </c>
      <c r="BO194" s="4">
        <v>4</v>
      </c>
      <c r="BP194" s="6">
        <v>103.74</v>
      </c>
      <c r="BQ194" s="4">
        <v>3</v>
      </c>
      <c r="BR194" s="6">
        <v>90.58</v>
      </c>
      <c r="BS194" s="5">
        <v>0.3333</v>
      </c>
      <c r="BT194" s="5">
        <v>0.1453</v>
      </c>
      <c r="BU194" s="4">
        <v>5</v>
      </c>
      <c r="BV194" s="6">
        <v>154.23</v>
      </c>
      <c r="BW194" s="4">
        <v>10</v>
      </c>
      <c r="BX194" s="6">
        <v>277.55</v>
      </c>
      <c r="BY194" s="5">
        <v>-0.5</v>
      </c>
      <c r="BZ194" s="5">
        <v>-0.4443</v>
      </c>
      <c r="CA194" s="4">
        <v>1</v>
      </c>
      <c r="CB194" s="6">
        <v>26.56</v>
      </c>
      <c r="CC194" s="4">
        <v>8</v>
      </c>
      <c r="CD194" s="6">
        <v>237.55</v>
      </c>
      <c r="CE194" s="5">
        <v>-0.875</v>
      </c>
      <c r="CF194" s="5">
        <v>-0.8882</v>
      </c>
      <c r="CG194" s="4">
        <v>5</v>
      </c>
      <c r="CH194" s="6">
        <v>168.3</v>
      </c>
      <c r="CI194" s="4">
        <v>42</v>
      </c>
      <c r="CJ194" s="6">
        <v>1267.77</v>
      </c>
      <c r="CK194" s="5">
        <v>-0.881</v>
      </c>
      <c r="CL194" s="5">
        <v>-0.8672</v>
      </c>
      <c r="CM194" s="4"/>
      <c r="CN194" s="6"/>
      <c r="CO194" s="4"/>
      <c r="CP194" s="6"/>
      <c r="CQ194" s="5"/>
      <c r="CR194" s="5"/>
      <c r="CS194" s="4"/>
      <c r="CT194" s="6"/>
      <c r="CU194" s="4">
        <v>4</v>
      </c>
      <c r="CV194" s="6">
        <v>136.55</v>
      </c>
      <c r="CW194" s="5"/>
      <c r="CX194" s="5"/>
      <c r="CY194" s="4">
        <v>1</v>
      </c>
      <c r="CZ194" s="6">
        <v>21.83</v>
      </c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>
        <v>1</v>
      </c>
      <c r="DN194" s="6">
        <v>58.49</v>
      </c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>
        <v>1</v>
      </c>
      <c r="EX194" s="6">
        <v>25.14</v>
      </c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>
        <v>7</v>
      </c>
      <c r="FV194" s="6">
        <v>200.97</v>
      </c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>
        <v>1</v>
      </c>
      <c r="GH194" s="6">
        <v>31.97</v>
      </c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  <c r="IA194" s="4"/>
      <c r="IB194" s="6"/>
      <c r="IC194" s="4"/>
      <c r="ID194" s="6"/>
      <c r="IE194" s="5"/>
      <c r="IF194" s="5"/>
      <c r="IG194" s="4"/>
      <c r="IH194" s="6"/>
      <c r="II194" s="4"/>
      <c r="IJ194" s="6"/>
      <c r="IK194" s="5"/>
      <c r="IL194" s="5"/>
      <c r="IM194" s="4"/>
      <c r="IN194" s="6"/>
      <c r="IO194" s="4"/>
      <c r="IP194" s="6"/>
      <c r="IQ194" s="5"/>
      <c r="IR194" s="5"/>
      <c r="IS194" s="4"/>
      <c r="IT194" s="6"/>
      <c r="IU194" s="4"/>
      <c r="IV194" s="6"/>
      <c r="IW194" s="5"/>
      <c r="IX194" s="5"/>
      <c r="IY194" s="4"/>
      <c r="IZ194" s="6"/>
      <c r="JA194" s="4"/>
      <c r="JB194" s="6"/>
      <c r="JC194" s="5"/>
      <c r="JD194" s="5"/>
      <c r="JE194" s="4"/>
      <c r="JF194" s="6"/>
      <c r="JG194" s="4"/>
      <c r="JH194" s="6"/>
      <c r="JI194" s="5"/>
      <c r="JJ194" s="5"/>
      <c r="JK194" s="4">
        <v>100</v>
      </c>
      <c r="JL194" s="4"/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/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>
        <v>930</v>
      </c>
      <c r="LF194" s="4"/>
      <c r="LG194" s="4"/>
      <c r="LH194" s="4"/>
      <c r="LI194" s="4"/>
      <c r="LJ194" s="4"/>
      <c r="LK194" s="4"/>
      <c r="LL194" s="4"/>
      <c r="LM194" s="4"/>
    </row>
    <row r="195">
      <c r="A195" s="3" t="s">
        <v>136</v>
      </c>
      <c r="B195" s="3" t="s">
        <v>172</v>
      </c>
      <c r="C195" s="3" t="s">
        <v>138</v>
      </c>
      <c r="D195" s="3" t="s">
        <v>139</v>
      </c>
      <c r="E195" s="3" t="s">
        <v>174</v>
      </c>
      <c r="F195" s="3" t="s">
        <v>174</v>
      </c>
      <c r="G195" s="3" t="s">
        <v>174</v>
      </c>
      <c r="H195" s="3" t="s">
        <v>175</v>
      </c>
      <c r="I195" s="3" t="s">
        <v>229</v>
      </c>
      <c r="J195" s="3" t="s">
        <v>228</v>
      </c>
      <c r="K195" s="4">
        <v>34</v>
      </c>
      <c r="L195" s="4">
        <f>=ROUNDDOWN(0.333333333333333,0)</f>
      </c>
      <c r="M195" s="4">
        <v>850</v>
      </c>
      <c r="N195" s="5">
        <v>0.4914</v>
      </c>
      <c r="O195" s="4"/>
      <c r="P195" s="4">
        <f>=ROUNDDOWN({0},0)</f>
      </c>
      <c r="Q195" s="4"/>
      <c r="R195" s="5"/>
      <c r="S195" s="4">
        <v>289</v>
      </c>
      <c r="T195" s="6">
        <v>8671.26</v>
      </c>
      <c r="U195" s="4">
        <v>558</v>
      </c>
      <c r="V195" s="6">
        <v>16910.26</v>
      </c>
      <c r="W195" s="5">
        <v>-0.4821</v>
      </c>
      <c r="X195" s="5">
        <v>-0.4872</v>
      </c>
      <c r="Y195" s="4">
        <v>83</v>
      </c>
      <c r="Z195" s="6">
        <v>2561.74</v>
      </c>
      <c r="AA195" s="4">
        <v>83</v>
      </c>
      <c r="AB195" s="6">
        <v>2651.75</v>
      </c>
      <c r="AC195" s="5"/>
      <c r="AD195" s="5">
        <v>-0.0339</v>
      </c>
      <c r="AE195" s="4">
        <v>10</v>
      </c>
      <c r="AF195" s="6">
        <v>292.75</v>
      </c>
      <c r="AG195" s="4">
        <v>6</v>
      </c>
      <c r="AH195" s="6">
        <v>188.28</v>
      </c>
      <c r="AI195" s="5">
        <v>0.6667</v>
      </c>
      <c r="AJ195" s="5">
        <v>0.5549</v>
      </c>
      <c r="AK195" s="4"/>
      <c r="AL195" s="6"/>
      <c r="AM195" s="4"/>
      <c r="AN195" s="6"/>
      <c r="AO195" s="5"/>
      <c r="AP195" s="5"/>
      <c r="AQ195" s="4">
        <v>124</v>
      </c>
      <c r="AR195" s="6">
        <v>3647.66</v>
      </c>
      <c r="AS195" s="4">
        <v>241</v>
      </c>
      <c r="AT195" s="6">
        <v>7142.38</v>
      </c>
      <c r="AU195" s="5">
        <v>-0.4855</v>
      </c>
      <c r="AV195" s="5">
        <v>-0.4893</v>
      </c>
      <c r="AW195" s="4">
        <v>4</v>
      </c>
      <c r="AX195" s="6">
        <v>127.67</v>
      </c>
      <c r="AY195" s="4">
        <v>30</v>
      </c>
      <c r="AZ195" s="6">
        <v>923.23</v>
      </c>
      <c r="BA195" s="5">
        <v>-0.8667</v>
      </c>
      <c r="BB195" s="5">
        <v>-0.8617</v>
      </c>
      <c r="BC195" s="4">
        <v>3</v>
      </c>
      <c r="BD195" s="6">
        <v>84.66</v>
      </c>
      <c r="BE195" s="4">
        <v>31</v>
      </c>
      <c r="BF195" s="6">
        <v>864.98</v>
      </c>
      <c r="BG195" s="5">
        <v>-0.9032</v>
      </c>
      <c r="BH195" s="5">
        <v>-0.9021</v>
      </c>
      <c r="BI195" s="4">
        <v>38</v>
      </c>
      <c r="BJ195" s="6">
        <v>1145.56</v>
      </c>
      <c r="BK195" s="4">
        <v>83</v>
      </c>
      <c r="BL195" s="6">
        <v>2568.85</v>
      </c>
      <c r="BM195" s="5">
        <v>-0.5422</v>
      </c>
      <c r="BN195" s="5">
        <v>-0.5541</v>
      </c>
      <c r="BO195" s="4">
        <v>1</v>
      </c>
      <c r="BP195" s="6">
        <v>26.29</v>
      </c>
      <c r="BQ195" s="4">
        <v>4</v>
      </c>
      <c r="BR195" s="6">
        <v>112.49</v>
      </c>
      <c r="BS195" s="5">
        <v>-0.75</v>
      </c>
      <c r="BT195" s="5">
        <v>-0.7663</v>
      </c>
      <c r="BU195" s="4"/>
      <c r="BV195" s="6"/>
      <c r="BW195" s="4">
        <v>4</v>
      </c>
      <c r="BX195" s="6">
        <v>111.27</v>
      </c>
      <c r="BY195" s="5"/>
      <c r="BZ195" s="5"/>
      <c r="CA195" s="4">
        <v>1</v>
      </c>
      <c r="CB195" s="6">
        <v>19.35</v>
      </c>
      <c r="CC195" s="4">
        <v>13</v>
      </c>
      <c r="CD195" s="6">
        <v>385.99</v>
      </c>
      <c r="CE195" s="5">
        <v>-0.9231</v>
      </c>
      <c r="CF195" s="5">
        <v>-0.9499</v>
      </c>
      <c r="CG195" s="4">
        <v>1</v>
      </c>
      <c r="CH195" s="6">
        <v>33.66</v>
      </c>
      <c r="CI195" s="4">
        <v>20</v>
      </c>
      <c r="CJ195" s="6">
        <v>585.58</v>
      </c>
      <c r="CK195" s="5">
        <v>-0.95</v>
      </c>
      <c r="CL195" s="5">
        <v>-0.9425</v>
      </c>
      <c r="CM195" s="4"/>
      <c r="CN195" s="6"/>
      <c r="CO195" s="4"/>
      <c r="CP195" s="6"/>
      <c r="CQ195" s="5"/>
      <c r="CR195" s="5"/>
      <c r="CS195" s="4">
        <v>1</v>
      </c>
      <c r="CT195" s="6">
        <v>36.23</v>
      </c>
      <c r="CU195" s="4">
        <v>4</v>
      </c>
      <c r="CV195" s="6">
        <v>133.76</v>
      </c>
      <c r="CW195" s="5">
        <v>-0.75</v>
      </c>
      <c r="CX195" s="5">
        <v>-0.7291</v>
      </c>
      <c r="CY195" s="4">
        <v>1</v>
      </c>
      <c r="CZ195" s="6">
        <v>31.18</v>
      </c>
      <c r="DA195" s="4">
        <v>6</v>
      </c>
      <c r="DB195" s="6">
        <v>144.01</v>
      </c>
      <c r="DC195" s="5">
        <v>-0.8333</v>
      </c>
      <c r="DD195" s="5">
        <v>-0.7835</v>
      </c>
      <c r="DE195" s="4"/>
      <c r="DF195" s="6"/>
      <c r="DG195" s="4"/>
      <c r="DH195" s="6"/>
      <c r="DI195" s="5"/>
      <c r="DJ195" s="5"/>
      <c r="DK195" s="4"/>
      <c r="DL195" s="6"/>
      <c r="DM195" s="4">
        <v>2</v>
      </c>
      <c r="DN195" s="6">
        <v>119.98</v>
      </c>
      <c r="DO195" s="5"/>
      <c r="DP195" s="5"/>
      <c r="DQ195" s="4">
        <v>22</v>
      </c>
      <c r="DR195" s="6">
        <v>664.51</v>
      </c>
      <c r="DS195" s="4">
        <v>21</v>
      </c>
      <c r="DT195" s="6">
        <v>688.78</v>
      </c>
      <c r="DU195" s="5">
        <v>0.0476</v>
      </c>
      <c r="DV195" s="5">
        <v>-0.0352</v>
      </c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>
        <v>9</v>
      </c>
      <c r="FV195" s="6">
        <v>259.32</v>
      </c>
      <c r="FW195" s="5"/>
      <c r="FX195" s="5"/>
      <c r="FY195" s="4"/>
      <c r="FZ195" s="6"/>
      <c r="GA195" s="4">
        <v>1</v>
      </c>
      <c r="GB195" s="6">
        <v>29.61</v>
      </c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  <c r="IA195" s="4"/>
      <c r="IB195" s="6"/>
      <c r="IC195" s="4"/>
      <c r="ID195" s="6"/>
      <c r="IE195" s="5"/>
      <c r="IF195" s="5"/>
      <c r="IG195" s="4"/>
      <c r="IH195" s="6"/>
      <c r="II195" s="4"/>
      <c r="IJ195" s="6"/>
      <c r="IK195" s="5"/>
      <c r="IL195" s="5"/>
      <c r="IM195" s="4"/>
      <c r="IN195" s="6"/>
      <c r="IO195" s="4"/>
      <c r="IP195" s="6"/>
      <c r="IQ195" s="5"/>
      <c r="IR195" s="5"/>
      <c r="IS195" s="4"/>
      <c r="IT195" s="6"/>
      <c r="IU195" s="4"/>
      <c r="IV195" s="6"/>
      <c r="IW195" s="5"/>
      <c r="IX195" s="5"/>
      <c r="IY195" s="4"/>
      <c r="IZ195" s="6"/>
      <c r="JA195" s="4"/>
      <c r="JB195" s="6"/>
      <c r="JC195" s="5"/>
      <c r="JD195" s="5"/>
      <c r="JE195" s="4"/>
      <c r="JF195" s="6"/>
      <c r="JG195" s="4"/>
      <c r="JH195" s="6"/>
      <c r="JI195" s="5"/>
      <c r="JJ195" s="5"/>
      <c r="JK195" s="4">
        <v>34</v>
      </c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/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/>
      <c r="KX195" s="4"/>
      <c r="KY195" s="4"/>
      <c r="KZ195" s="4"/>
      <c r="LA195" s="4"/>
      <c r="LB195" s="4"/>
      <c r="LC195" s="4"/>
      <c r="LD195" s="4"/>
      <c r="LE195" s="4">
        <v>850</v>
      </c>
      <c r="LF195" s="4"/>
      <c r="LG195" s="4"/>
      <c r="LH195" s="4"/>
      <c r="LI195" s="4"/>
      <c r="LJ195" s="4"/>
      <c r="LK195" s="4"/>
      <c r="LL195" s="4"/>
      <c r="LM195" s="4"/>
    </row>
    <row r="196">
      <c r="A196" s="3" t="s">
        <v>136</v>
      </c>
      <c r="B196" s="3" t="s">
        <v>172</v>
      </c>
      <c r="C196" s="3" t="s">
        <v>138</v>
      </c>
      <c r="D196" s="3" t="s">
        <v>139</v>
      </c>
      <c r="E196" s="3" t="s">
        <v>174</v>
      </c>
      <c r="F196" s="3" t="s">
        <v>174</v>
      </c>
      <c r="G196" s="3" t="s">
        <v>174</v>
      </c>
      <c r="H196" s="3" t="s">
        <v>175</v>
      </c>
      <c r="I196" s="3" t="s">
        <v>296</v>
      </c>
      <c r="J196" s="3" t="s">
        <v>228</v>
      </c>
      <c r="K196" s="4">
        <v>222</v>
      </c>
      <c r="L196" s="4">
        <f>=ROUNDDOWN(5.55,0)</f>
      </c>
      <c r="M196" s="4">
        <v>280</v>
      </c>
      <c r="N196" s="5">
        <v>1</v>
      </c>
      <c r="O196" s="4"/>
      <c r="P196" s="4">
        <f>=ROUNDDOWN({0},0)</f>
      </c>
      <c r="Q196" s="4"/>
      <c r="R196" s="5"/>
      <c r="S196" s="4">
        <v>199</v>
      </c>
      <c r="T196" s="6">
        <v>6494.35</v>
      </c>
      <c r="U196" s="4"/>
      <c r="V196" s="6"/>
      <c r="W196" s="5"/>
      <c r="X196" s="5"/>
      <c r="Y196" s="4"/>
      <c r="Z196" s="6"/>
      <c r="AA196" s="4"/>
      <c r="AB196" s="6"/>
      <c r="AC196" s="5"/>
      <c r="AD196" s="5"/>
      <c r="AE196" s="4">
        <v>6</v>
      </c>
      <c r="AF196" s="6">
        <v>200.44</v>
      </c>
      <c r="AG196" s="4"/>
      <c r="AH196" s="6"/>
      <c r="AI196" s="5"/>
      <c r="AJ196" s="5"/>
      <c r="AK196" s="4"/>
      <c r="AL196" s="6"/>
      <c r="AM196" s="4"/>
      <c r="AN196" s="6"/>
      <c r="AO196" s="5"/>
      <c r="AP196" s="5"/>
      <c r="AQ196" s="4">
        <v>58</v>
      </c>
      <c r="AR196" s="6">
        <v>1941.35</v>
      </c>
      <c r="AS196" s="4"/>
      <c r="AT196" s="6"/>
      <c r="AU196" s="5"/>
      <c r="AV196" s="5"/>
      <c r="AW196" s="4">
        <v>16</v>
      </c>
      <c r="AX196" s="6">
        <v>522.35</v>
      </c>
      <c r="AY196" s="4"/>
      <c r="AZ196" s="6"/>
      <c r="BA196" s="5"/>
      <c r="BB196" s="5"/>
      <c r="BC196" s="4">
        <v>11</v>
      </c>
      <c r="BD196" s="6">
        <v>363.19</v>
      </c>
      <c r="BE196" s="4"/>
      <c r="BF196" s="6"/>
      <c r="BG196" s="5"/>
      <c r="BH196" s="5"/>
      <c r="BI196" s="4">
        <v>89</v>
      </c>
      <c r="BJ196" s="6">
        <v>2779.43</v>
      </c>
      <c r="BK196" s="4"/>
      <c r="BL196" s="6"/>
      <c r="BM196" s="5"/>
      <c r="BN196" s="5"/>
      <c r="BO196" s="4">
        <v>5</v>
      </c>
      <c r="BP196" s="6">
        <v>180.91</v>
      </c>
      <c r="BQ196" s="4"/>
      <c r="BR196" s="6"/>
      <c r="BS196" s="5"/>
      <c r="BT196" s="5"/>
      <c r="BU196" s="4"/>
      <c r="BV196" s="6"/>
      <c r="BW196" s="4"/>
      <c r="BX196" s="6"/>
      <c r="BY196" s="5"/>
      <c r="BZ196" s="5"/>
      <c r="CA196" s="4">
        <v>1</v>
      </c>
      <c r="CB196" s="6">
        <v>29.61</v>
      </c>
      <c r="CC196" s="4"/>
      <c r="CD196" s="6"/>
      <c r="CE196" s="5"/>
      <c r="CF196" s="5"/>
      <c r="CG196" s="4">
        <v>11</v>
      </c>
      <c r="CH196" s="6">
        <v>362.09</v>
      </c>
      <c r="CI196" s="4"/>
      <c r="CJ196" s="6"/>
      <c r="CK196" s="5"/>
      <c r="CL196" s="5"/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>
        <v>2</v>
      </c>
      <c r="DL196" s="6">
        <v>114.98</v>
      </c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  <c r="IA196" s="4"/>
      <c r="IB196" s="6"/>
      <c r="IC196" s="4"/>
      <c r="ID196" s="6"/>
      <c r="IE196" s="5"/>
      <c r="IF196" s="5"/>
      <c r="IG196" s="4"/>
      <c r="IH196" s="6"/>
      <c r="II196" s="4"/>
      <c r="IJ196" s="6"/>
      <c r="IK196" s="5"/>
      <c r="IL196" s="5"/>
      <c r="IM196" s="4"/>
      <c r="IN196" s="6"/>
      <c r="IO196" s="4"/>
      <c r="IP196" s="6"/>
      <c r="IQ196" s="5"/>
      <c r="IR196" s="5"/>
      <c r="IS196" s="4"/>
      <c r="IT196" s="6"/>
      <c r="IU196" s="4"/>
      <c r="IV196" s="6"/>
      <c r="IW196" s="5"/>
      <c r="IX196" s="5"/>
      <c r="IY196" s="4"/>
      <c r="IZ196" s="6"/>
      <c r="JA196" s="4"/>
      <c r="JB196" s="6"/>
      <c r="JC196" s="5"/>
      <c r="JD196" s="5"/>
      <c r="JE196" s="4"/>
      <c r="JF196" s="6"/>
      <c r="JG196" s="4"/>
      <c r="JH196" s="6"/>
      <c r="JI196" s="5"/>
      <c r="JJ196" s="5"/>
      <c r="JK196" s="4">
        <v>222</v>
      </c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/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>
        <v>280</v>
      </c>
      <c r="LF196" s="4"/>
      <c r="LG196" s="4"/>
      <c r="LH196" s="4"/>
      <c r="LI196" s="4"/>
      <c r="LJ196" s="4"/>
      <c r="LK196" s="4"/>
      <c r="LL196" s="4"/>
      <c r="LM196" s="4"/>
    </row>
    <row r="197">
      <c r="A197" s="3" t="s">
        <v>136</v>
      </c>
      <c r="B197" s="3" t="s">
        <v>172</v>
      </c>
      <c r="C197" s="3" t="s">
        <v>138</v>
      </c>
      <c r="D197" s="3" t="s">
        <v>139</v>
      </c>
      <c r="E197" s="3" t="s">
        <v>174</v>
      </c>
      <c r="F197" s="3" t="s">
        <v>174</v>
      </c>
      <c r="G197" s="3" t="s">
        <v>174</v>
      </c>
      <c r="H197" s="3" t="s">
        <v>175</v>
      </c>
      <c r="I197" s="3" t="s">
        <v>246</v>
      </c>
      <c r="J197" s="3" t="s">
        <v>228</v>
      </c>
      <c r="K197" s="4">
        <v>409</v>
      </c>
      <c r="L197" s="4">
        <f>=ROUNDDOWN(5.04938271604938,0)</f>
      </c>
      <c r="M197" s="4">
        <v>600</v>
      </c>
      <c r="N197" s="5">
        <v>0.4415</v>
      </c>
      <c r="O197" s="4"/>
      <c r="P197" s="4">
        <f>=ROUNDDOWN({0},0)</f>
      </c>
      <c r="Q197" s="4"/>
      <c r="R197" s="5"/>
      <c r="S197" s="4">
        <v>156</v>
      </c>
      <c r="T197" s="6">
        <v>4505.41</v>
      </c>
      <c r="U197" s="4">
        <v>504</v>
      </c>
      <c r="V197" s="6">
        <v>15745.86</v>
      </c>
      <c r="W197" s="5">
        <v>-0.6905</v>
      </c>
      <c r="X197" s="5">
        <v>-0.7139</v>
      </c>
      <c r="Y197" s="4">
        <v>13</v>
      </c>
      <c r="Z197" s="6">
        <v>377.13</v>
      </c>
      <c r="AA197" s="4">
        <v>26</v>
      </c>
      <c r="AB197" s="6">
        <v>830.06</v>
      </c>
      <c r="AC197" s="5">
        <v>-0.5</v>
      </c>
      <c r="AD197" s="5">
        <v>-0.5457</v>
      </c>
      <c r="AE197" s="4"/>
      <c r="AF197" s="6"/>
      <c r="AG197" s="4">
        <v>3</v>
      </c>
      <c r="AH197" s="6">
        <v>101.04</v>
      </c>
      <c r="AI197" s="5"/>
      <c r="AJ197" s="5"/>
      <c r="AK197" s="4"/>
      <c r="AL197" s="6"/>
      <c r="AM197" s="4"/>
      <c r="AN197" s="6"/>
      <c r="AO197" s="5"/>
      <c r="AP197" s="5"/>
      <c r="AQ197" s="4">
        <v>66</v>
      </c>
      <c r="AR197" s="6">
        <v>1830.44</v>
      </c>
      <c r="AS197" s="4">
        <v>278</v>
      </c>
      <c r="AT197" s="6">
        <v>8678.44</v>
      </c>
      <c r="AU197" s="5">
        <v>-0.7626</v>
      </c>
      <c r="AV197" s="5">
        <v>-0.7891</v>
      </c>
      <c r="AW197" s="4">
        <v>8</v>
      </c>
      <c r="AX197" s="6">
        <v>219.56</v>
      </c>
      <c r="AY197" s="4">
        <v>27</v>
      </c>
      <c r="AZ197" s="6">
        <v>842.08</v>
      </c>
      <c r="BA197" s="5">
        <v>-0.7037</v>
      </c>
      <c r="BB197" s="5">
        <v>-0.7393</v>
      </c>
      <c r="BC197" s="4"/>
      <c r="BD197" s="6"/>
      <c r="BE197" s="4"/>
      <c r="BF197" s="6"/>
      <c r="BG197" s="5"/>
      <c r="BH197" s="5"/>
      <c r="BI197" s="4">
        <v>55</v>
      </c>
      <c r="BJ197" s="6">
        <v>1674.11</v>
      </c>
      <c r="BK197" s="4">
        <v>104</v>
      </c>
      <c r="BL197" s="6">
        <v>3229.02</v>
      </c>
      <c r="BM197" s="5">
        <v>-0.4712</v>
      </c>
      <c r="BN197" s="5">
        <v>-0.4815</v>
      </c>
      <c r="BO197" s="4">
        <v>3</v>
      </c>
      <c r="BP197" s="6">
        <v>66.51</v>
      </c>
      <c r="BQ197" s="4">
        <v>2</v>
      </c>
      <c r="BR197" s="6">
        <v>64.86</v>
      </c>
      <c r="BS197" s="5">
        <v>0.5</v>
      </c>
      <c r="BT197" s="5">
        <v>0.0254</v>
      </c>
      <c r="BU197" s="4">
        <v>2</v>
      </c>
      <c r="BV197" s="6">
        <v>54.44</v>
      </c>
      <c r="BW197" s="4">
        <v>3</v>
      </c>
      <c r="BX197" s="6">
        <v>84.68</v>
      </c>
      <c r="BY197" s="5">
        <v>-0.3333</v>
      </c>
      <c r="BZ197" s="5">
        <v>-0.3571</v>
      </c>
      <c r="CA197" s="4"/>
      <c r="CB197" s="6"/>
      <c r="CC197" s="4">
        <v>13</v>
      </c>
      <c r="CD197" s="6">
        <v>372.56</v>
      </c>
      <c r="CE197" s="5"/>
      <c r="CF197" s="5"/>
      <c r="CG197" s="4">
        <v>2</v>
      </c>
      <c r="CH197" s="6">
        <v>46.44</v>
      </c>
      <c r="CI197" s="4">
        <v>23</v>
      </c>
      <c r="CJ197" s="6">
        <v>742.65</v>
      </c>
      <c r="CK197" s="5">
        <v>-0.913</v>
      </c>
      <c r="CL197" s="5">
        <v>-0.9375</v>
      </c>
      <c r="CM197" s="4"/>
      <c r="CN197" s="6"/>
      <c r="CO197" s="4"/>
      <c r="CP197" s="6"/>
      <c r="CQ197" s="5"/>
      <c r="CR197" s="5"/>
      <c r="CS197" s="4">
        <v>2</v>
      </c>
      <c r="CT197" s="6">
        <v>54.81</v>
      </c>
      <c r="CU197" s="4">
        <v>6</v>
      </c>
      <c r="CV197" s="6">
        <v>211.8</v>
      </c>
      <c r="CW197" s="5">
        <v>-0.6667</v>
      </c>
      <c r="CX197" s="5">
        <v>-0.7412</v>
      </c>
      <c r="CY197" s="4"/>
      <c r="CZ197" s="6"/>
      <c r="DA197" s="4">
        <v>7</v>
      </c>
      <c r="DB197" s="6">
        <v>202.43</v>
      </c>
      <c r="DC197" s="5"/>
      <c r="DD197" s="5"/>
      <c r="DE197" s="4"/>
      <c r="DF197" s="6"/>
      <c r="DG197" s="4"/>
      <c r="DH197" s="6"/>
      <c r="DI197" s="5"/>
      <c r="DJ197" s="5"/>
      <c r="DK197" s="4">
        <v>1</v>
      </c>
      <c r="DL197" s="6">
        <v>51.69</v>
      </c>
      <c r="DM197" s="4"/>
      <c r="DN197" s="6"/>
      <c r="DO197" s="5"/>
      <c r="DP197" s="5"/>
      <c r="DQ197" s="4">
        <v>4</v>
      </c>
      <c r="DR197" s="6">
        <v>130.28</v>
      </c>
      <c r="DS197" s="4">
        <v>7</v>
      </c>
      <c r="DT197" s="6">
        <v>227.99</v>
      </c>
      <c r="DU197" s="5">
        <v>-0.4286</v>
      </c>
      <c r="DV197" s="5">
        <v>-0.4286</v>
      </c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>
        <v>5</v>
      </c>
      <c r="FV197" s="6">
        <v>158.25</v>
      </c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  <c r="IA197" s="4"/>
      <c r="IB197" s="6"/>
      <c r="IC197" s="4"/>
      <c r="ID197" s="6"/>
      <c r="IE197" s="5"/>
      <c r="IF197" s="5"/>
      <c r="IG197" s="4"/>
      <c r="IH197" s="6"/>
      <c r="II197" s="4"/>
      <c r="IJ197" s="6"/>
      <c r="IK197" s="5"/>
      <c r="IL197" s="5"/>
      <c r="IM197" s="4"/>
      <c r="IN197" s="6"/>
      <c r="IO197" s="4"/>
      <c r="IP197" s="6"/>
      <c r="IQ197" s="5"/>
      <c r="IR197" s="5"/>
      <c r="IS197" s="4"/>
      <c r="IT197" s="6"/>
      <c r="IU197" s="4"/>
      <c r="IV197" s="6"/>
      <c r="IW197" s="5"/>
      <c r="IX197" s="5"/>
      <c r="IY197" s="4"/>
      <c r="IZ197" s="6"/>
      <c r="JA197" s="4"/>
      <c r="JB197" s="6"/>
      <c r="JC197" s="5"/>
      <c r="JD197" s="5"/>
      <c r="JE197" s="4"/>
      <c r="JF197" s="6"/>
      <c r="JG197" s="4"/>
      <c r="JH197" s="6"/>
      <c r="JI197" s="5"/>
      <c r="JJ197" s="5"/>
      <c r="JK197" s="4">
        <v>409</v>
      </c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>
        <v>600</v>
      </c>
      <c r="LF197" s="4"/>
      <c r="LG197" s="4"/>
      <c r="LH197" s="4"/>
      <c r="LI197" s="4"/>
      <c r="LJ197" s="4"/>
      <c r="LK197" s="4"/>
      <c r="LL197" s="4"/>
      <c r="LM197" s="4"/>
    </row>
    <row r="198">
      <c r="A198" s="3" t="s">
        <v>136</v>
      </c>
      <c r="B198" s="3" t="s">
        <v>172</v>
      </c>
      <c r="C198" s="3" t="s">
        <v>138</v>
      </c>
      <c r="D198" s="3" t="s">
        <v>139</v>
      </c>
      <c r="E198" s="3" t="s">
        <v>174</v>
      </c>
      <c r="F198" s="3" t="s">
        <v>174</v>
      </c>
      <c r="G198" s="3" t="s">
        <v>174</v>
      </c>
      <c r="H198" s="3" t="s">
        <v>175</v>
      </c>
      <c r="I198" s="3" t="s">
        <v>260</v>
      </c>
      <c r="J198" s="3" t="s">
        <v>228</v>
      </c>
      <c r="K198" s="4">
        <v>459</v>
      </c>
      <c r="L198" s="4">
        <f>=ROUNDDOWN(8.34545454545455,0)</f>
      </c>
      <c r="M198" s="4">
        <v>250</v>
      </c>
      <c r="N198" s="5">
        <v>1</v>
      </c>
      <c r="O198" s="4"/>
      <c r="P198" s="4">
        <f>=ROUNDDOWN({0},0)</f>
      </c>
      <c r="Q198" s="4"/>
      <c r="R198" s="5"/>
      <c r="S198" s="4">
        <v>138</v>
      </c>
      <c r="T198" s="6">
        <v>4331.18</v>
      </c>
      <c r="U198" s="4">
        <v>336</v>
      </c>
      <c r="V198" s="6">
        <v>10042.05</v>
      </c>
      <c r="W198" s="5">
        <v>-0.5893</v>
      </c>
      <c r="X198" s="5">
        <v>-0.5687</v>
      </c>
      <c r="Y198" s="4">
        <v>64</v>
      </c>
      <c r="Z198" s="6">
        <v>2035.81</v>
      </c>
      <c r="AA198" s="4">
        <v>22</v>
      </c>
      <c r="AB198" s="6">
        <v>680.43</v>
      </c>
      <c r="AC198" s="5">
        <v>1.9091</v>
      </c>
      <c r="AD198" s="5">
        <v>1.9919</v>
      </c>
      <c r="AE198" s="4">
        <v>3</v>
      </c>
      <c r="AF198" s="6">
        <v>93.14</v>
      </c>
      <c r="AG198" s="4">
        <v>3</v>
      </c>
      <c r="AH198" s="6">
        <v>95.13</v>
      </c>
      <c r="AI198" s="5"/>
      <c r="AJ198" s="5">
        <v>-0.0209</v>
      </c>
      <c r="AK198" s="4"/>
      <c r="AL198" s="6"/>
      <c r="AM198" s="4"/>
      <c r="AN198" s="6"/>
      <c r="AO198" s="5"/>
      <c r="AP198" s="5"/>
      <c r="AQ198" s="4">
        <v>11</v>
      </c>
      <c r="AR198" s="6">
        <v>328.86</v>
      </c>
      <c r="AS198" s="4">
        <v>205</v>
      </c>
      <c r="AT198" s="6">
        <v>6056.28</v>
      </c>
      <c r="AU198" s="5">
        <v>-0.9463</v>
      </c>
      <c r="AV198" s="5">
        <v>-0.9457</v>
      </c>
      <c r="AW198" s="4">
        <v>11</v>
      </c>
      <c r="AX198" s="6">
        <v>337.23</v>
      </c>
      <c r="AY198" s="4">
        <v>16</v>
      </c>
      <c r="AZ198" s="6">
        <v>488.85</v>
      </c>
      <c r="BA198" s="5">
        <v>-0.3125</v>
      </c>
      <c r="BB198" s="5">
        <v>-0.3102</v>
      </c>
      <c r="BC198" s="4">
        <v>2</v>
      </c>
      <c r="BD198" s="6">
        <v>62.1</v>
      </c>
      <c r="BE198" s="4">
        <v>13</v>
      </c>
      <c r="BF198" s="6">
        <v>348.85</v>
      </c>
      <c r="BG198" s="5">
        <v>-0.8462</v>
      </c>
      <c r="BH198" s="5">
        <v>-0.822</v>
      </c>
      <c r="BI198" s="4">
        <v>35</v>
      </c>
      <c r="BJ198" s="6">
        <v>1099.78</v>
      </c>
      <c r="BK198" s="4">
        <v>34</v>
      </c>
      <c r="BL198" s="6">
        <v>1015.2</v>
      </c>
      <c r="BM198" s="5">
        <v>0.0294</v>
      </c>
      <c r="BN198" s="5">
        <v>0.0833</v>
      </c>
      <c r="BO198" s="4">
        <v>2</v>
      </c>
      <c r="BP198" s="6">
        <v>54.93</v>
      </c>
      <c r="BQ198" s="4"/>
      <c r="BR198" s="6"/>
      <c r="BS198" s="5"/>
      <c r="BT198" s="5"/>
      <c r="BU198" s="4">
        <v>5</v>
      </c>
      <c r="BV198" s="6">
        <v>157.26</v>
      </c>
      <c r="BW198" s="4">
        <v>1</v>
      </c>
      <c r="BX198" s="6">
        <v>33.27</v>
      </c>
      <c r="BY198" s="5">
        <v>4</v>
      </c>
      <c r="BZ198" s="5">
        <v>3.7268</v>
      </c>
      <c r="CA198" s="4"/>
      <c r="CB198" s="6"/>
      <c r="CC198" s="4">
        <v>5</v>
      </c>
      <c r="CD198" s="6">
        <v>148</v>
      </c>
      <c r="CE198" s="5"/>
      <c r="CF198" s="5"/>
      <c r="CG198" s="4"/>
      <c r="CH198" s="6"/>
      <c r="CI198" s="4">
        <v>4</v>
      </c>
      <c r="CJ198" s="6">
        <v>118.15</v>
      </c>
      <c r="CK198" s="5"/>
      <c r="CL198" s="5"/>
      <c r="CM198" s="4"/>
      <c r="CN198" s="6"/>
      <c r="CO198" s="4"/>
      <c r="CP198" s="6"/>
      <c r="CQ198" s="5"/>
      <c r="CR198" s="5"/>
      <c r="CS198" s="4">
        <v>4</v>
      </c>
      <c r="CT198" s="6">
        <v>136.55</v>
      </c>
      <c r="CU198" s="4">
        <v>11</v>
      </c>
      <c r="CV198" s="6">
        <v>352.1</v>
      </c>
      <c r="CW198" s="5">
        <v>-0.6364</v>
      </c>
      <c r="CX198" s="5">
        <v>-0.6122</v>
      </c>
      <c r="CY198" s="4">
        <v>1</v>
      </c>
      <c r="CZ198" s="6">
        <v>25.52</v>
      </c>
      <c r="DA198" s="4">
        <v>19</v>
      </c>
      <c r="DB198" s="6">
        <v>535.82</v>
      </c>
      <c r="DC198" s="5">
        <v>-0.9474</v>
      </c>
      <c r="DD198" s="5">
        <v>-0.9524</v>
      </c>
      <c r="DE198" s="4"/>
      <c r="DF198" s="6"/>
      <c r="DG198" s="4"/>
      <c r="DH198" s="6"/>
      <c r="DI198" s="5"/>
      <c r="DJ198" s="5"/>
      <c r="DK198" s="4"/>
      <c r="DL198" s="6"/>
      <c r="DM198" s="4">
        <v>3</v>
      </c>
      <c r="DN198" s="6">
        <v>169.97</v>
      </c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/>
      <c r="ED198" s="6"/>
      <c r="EE198" s="4"/>
      <c r="EF198" s="6"/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  <c r="IA198" s="4"/>
      <c r="IB198" s="6"/>
      <c r="IC198" s="4"/>
      <c r="ID198" s="6"/>
      <c r="IE198" s="5"/>
      <c r="IF198" s="5"/>
      <c r="IG198" s="4"/>
      <c r="IH198" s="6"/>
      <c r="II198" s="4"/>
      <c r="IJ198" s="6"/>
      <c r="IK198" s="5"/>
      <c r="IL198" s="5"/>
      <c r="IM198" s="4"/>
      <c r="IN198" s="6"/>
      <c r="IO198" s="4"/>
      <c r="IP198" s="6"/>
      <c r="IQ198" s="5"/>
      <c r="IR198" s="5"/>
      <c r="IS198" s="4"/>
      <c r="IT198" s="6"/>
      <c r="IU198" s="4"/>
      <c r="IV198" s="6"/>
      <c r="IW198" s="5"/>
      <c r="IX198" s="5"/>
      <c r="IY198" s="4"/>
      <c r="IZ198" s="6"/>
      <c r="JA198" s="4"/>
      <c r="JB198" s="6"/>
      <c r="JC198" s="5"/>
      <c r="JD198" s="5"/>
      <c r="JE198" s="4"/>
      <c r="JF198" s="6"/>
      <c r="JG198" s="4"/>
      <c r="JH198" s="6"/>
      <c r="JI198" s="5"/>
      <c r="JJ198" s="5"/>
      <c r="JK198" s="4">
        <v>459</v>
      </c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>
        <v>250</v>
      </c>
      <c r="LF198" s="4"/>
      <c r="LG198" s="4"/>
      <c r="LH198" s="4"/>
      <c r="LI198" s="4"/>
      <c r="LJ198" s="4"/>
      <c r="LK198" s="4"/>
      <c r="LL198" s="4"/>
      <c r="LM198" s="4"/>
    </row>
    <row r="199">
      <c r="A199" s="3" t="s">
        <v>136</v>
      </c>
      <c r="B199" s="3" t="s">
        <v>172</v>
      </c>
      <c r="C199" s="3" t="s">
        <v>138</v>
      </c>
      <c r="D199" s="3" t="s">
        <v>139</v>
      </c>
      <c r="E199" s="3" t="s">
        <v>174</v>
      </c>
      <c r="F199" s="3" t="s">
        <v>174</v>
      </c>
      <c r="G199" s="3" t="s">
        <v>174</v>
      </c>
      <c r="H199" s="3" t="s">
        <v>175</v>
      </c>
      <c r="I199" s="3" t="s">
        <v>225</v>
      </c>
      <c r="J199" s="3" t="s">
        <v>243</v>
      </c>
      <c r="K199" s="4">
        <v>7</v>
      </c>
      <c r="L199" s="4">
        <f>=ROUNDDOWN(0.0897435897435897,0)</f>
      </c>
      <c r="M199" s="4">
        <v>680</v>
      </c>
      <c r="N199" s="5">
        <v>0.1473</v>
      </c>
      <c r="O199" s="4"/>
      <c r="P199" s="4">
        <f>=ROUNDDOWN({0},0)</f>
      </c>
      <c r="Q199" s="4"/>
      <c r="R199" s="5"/>
      <c r="S199" s="4">
        <v>108</v>
      </c>
      <c r="T199" s="6">
        <v>3209.5</v>
      </c>
      <c r="U199" s="4">
        <v>511</v>
      </c>
      <c r="V199" s="6">
        <v>15356.5</v>
      </c>
      <c r="W199" s="5">
        <v>-0.7886</v>
      </c>
      <c r="X199" s="5">
        <v>-0.791</v>
      </c>
      <c r="Y199" s="4">
        <v>28</v>
      </c>
      <c r="Z199" s="6">
        <v>850.66</v>
      </c>
      <c r="AA199" s="4">
        <v>52</v>
      </c>
      <c r="AB199" s="6">
        <v>1588.33</v>
      </c>
      <c r="AC199" s="5">
        <v>-0.4615</v>
      </c>
      <c r="AD199" s="5">
        <v>-0.4644</v>
      </c>
      <c r="AE199" s="4">
        <v>2</v>
      </c>
      <c r="AF199" s="6">
        <v>59.29</v>
      </c>
      <c r="AG199" s="4">
        <v>2</v>
      </c>
      <c r="AH199" s="6">
        <v>62.09</v>
      </c>
      <c r="AI199" s="5"/>
      <c r="AJ199" s="5">
        <v>-0.0451</v>
      </c>
      <c r="AK199" s="4"/>
      <c r="AL199" s="6"/>
      <c r="AM199" s="4"/>
      <c r="AN199" s="6"/>
      <c r="AO199" s="5"/>
      <c r="AP199" s="5"/>
      <c r="AQ199" s="4">
        <v>38</v>
      </c>
      <c r="AR199" s="6">
        <v>1116.49</v>
      </c>
      <c r="AS199" s="4">
        <v>245</v>
      </c>
      <c r="AT199" s="6">
        <v>7302.08</v>
      </c>
      <c r="AU199" s="5">
        <v>-0.8449</v>
      </c>
      <c r="AV199" s="5">
        <v>-0.8471</v>
      </c>
      <c r="AW199" s="4">
        <v>4</v>
      </c>
      <c r="AX199" s="6">
        <v>118.67</v>
      </c>
      <c r="AY199" s="4">
        <v>26</v>
      </c>
      <c r="AZ199" s="6">
        <v>808.72</v>
      </c>
      <c r="BA199" s="5">
        <v>-0.8462</v>
      </c>
      <c r="BB199" s="5">
        <v>-0.8533</v>
      </c>
      <c r="BC199" s="4"/>
      <c r="BD199" s="6"/>
      <c r="BE199" s="4">
        <v>20</v>
      </c>
      <c r="BF199" s="6">
        <v>624.92</v>
      </c>
      <c r="BG199" s="5"/>
      <c r="BH199" s="5"/>
      <c r="BI199" s="4">
        <v>25</v>
      </c>
      <c r="BJ199" s="6">
        <v>753</v>
      </c>
      <c r="BK199" s="4">
        <v>75</v>
      </c>
      <c r="BL199" s="6">
        <v>2291.69</v>
      </c>
      <c r="BM199" s="5">
        <v>-0.6667</v>
      </c>
      <c r="BN199" s="5">
        <v>-0.6714</v>
      </c>
      <c r="BO199" s="4">
        <v>4</v>
      </c>
      <c r="BP199" s="6">
        <v>105.76</v>
      </c>
      <c r="BQ199" s="4">
        <v>14</v>
      </c>
      <c r="BR199" s="6">
        <v>383.17</v>
      </c>
      <c r="BS199" s="5">
        <v>-0.7143</v>
      </c>
      <c r="BT199" s="5">
        <v>-0.724</v>
      </c>
      <c r="BU199" s="4">
        <v>3</v>
      </c>
      <c r="BV199" s="6">
        <v>87.7</v>
      </c>
      <c r="BW199" s="4">
        <v>9</v>
      </c>
      <c r="BX199" s="6">
        <v>272.78</v>
      </c>
      <c r="BY199" s="5">
        <v>-0.6667</v>
      </c>
      <c r="BZ199" s="5">
        <v>-0.6785</v>
      </c>
      <c r="CA199" s="4">
        <v>1</v>
      </c>
      <c r="CB199" s="6">
        <v>19.35</v>
      </c>
      <c r="CC199" s="4">
        <v>6</v>
      </c>
      <c r="CD199" s="6">
        <v>168.48</v>
      </c>
      <c r="CE199" s="5">
        <v>-0.8333</v>
      </c>
      <c r="CF199" s="5">
        <v>-0.8851</v>
      </c>
      <c r="CG199" s="4"/>
      <c r="CH199" s="6"/>
      <c r="CI199" s="4">
        <v>46</v>
      </c>
      <c r="CJ199" s="6">
        <v>1314.03</v>
      </c>
      <c r="CK199" s="5"/>
      <c r="CL199" s="5"/>
      <c r="CM199" s="4"/>
      <c r="CN199" s="6"/>
      <c r="CO199" s="4"/>
      <c r="CP199" s="6"/>
      <c r="CQ199" s="5"/>
      <c r="CR199" s="5"/>
      <c r="CS199" s="4">
        <v>1</v>
      </c>
      <c r="CT199" s="6">
        <v>33.44</v>
      </c>
      <c r="CU199" s="4">
        <v>5</v>
      </c>
      <c r="CV199" s="6">
        <v>136.63</v>
      </c>
      <c r="CW199" s="5">
        <v>-0.8</v>
      </c>
      <c r="CX199" s="5">
        <v>-0.7553</v>
      </c>
      <c r="CY199" s="4"/>
      <c r="CZ199" s="6"/>
      <c r="DA199" s="4">
        <v>3</v>
      </c>
      <c r="DB199" s="6">
        <v>95.25</v>
      </c>
      <c r="DC199" s="5"/>
      <c r="DD199" s="5"/>
      <c r="DE199" s="4"/>
      <c r="DF199" s="6"/>
      <c r="DG199" s="4"/>
      <c r="DH199" s="6"/>
      <c r="DI199" s="5"/>
      <c r="DJ199" s="5"/>
      <c r="DK199" s="4"/>
      <c r="DL199" s="6"/>
      <c r="DM199" s="4">
        <v>2</v>
      </c>
      <c r="DN199" s="6">
        <v>118.98</v>
      </c>
      <c r="DO199" s="5"/>
      <c r="DP199" s="5"/>
      <c r="DQ199" s="4">
        <v>2</v>
      </c>
      <c r="DR199" s="6">
        <v>65.14</v>
      </c>
      <c r="DS199" s="4">
        <v>2</v>
      </c>
      <c r="DT199" s="6">
        <v>65.14</v>
      </c>
      <c r="DU199" s="5"/>
      <c r="DV199" s="5"/>
      <c r="DW199" s="4"/>
      <c r="DX199" s="6"/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>
        <v>3</v>
      </c>
      <c r="FV199" s="6">
        <v>92.24</v>
      </c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>
        <v>1</v>
      </c>
      <c r="GH199" s="6">
        <v>31.97</v>
      </c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  <c r="IA199" s="4"/>
      <c r="IB199" s="6"/>
      <c r="IC199" s="4"/>
      <c r="ID199" s="6"/>
      <c r="IE199" s="5"/>
      <c r="IF199" s="5"/>
      <c r="IG199" s="4"/>
      <c r="IH199" s="6"/>
      <c r="II199" s="4"/>
      <c r="IJ199" s="6"/>
      <c r="IK199" s="5"/>
      <c r="IL199" s="5"/>
      <c r="IM199" s="4"/>
      <c r="IN199" s="6"/>
      <c r="IO199" s="4"/>
      <c r="IP199" s="6"/>
      <c r="IQ199" s="5"/>
      <c r="IR199" s="5"/>
      <c r="IS199" s="4"/>
      <c r="IT199" s="6"/>
      <c r="IU199" s="4"/>
      <c r="IV199" s="6"/>
      <c r="IW199" s="5"/>
      <c r="IX199" s="5"/>
      <c r="IY199" s="4"/>
      <c r="IZ199" s="6"/>
      <c r="JA199" s="4"/>
      <c r="JB199" s="6"/>
      <c r="JC199" s="5"/>
      <c r="JD199" s="5"/>
      <c r="JE199" s="4"/>
      <c r="JF199" s="6"/>
      <c r="JG199" s="4"/>
      <c r="JH199" s="6"/>
      <c r="JI199" s="5"/>
      <c r="JJ199" s="5"/>
      <c r="JK199" s="4">
        <v>7</v>
      </c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/>
      <c r="KQ199" s="4"/>
      <c r="KR199" s="4"/>
      <c r="KS199" s="4"/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>
        <v>680</v>
      </c>
      <c r="LF199" s="4"/>
      <c r="LG199" s="4"/>
      <c r="LH199" s="4"/>
      <c r="LI199" s="4"/>
      <c r="LJ199" s="4"/>
      <c r="LK199" s="4"/>
      <c r="LL199" s="4"/>
      <c r="LM199" s="4"/>
    </row>
    <row r="200">
      <c r="A200" s="3" t="s">
        <v>136</v>
      </c>
      <c r="B200" s="3" t="s">
        <v>172</v>
      </c>
      <c r="C200" s="3" t="s">
        <v>138</v>
      </c>
      <c r="D200" s="3" t="s">
        <v>139</v>
      </c>
      <c r="E200" s="3" t="s">
        <v>174</v>
      </c>
      <c r="F200" s="3" t="s">
        <v>174</v>
      </c>
      <c r="G200" s="3" t="s">
        <v>174</v>
      </c>
      <c r="H200" s="3" t="s">
        <v>175</v>
      </c>
      <c r="I200" s="3" t="s">
        <v>312</v>
      </c>
      <c r="J200" s="3" t="s">
        <v>228</v>
      </c>
      <c r="K200" s="4">
        <v>14</v>
      </c>
      <c r="L200" s="4">
        <f>=ROUNDDOWN(0.0651162790697675,0)</f>
      </c>
      <c r="M200" s="4">
        <v>1590</v>
      </c>
      <c r="N200" s="5">
        <v>0.5124</v>
      </c>
      <c r="O200" s="4"/>
      <c r="P200" s="4">
        <f>=ROUNDDOWN({0},0)</f>
      </c>
      <c r="Q200" s="4"/>
      <c r="R200" s="5"/>
      <c r="S200" s="4">
        <v>86</v>
      </c>
      <c r="T200" s="6">
        <v>2453.14</v>
      </c>
      <c r="U200" s="4">
        <v>821</v>
      </c>
      <c r="V200" s="6">
        <v>24359.16</v>
      </c>
      <c r="W200" s="5">
        <v>-0.8952</v>
      </c>
      <c r="X200" s="5">
        <v>-0.8993</v>
      </c>
      <c r="Y200" s="4">
        <v>10</v>
      </c>
      <c r="Z200" s="6">
        <v>335.39</v>
      </c>
      <c r="AA200" s="4">
        <v>38</v>
      </c>
      <c r="AB200" s="6">
        <v>1171.7</v>
      </c>
      <c r="AC200" s="5">
        <v>-0.7368</v>
      </c>
      <c r="AD200" s="5">
        <v>-0.7138</v>
      </c>
      <c r="AE200" s="4">
        <v>4</v>
      </c>
      <c r="AF200" s="6">
        <v>111.26</v>
      </c>
      <c r="AG200" s="4">
        <v>7</v>
      </c>
      <c r="AH200" s="6">
        <v>196.83</v>
      </c>
      <c r="AI200" s="5">
        <v>-0.4286</v>
      </c>
      <c r="AJ200" s="5">
        <v>-0.4347</v>
      </c>
      <c r="AK200" s="4"/>
      <c r="AL200" s="6"/>
      <c r="AM200" s="4"/>
      <c r="AN200" s="6"/>
      <c r="AO200" s="5"/>
      <c r="AP200" s="5"/>
      <c r="AQ200" s="4">
        <v>54</v>
      </c>
      <c r="AR200" s="6">
        <v>1455.66</v>
      </c>
      <c r="AS200" s="4">
        <v>556</v>
      </c>
      <c r="AT200" s="6">
        <v>16555.83</v>
      </c>
      <c r="AU200" s="5">
        <v>-0.9029</v>
      </c>
      <c r="AV200" s="5">
        <v>-0.9121</v>
      </c>
      <c r="AW200" s="4">
        <v>2</v>
      </c>
      <c r="AX200" s="6">
        <v>60.51</v>
      </c>
      <c r="AY200" s="4">
        <v>21</v>
      </c>
      <c r="AZ200" s="6">
        <v>628.76</v>
      </c>
      <c r="BA200" s="5">
        <v>-0.9048</v>
      </c>
      <c r="BB200" s="5">
        <v>-0.9038</v>
      </c>
      <c r="BC200" s="4">
        <v>3</v>
      </c>
      <c r="BD200" s="6">
        <v>68.55</v>
      </c>
      <c r="BE200" s="4">
        <v>65</v>
      </c>
      <c r="BF200" s="6">
        <v>1823.34</v>
      </c>
      <c r="BG200" s="5">
        <v>-0.9538</v>
      </c>
      <c r="BH200" s="5">
        <v>-0.9624</v>
      </c>
      <c r="BI200" s="4">
        <v>9</v>
      </c>
      <c r="BJ200" s="6">
        <v>286.26</v>
      </c>
      <c r="BK200" s="4">
        <v>81</v>
      </c>
      <c r="BL200" s="6">
        <v>2347.44</v>
      </c>
      <c r="BM200" s="5">
        <v>-0.8889</v>
      </c>
      <c r="BN200" s="5">
        <v>-0.8781</v>
      </c>
      <c r="BO200" s="4"/>
      <c r="BP200" s="6"/>
      <c r="BQ200" s="4">
        <v>7</v>
      </c>
      <c r="BR200" s="6">
        <v>174.92</v>
      </c>
      <c r="BS200" s="5"/>
      <c r="BT200" s="5"/>
      <c r="BU200" s="4"/>
      <c r="BV200" s="6"/>
      <c r="BW200" s="4">
        <v>2</v>
      </c>
      <c r="BX200" s="6">
        <v>57.46</v>
      </c>
      <c r="BY200" s="5"/>
      <c r="BZ200" s="5"/>
      <c r="CA200" s="4"/>
      <c r="CB200" s="6"/>
      <c r="CC200" s="4">
        <v>17</v>
      </c>
      <c r="CD200" s="6">
        <v>458.14</v>
      </c>
      <c r="CE200" s="5"/>
      <c r="CF200" s="5"/>
      <c r="CG200" s="4"/>
      <c r="CH200" s="6"/>
      <c r="CI200" s="4">
        <v>2</v>
      </c>
      <c r="CJ200" s="6">
        <v>58.45</v>
      </c>
      <c r="CK200" s="5"/>
      <c r="CL200" s="5"/>
      <c r="CM200" s="4"/>
      <c r="CN200" s="6"/>
      <c r="CO200" s="4"/>
      <c r="CP200" s="6"/>
      <c r="CQ200" s="5"/>
      <c r="CR200" s="5"/>
      <c r="CS200" s="4"/>
      <c r="CT200" s="6"/>
      <c r="CU200" s="4">
        <v>11</v>
      </c>
      <c r="CV200" s="6">
        <v>359.73</v>
      </c>
      <c r="CW200" s="5"/>
      <c r="CX200" s="5"/>
      <c r="CY200" s="4"/>
      <c r="CZ200" s="6"/>
      <c r="DA200" s="4"/>
      <c r="DB200" s="6"/>
      <c r="DC200" s="5"/>
      <c r="DD200" s="5"/>
      <c r="DE200" s="4"/>
      <c r="DF200" s="6"/>
      <c r="DG200" s="4"/>
      <c r="DH200" s="6"/>
      <c r="DI200" s="5"/>
      <c r="DJ200" s="5"/>
      <c r="DK200" s="4"/>
      <c r="DL200" s="6"/>
      <c r="DM200" s="4">
        <v>4</v>
      </c>
      <c r="DN200" s="6">
        <v>220.96</v>
      </c>
      <c r="DO200" s="5"/>
      <c r="DP200" s="5"/>
      <c r="DQ200" s="4">
        <v>3</v>
      </c>
      <c r="DR200" s="6">
        <v>110.37</v>
      </c>
      <c r="DS200" s="4">
        <v>2</v>
      </c>
      <c r="DT200" s="6">
        <v>73.58</v>
      </c>
      <c r="DU200" s="5">
        <v>0.5</v>
      </c>
      <c r="DV200" s="5">
        <v>0.5</v>
      </c>
      <c r="DW200" s="4"/>
      <c r="DX200" s="6"/>
      <c r="DY200" s="4"/>
      <c r="DZ200" s="6"/>
      <c r="EA200" s="5"/>
      <c r="EB200" s="5"/>
      <c r="EC200" s="4"/>
      <c r="ED200" s="6"/>
      <c r="EE200" s="4"/>
      <c r="EF200" s="6"/>
      <c r="EG200" s="5"/>
      <c r="EH200" s="5"/>
      <c r="EI200" s="4"/>
      <c r="EJ200" s="6"/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>
        <v>1</v>
      </c>
      <c r="EV200" s="6">
        <v>25.14</v>
      </c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>
        <v>1</v>
      </c>
      <c r="FP200" s="6">
        <v>31.97</v>
      </c>
      <c r="FQ200" s="5"/>
      <c r="FR200" s="5"/>
      <c r="FS200" s="4"/>
      <c r="FT200" s="6"/>
      <c r="FU200" s="4">
        <v>5</v>
      </c>
      <c r="FV200" s="6">
        <v>143.87</v>
      </c>
      <c r="FW200" s="5"/>
      <c r="FX200" s="5"/>
      <c r="FY200" s="4"/>
      <c r="FZ200" s="6"/>
      <c r="GA200" s="4">
        <v>2</v>
      </c>
      <c r="GB200" s="6">
        <v>56.18</v>
      </c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  <c r="IA200" s="4"/>
      <c r="IB200" s="6"/>
      <c r="IC200" s="4"/>
      <c r="ID200" s="6"/>
      <c r="IE200" s="5"/>
      <c r="IF200" s="5"/>
      <c r="IG200" s="4"/>
      <c r="IH200" s="6"/>
      <c r="II200" s="4"/>
      <c r="IJ200" s="6"/>
      <c r="IK200" s="5"/>
      <c r="IL200" s="5"/>
      <c r="IM200" s="4"/>
      <c r="IN200" s="6"/>
      <c r="IO200" s="4"/>
      <c r="IP200" s="6"/>
      <c r="IQ200" s="5"/>
      <c r="IR200" s="5"/>
      <c r="IS200" s="4"/>
      <c r="IT200" s="6"/>
      <c r="IU200" s="4"/>
      <c r="IV200" s="6"/>
      <c r="IW200" s="5"/>
      <c r="IX200" s="5"/>
      <c r="IY200" s="4"/>
      <c r="IZ200" s="6"/>
      <c r="JA200" s="4"/>
      <c r="JB200" s="6"/>
      <c r="JC200" s="5"/>
      <c r="JD200" s="5"/>
      <c r="JE200" s="4"/>
      <c r="JF200" s="6"/>
      <c r="JG200" s="4"/>
      <c r="JH200" s="6"/>
      <c r="JI200" s="5"/>
      <c r="JJ200" s="5"/>
      <c r="JK200" s="4">
        <v>14</v>
      </c>
      <c r="JL200" s="4"/>
      <c r="JM200" s="4"/>
      <c r="JN200" s="4"/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/>
      <c r="KE200" s="4"/>
      <c r="KF200" s="4"/>
      <c r="KG200" s="4"/>
      <c r="KH200" s="4"/>
      <c r="KI200" s="4"/>
      <c r="KJ200" s="4"/>
      <c r="KK200" s="4"/>
      <c r="KL200" s="4"/>
      <c r="KM200" s="4"/>
      <c r="KN200" s="4"/>
      <c r="KO200" s="4"/>
      <c r="KP200" s="4"/>
      <c r="KQ200" s="4"/>
      <c r="KR200" s="4"/>
      <c r="KS200" s="4"/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>
        <v>1590</v>
      </c>
      <c r="LF200" s="4"/>
      <c r="LG200" s="4"/>
      <c r="LH200" s="4"/>
      <c r="LI200" s="4"/>
      <c r="LJ200" s="4"/>
      <c r="LK200" s="4"/>
      <c r="LL200" s="4"/>
      <c r="LM200" s="4"/>
    </row>
    <row r="201">
      <c r="A201" s="3" t="s">
        <v>136</v>
      </c>
      <c r="B201" s="3" t="s">
        <v>172</v>
      </c>
      <c r="C201" s="3" t="s">
        <v>138</v>
      </c>
      <c r="D201" s="3" t="s">
        <v>139</v>
      </c>
      <c r="E201" s="3" t="s">
        <v>174</v>
      </c>
      <c r="F201" s="3" t="s">
        <v>174</v>
      </c>
      <c r="G201" s="3" t="s">
        <v>174</v>
      </c>
      <c r="H201" s="3" t="s">
        <v>175</v>
      </c>
      <c r="I201" s="3" t="s">
        <v>257</v>
      </c>
      <c r="J201" s="3" t="s">
        <v>228</v>
      </c>
      <c r="K201" s="4">
        <v>54</v>
      </c>
      <c r="L201" s="4">
        <f>=ROUNDDOWN(0.964285714285714,0)</f>
      </c>
      <c r="M201" s="4">
        <v>490</v>
      </c>
      <c r="N201" s="5">
        <v>0.8434</v>
      </c>
      <c r="O201" s="4"/>
      <c r="P201" s="4">
        <f>=ROUNDDOWN({0},0)</f>
      </c>
      <c r="Q201" s="4"/>
      <c r="R201" s="5"/>
      <c r="S201" s="4">
        <v>89</v>
      </c>
      <c r="T201" s="6">
        <v>2381.33</v>
      </c>
      <c r="U201" s="4">
        <v>131</v>
      </c>
      <c r="V201" s="6">
        <v>4167.02</v>
      </c>
      <c r="W201" s="5">
        <v>-0.3206</v>
      </c>
      <c r="X201" s="5">
        <v>-0.4285</v>
      </c>
      <c r="Y201" s="4">
        <v>8</v>
      </c>
      <c r="Z201" s="6">
        <v>219.07</v>
      </c>
      <c r="AA201" s="4">
        <v>23</v>
      </c>
      <c r="AB201" s="6">
        <v>740.56</v>
      </c>
      <c r="AC201" s="5">
        <v>-0.6522</v>
      </c>
      <c r="AD201" s="5">
        <v>-0.7042</v>
      </c>
      <c r="AE201" s="4">
        <v>1</v>
      </c>
      <c r="AF201" s="6">
        <v>27.94</v>
      </c>
      <c r="AG201" s="4">
        <v>3</v>
      </c>
      <c r="AH201" s="6">
        <v>96.25</v>
      </c>
      <c r="AI201" s="5">
        <v>-0.6667</v>
      </c>
      <c r="AJ201" s="5">
        <v>-0.7097</v>
      </c>
      <c r="AK201" s="4"/>
      <c r="AL201" s="6"/>
      <c r="AM201" s="4"/>
      <c r="AN201" s="6"/>
      <c r="AO201" s="5"/>
      <c r="AP201" s="5"/>
      <c r="AQ201" s="4">
        <v>50</v>
      </c>
      <c r="AR201" s="6">
        <v>1350.87</v>
      </c>
      <c r="AS201" s="4">
        <v>25</v>
      </c>
      <c r="AT201" s="6">
        <v>784.58</v>
      </c>
      <c r="AU201" s="5">
        <v>1</v>
      </c>
      <c r="AV201" s="5">
        <v>0.7218</v>
      </c>
      <c r="AW201" s="4"/>
      <c r="AX201" s="6"/>
      <c r="AY201" s="4">
        <v>12</v>
      </c>
      <c r="AZ201" s="6">
        <v>391.87</v>
      </c>
      <c r="BA201" s="5"/>
      <c r="BB201" s="5"/>
      <c r="BC201" s="4">
        <v>10</v>
      </c>
      <c r="BD201" s="6">
        <v>259.98</v>
      </c>
      <c r="BE201" s="4"/>
      <c r="BF201" s="6"/>
      <c r="BG201" s="5"/>
      <c r="BH201" s="5"/>
      <c r="BI201" s="4">
        <v>11</v>
      </c>
      <c r="BJ201" s="6">
        <v>296.17</v>
      </c>
      <c r="BK201" s="4">
        <v>49</v>
      </c>
      <c r="BL201" s="6">
        <v>1540.05</v>
      </c>
      <c r="BM201" s="5">
        <v>-0.7755</v>
      </c>
      <c r="BN201" s="5">
        <v>-0.8077</v>
      </c>
      <c r="BO201" s="4">
        <v>2</v>
      </c>
      <c r="BP201" s="6">
        <v>44.01</v>
      </c>
      <c r="BQ201" s="4">
        <v>4</v>
      </c>
      <c r="BR201" s="6">
        <v>97.56</v>
      </c>
      <c r="BS201" s="5">
        <v>-0.5</v>
      </c>
      <c r="BT201" s="5">
        <v>-0.5489</v>
      </c>
      <c r="BU201" s="4"/>
      <c r="BV201" s="6"/>
      <c r="BW201" s="4">
        <v>3</v>
      </c>
      <c r="BX201" s="6">
        <v>96.58</v>
      </c>
      <c r="BY201" s="5"/>
      <c r="BZ201" s="5"/>
      <c r="CA201" s="4"/>
      <c r="CB201" s="6"/>
      <c r="CC201" s="4">
        <v>4</v>
      </c>
      <c r="CD201" s="6">
        <v>123.99</v>
      </c>
      <c r="CE201" s="5"/>
      <c r="CF201" s="5"/>
      <c r="CG201" s="4">
        <v>7</v>
      </c>
      <c r="CH201" s="6">
        <v>183.29</v>
      </c>
      <c r="CI201" s="4">
        <v>1</v>
      </c>
      <c r="CJ201" s="6">
        <v>34.32</v>
      </c>
      <c r="CK201" s="5">
        <v>6</v>
      </c>
      <c r="CL201" s="5">
        <v>4.3406</v>
      </c>
      <c r="CM201" s="4"/>
      <c r="CN201" s="6"/>
      <c r="CO201" s="4"/>
      <c r="CP201" s="6"/>
      <c r="CQ201" s="5"/>
      <c r="CR201" s="5"/>
      <c r="CS201" s="4"/>
      <c r="CT201" s="6"/>
      <c r="CU201" s="4"/>
      <c r="CV201" s="6"/>
      <c r="CW201" s="5"/>
      <c r="CX201" s="5"/>
      <c r="CY201" s="4"/>
      <c r="CZ201" s="6"/>
      <c r="DA201" s="4"/>
      <c r="DB201" s="6"/>
      <c r="DC201" s="5"/>
      <c r="DD201" s="5"/>
      <c r="DE201" s="4"/>
      <c r="DF201" s="6"/>
      <c r="DG201" s="4"/>
      <c r="DH201" s="6"/>
      <c r="DI201" s="5"/>
      <c r="DJ201" s="5"/>
      <c r="DK201" s="4"/>
      <c r="DL201" s="6"/>
      <c r="DM201" s="4">
        <v>1</v>
      </c>
      <c r="DN201" s="6">
        <v>64.99</v>
      </c>
      <c r="DO201" s="5"/>
      <c r="DP201" s="5"/>
      <c r="DQ201" s="4"/>
      <c r="DR201" s="6"/>
      <c r="DS201" s="4"/>
      <c r="DT201" s="6"/>
      <c r="DU201" s="5"/>
      <c r="DV201" s="5"/>
      <c r="DW201" s="4"/>
      <c r="DX201" s="6"/>
      <c r="DY201" s="4"/>
      <c r="DZ201" s="6"/>
      <c r="EA201" s="5"/>
      <c r="EB201" s="5"/>
      <c r="EC201" s="4"/>
      <c r="ED201" s="6"/>
      <c r="EE201" s="4"/>
      <c r="EF201" s="6"/>
      <c r="EG201" s="5"/>
      <c r="EH201" s="5"/>
      <c r="EI201" s="4"/>
      <c r="EJ201" s="6"/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>
        <v>1</v>
      </c>
      <c r="FP201" s="6">
        <v>36.12</v>
      </c>
      <c r="FQ201" s="5"/>
      <c r="FR201" s="5"/>
      <c r="FS201" s="4"/>
      <c r="FT201" s="6"/>
      <c r="FU201" s="4">
        <v>5</v>
      </c>
      <c r="FV201" s="6">
        <v>160.15</v>
      </c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  <c r="IA201" s="4"/>
      <c r="IB201" s="6"/>
      <c r="IC201" s="4"/>
      <c r="ID201" s="6"/>
      <c r="IE201" s="5"/>
      <c r="IF201" s="5"/>
      <c r="IG201" s="4"/>
      <c r="IH201" s="6"/>
      <c r="II201" s="4"/>
      <c r="IJ201" s="6"/>
      <c r="IK201" s="5"/>
      <c r="IL201" s="5"/>
      <c r="IM201" s="4"/>
      <c r="IN201" s="6"/>
      <c r="IO201" s="4"/>
      <c r="IP201" s="6"/>
      <c r="IQ201" s="5"/>
      <c r="IR201" s="5"/>
      <c r="IS201" s="4"/>
      <c r="IT201" s="6"/>
      <c r="IU201" s="4"/>
      <c r="IV201" s="6"/>
      <c r="IW201" s="5"/>
      <c r="IX201" s="5"/>
      <c r="IY201" s="4"/>
      <c r="IZ201" s="6"/>
      <c r="JA201" s="4"/>
      <c r="JB201" s="6"/>
      <c r="JC201" s="5"/>
      <c r="JD201" s="5"/>
      <c r="JE201" s="4"/>
      <c r="JF201" s="6"/>
      <c r="JG201" s="4"/>
      <c r="JH201" s="6"/>
      <c r="JI201" s="5"/>
      <c r="JJ201" s="5"/>
      <c r="JK201" s="4">
        <v>54</v>
      </c>
      <c r="JL201" s="4"/>
      <c r="JM201" s="4"/>
      <c r="JN201" s="4"/>
      <c r="JO201" s="4"/>
      <c r="JP201" s="4"/>
      <c r="JQ201" s="4"/>
      <c r="JR201" s="4"/>
      <c r="JS201" s="4"/>
      <c r="JT201" s="4"/>
      <c r="JU201" s="4"/>
      <c r="JV201" s="4"/>
      <c r="JW201" s="4"/>
      <c r="JX201" s="4"/>
      <c r="JY201" s="4"/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/>
      <c r="KL201" s="4"/>
      <c r="KM201" s="4"/>
      <c r="KN201" s="4"/>
      <c r="KO201" s="4"/>
      <c r="KP201" s="4"/>
      <c r="KQ201" s="4"/>
      <c r="KR201" s="4"/>
      <c r="KS201" s="4"/>
      <c r="KT201" s="4"/>
      <c r="KU201" s="4"/>
      <c r="KV201" s="4"/>
      <c r="KW201" s="4"/>
      <c r="KX201" s="4"/>
      <c r="KY201" s="4"/>
      <c r="KZ201" s="4"/>
      <c r="LA201" s="4"/>
      <c r="LB201" s="4"/>
      <c r="LC201" s="4"/>
      <c r="LD201" s="4"/>
      <c r="LE201" s="4">
        <v>490</v>
      </c>
      <c r="LF201" s="4"/>
      <c r="LG201" s="4"/>
      <c r="LH201" s="4"/>
      <c r="LI201" s="4"/>
      <c r="LJ201" s="4"/>
      <c r="LK201" s="4"/>
      <c r="LL201" s="4"/>
      <c r="LM201" s="4"/>
    </row>
    <row r="202">
      <c r="A202" s="3" t="s">
        <v>136</v>
      </c>
      <c r="B202" s="3" t="s">
        <v>172</v>
      </c>
      <c r="C202" s="3" t="s">
        <v>138</v>
      </c>
      <c r="D202" s="3" t="s">
        <v>139</v>
      </c>
      <c r="E202" s="3" t="s">
        <v>174</v>
      </c>
      <c r="F202" s="3" t="s">
        <v>174</v>
      </c>
      <c r="G202" s="3" t="s">
        <v>174</v>
      </c>
      <c r="H202" s="3" t="s">
        <v>175</v>
      </c>
      <c r="I202" s="3" t="s">
        <v>313</v>
      </c>
      <c r="J202" s="3" t="s">
        <v>241</v>
      </c>
      <c r="K202" s="4">
        <v>235</v>
      </c>
      <c r="L202" s="4">
        <f>=ROUNDDOWN(14.6875,0)</f>
      </c>
      <c r="M202" s="4"/>
      <c r="N202" s="5"/>
      <c r="O202" s="4"/>
      <c r="P202" s="4">
        <f>=ROUNDDOWN({0},0)</f>
      </c>
      <c r="Q202" s="4"/>
      <c r="R202" s="5"/>
      <c r="S202" s="4">
        <v>72</v>
      </c>
      <c r="T202" s="6">
        <v>2368.2</v>
      </c>
      <c r="U202" s="4">
        <v>151</v>
      </c>
      <c r="V202" s="6">
        <v>4796.77</v>
      </c>
      <c r="W202" s="5">
        <v>-0.5232</v>
      </c>
      <c r="X202" s="5">
        <v>-0.5063</v>
      </c>
      <c r="Y202" s="4">
        <v>4</v>
      </c>
      <c r="Z202" s="6">
        <v>155.96</v>
      </c>
      <c r="AA202" s="4">
        <v>7</v>
      </c>
      <c r="AB202" s="6">
        <v>238.98</v>
      </c>
      <c r="AC202" s="5">
        <v>-0.4286</v>
      </c>
      <c r="AD202" s="5">
        <v>-0.3474</v>
      </c>
      <c r="AE202" s="4">
        <v>3</v>
      </c>
      <c r="AF202" s="6">
        <v>102.31</v>
      </c>
      <c r="AG202" s="4">
        <v>1</v>
      </c>
      <c r="AH202" s="6">
        <v>26.51</v>
      </c>
      <c r="AI202" s="5">
        <v>2</v>
      </c>
      <c r="AJ202" s="5">
        <v>2.8593</v>
      </c>
      <c r="AK202" s="4"/>
      <c r="AL202" s="6"/>
      <c r="AM202" s="4"/>
      <c r="AN202" s="6"/>
      <c r="AO202" s="5"/>
      <c r="AP202" s="5"/>
      <c r="AQ202" s="4">
        <v>15</v>
      </c>
      <c r="AR202" s="6">
        <v>406.63</v>
      </c>
      <c r="AS202" s="4">
        <v>53</v>
      </c>
      <c r="AT202" s="6">
        <v>1584.85</v>
      </c>
      <c r="AU202" s="5">
        <v>-0.717</v>
      </c>
      <c r="AV202" s="5">
        <v>-0.7434</v>
      </c>
      <c r="AW202" s="4">
        <v>10</v>
      </c>
      <c r="AX202" s="6">
        <v>368.82</v>
      </c>
      <c r="AY202" s="4">
        <v>16</v>
      </c>
      <c r="AZ202" s="6">
        <v>550.93</v>
      </c>
      <c r="BA202" s="5">
        <v>-0.375</v>
      </c>
      <c r="BB202" s="5">
        <v>-0.3306</v>
      </c>
      <c r="BC202" s="4"/>
      <c r="BD202" s="6"/>
      <c r="BE202" s="4"/>
      <c r="BF202" s="6"/>
      <c r="BG202" s="5"/>
      <c r="BH202" s="5"/>
      <c r="BI202" s="4">
        <v>21</v>
      </c>
      <c r="BJ202" s="6">
        <v>726.77</v>
      </c>
      <c r="BK202" s="4">
        <v>59</v>
      </c>
      <c r="BL202" s="6">
        <v>1885.19</v>
      </c>
      <c r="BM202" s="5">
        <v>-0.6441</v>
      </c>
      <c r="BN202" s="5">
        <v>-0.6145</v>
      </c>
      <c r="BO202" s="4">
        <v>5</v>
      </c>
      <c r="BP202" s="6">
        <v>122.24</v>
      </c>
      <c r="BQ202" s="4">
        <v>1</v>
      </c>
      <c r="BR202" s="6">
        <v>34.13</v>
      </c>
      <c r="BS202" s="5">
        <v>4</v>
      </c>
      <c r="BT202" s="5">
        <v>2.5816</v>
      </c>
      <c r="BU202" s="4">
        <v>2</v>
      </c>
      <c r="BV202" s="6">
        <v>73.88</v>
      </c>
      <c r="BW202" s="4">
        <v>5</v>
      </c>
      <c r="BX202" s="6">
        <v>174.62</v>
      </c>
      <c r="BY202" s="5">
        <v>-0.6</v>
      </c>
      <c r="BZ202" s="5">
        <v>-0.5769</v>
      </c>
      <c r="CA202" s="4"/>
      <c r="CB202" s="6"/>
      <c r="CC202" s="4">
        <v>2</v>
      </c>
      <c r="CD202" s="6">
        <v>63.03</v>
      </c>
      <c r="CE202" s="5"/>
      <c r="CF202" s="5"/>
      <c r="CG202" s="4">
        <v>8</v>
      </c>
      <c r="CH202" s="6">
        <v>294.72</v>
      </c>
      <c r="CI202" s="4">
        <v>5</v>
      </c>
      <c r="CJ202" s="6">
        <v>177.37</v>
      </c>
      <c r="CK202" s="5">
        <v>0.6</v>
      </c>
      <c r="CL202" s="5">
        <v>0.6616</v>
      </c>
      <c r="CM202" s="4"/>
      <c r="CN202" s="6"/>
      <c r="CO202" s="4"/>
      <c r="CP202" s="6"/>
      <c r="CQ202" s="5"/>
      <c r="CR202" s="5"/>
      <c r="CS202" s="4">
        <v>2</v>
      </c>
      <c r="CT202" s="6">
        <v>61.43</v>
      </c>
      <c r="CU202" s="4">
        <v>1</v>
      </c>
      <c r="CV202" s="6">
        <v>33.44</v>
      </c>
      <c r="CW202" s="5">
        <v>1</v>
      </c>
      <c r="CX202" s="5">
        <v>0.837</v>
      </c>
      <c r="CY202" s="4"/>
      <c r="CZ202" s="6"/>
      <c r="DA202" s="4"/>
      <c r="DB202" s="6"/>
      <c r="DC202" s="5"/>
      <c r="DD202" s="5"/>
      <c r="DE202" s="4"/>
      <c r="DF202" s="6"/>
      <c r="DG202" s="4"/>
      <c r="DH202" s="6"/>
      <c r="DI202" s="5"/>
      <c r="DJ202" s="5"/>
      <c r="DK202" s="4"/>
      <c r="DL202" s="6"/>
      <c r="DM202" s="4"/>
      <c r="DN202" s="6"/>
      <c r="DO202" s="5"/>
      <c r="DP202" s="5"/>
      <c r="DQ202" s="4">
        <v>2</v>
      </c>
      <c r="DR202" s="6">
        <v>55.44</v>
      </c>
      <c r="DS202" s="4">
        <v>1</v>
      </c>
      <c r="DT202" s="6">
        <v>27.72</v>
      </c>
      <c r="DU202" s="5">
        <v>1</v>
      </c>
      <c r="DV202" s="5">
        <v>1</v>
      </c>
      <c r="DW202" s="4"/>
      <c r="DX202" s="6"/>
      <c r="DY202" s="4"/>
      <c r="DZ202" s="6"/>
      <c r="EA202" s="5"/>
      <c r="EB202" s="5"/>
      <c r="EC202" s="4"/>
      <c r="ED202" s="6"/>
      <c r="EE202" s="4"/>
      <c r="EF202" s="6"/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  <c r="IA202" s="4"/>
      <c r="IB202" s="6"/>
      <c r="IC202" s="4"/>
      <c r="ID202" s="6"/>
      <c r="IE202" s="5"/>
      <c r="IF202" s="5"/>
      <c r="IG202" s="4"/>
      <c r="IH202" s="6"/>
      <c r="II202" s="4"/>
      <c r="IJ202" s="6"/>
      <c r="IK202" s="5"/>
      <c r="IL202" s="5"/>
      <c r="IM202" s="4"/>
      <c r="IN202" s="6"/>
      <c r="IO202" s="4"/>
      <c r="IP202" s="6"/>
      <c r="IQ202" s="5"/>
      <c r="IR202" s="5"/>
      <c r="IS202" s="4"/>
      <c r="IT202" s="6"/>
      <c r="IU202" s="4"/>
      <c r="IV202" s="6"/>
      <c r="IW202" s="5"/>
      <c r="IX202" s="5"/>
      <c r="IY202" s="4"/>
      <c r="IZ202" s="6"/>
      <c r="JA202" s="4"/>
      <c r="JB202" s="6"/>
      <c r="JC202" s="5"/>
      <c r="JD202" s="5"/>
      <c r="JE202" s="4"/>
      <c r="JF202" s="6"/>
      <c r="JG202" s="4"/>
      <c r="JH202" s="6"/>
      <c r="JI202" s="5"/>
      <c r="JJ202" s="5"/>
      <c r="JK202" s="4">
        <v>235</v>
      </c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/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/>
      <c r="KQ202" s="4"/>
      <c r="KR202" s="4"/>
      <c r="KS202" s="4"/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/>
      <c r="LF202" s="4"/>
      <c r="LG202" s="4"/>
      <c r="LH202" s="4"/>
      <c r="LI202" s="4"/>
      <c r="LJ202" s="4"/>
      <c r="LK202" s="4"/>
      <c r="LL202" s="4"/>
      <c r="LM202" s="4"/>
    </row>
    <row r="203">
      <c r="A203" s="3" t="s">
        <v>136</v>
      </c>
      <c r="B203" s="3" t="s">
        <v>172</v>
      </c>
      <c r="C203" s="3" t="s">
        <v>138</v>
      </c>
      <c r="D203" s="3" t="s">
        <v>139</v>
      </c>
      <c r="E203" s="3" t="s">
        <v>174</v>
      </c>
      <c r="F203" s="3" t="s">
        <v>174</v>
      </c>
      <c r="G203" s="3" t="s">
        <v>174</v>
      </c>
      <c r="H203" s="3" t="s">
        <v>175</v>
      </c>
      <c r="I203" s="3" t="s">
        <v>314</v>
      </c>
      <c r="J203" s="3" t="s">
        <v>241</v>
      </c>
      <c r="K203" s="4">
        <v>5</v>
      </c>
      <c r="L203" s="4">
        <f>=ROUNDDOWN(0.549450549450549,0)</f>
      </c>
      <c r="M203" s="4"/>
      <c r="N203" s="5"/>
      <c r="O203" s="4"/>
      <c r="P203" s="4">
        <f>=ROUNDDOWN({0},0)</f>
      </c>
      <c r="Q203" s="4"/>
      <c r="R203" s="5"/>
      <c r="S203" s="4">
        <v>52</v>
      </c>
      <c r="T203" s="6">
        <v>1864.65</v>
      </c>
      <c r="U203" s="4">
        <v>151</v>
      </c>
      <c r="V203" s="6">
        <v>5015.13</v>
      </c>
      <c r="W203" s="5">
        <v>-0.6556</v>
      </c>
      <c r="X203" s="5">
        <v>-0.6282</v>
      </c>
      <c r="Y203" s="4">
        <v>5</v>
      </c>
      <c r="Z203" s="6">
        <v>194.95</v>
      </c>
      <c r="AA203" s="4">
        <v>9</v>
      </c>
      <c r="AB203" s="6">
        <v>294.9</v>
      </c>
      <c r="AC203" s="5">
        <v>-0.4444</v>
      </c>
      <c r="AD203" s="5">
        <v>-0.3389</v>
      </c>
      <c r="AE203" s="4">
        <v>1</v>
      </c>
      <c r="AF203" s="6">
        <v>37.9</v>
      </c>
      <c r="AG203" s="4"/>
      <c r="AH203" s="6"/>
      <c r="AI203" s="5"/>
      <c r="AJ203" s="5"/>
      <c r="AK203" s="4"/>
      <c r="AL203" s="6"/>
      <c r="AM203" s="4"/>
      <c r="AN203" s="6"/>
      <c r="AO203" s="5"/>
      <c r="AP203" s="5"/>
      <c r="AQ203" s="4">
        <v>10</v>
      </c>
      <c r="AR203" s="6">
        <v>357.22</v>
      </c>
      <c r="AS203" s="4">
        <v>64</v>
      </c>
      <c r="AT203" s="6">
        <v>2061.83</v>
      </c>
      <c r="AU203" s="5">
        <v>-0.8438</v>
      </c>
      <c r="AV203" s="5">
        <v>-0.8267</v>
      </c>
      <c r="AW203" s="4">
        <v>8</v>
      </c>
      <c r="AX203" s="6">
        <v>304.32</v>
      </c>
      <c r="AY203" s="4">
        <v>16</v>
      </c>
      <c r="AZ203" s="6">
        <v>553.86</v>
      </c>
      <c r="BA203" s="5">
        <v>-0.5</v>
      </c>
      <c r="BB203" s="5">
        <v>-0.4505</v>
      </c>
      <c r="BC203" s="4"/>
      <c r="BD203" s="6"/>
      <c r="BE203" s="4"/>
      <c r="BF203" s="6"/>
      <c r="BG203" s="5"/>
      <c r="BH203" s="5"/>
      <c r="BI203" s="4">
        <v>17</v>
      </c>
      <c r="BJ203" s="6">
        <v>586.33</v>
      </c>
      <c r="BK203" s="4">
        <v>27</v>
      </c>
      <c r="BL203" s="6">
        <v>883.09</v>
      </c>
      <c r="BM203" s="5">
        <v>-0.3704</v>
      </c>
      <c r="BN203" s="5">
        <v>-0.336</v>
      </c>
      <c r="BO203" s="4">
        <v>4</v>
      </c>
      <c r="BP203" s="6">
        <v>127.68</v>
      </c>
      <c r="BQ203" s="4">
        <v>2</v>
      </c>
      <c r="BR203" s="6">
        <v>75.1</v>
      </c>
      <c r="BS203" s="5">
        <v>1</v>
      </c>
      <c r="BT203" s="5">
        <v>0.7001</v>
      </c>
      <c r="BU203" s="4">
        <v>2</v>
      </c>
      <c r="BV203" s="6">
        <v>73.88</v>
      </c>
      <c r="BW203" s="4">
        <v>2</v>
      </c>
      <c r="BX203" s="6">
        <v>70.52</v>
      </c>
      <c r="BY203" s="5"/>
      <c r="BZ203" s="5">
        <v>0.0476</v>
      </c>
      <c r="CA203" s="4"/>
      <c r="CB203" s="6"/>
      <c r="CC203" s="4">
        <v>5</v>
      </c>
      <c r="CD203" s="6">
        <v>156.83</v>
      </c>
      <c r="CE203" s="5"/>
      <c r="CF203" s="5"/>
      <c r="CG203" s="4">
        <v>2</v>
      </c>
      <c r="CH203" s="6">
        <v>73.68</v>
      </c>
      <c r="CI203" s="4">
        <v>1</v>
      </c>
      <c r="CJ203" s="6">
        <v>30.58</v>
      </c>
      <c r="CK203" s="5">
        <v>1</v>
      </c>
      <c r="CL203" s="5">
        <v>1.4094</v>
      </c>
      <c r="CM203" s="4"/>
      <c r="CN203" s="6"/>
      <c r="CO203" s="4"/>
      <c r="CP203" s="6"/>
      <c r="CQ203" s="5"/>
      <c r="CR203" s="5"/>
      <c r="CS203" s="4">
        <v>3</v>
      </c>
      <c r="CT203" s="6">
        <v>108.69</v>
      </c>
      <c r="CU203" s="4">
        <v>10</v>
      </c>
      <c r="CV203" s="6">
        <v>324.66</v>
      </c>
      <c r="CW203" s="5">
        <v>-0.7</v>
      </c>
      <c r="CX203" s="5">
        <v>-0.6652</v>
      </c>
      <c r="CY203" s="4"/>
      <c r="CZ203" s="6"/>
      <c r="DA203" s="4">
        <v>3</v>
      </c>
      <c r="DB203" s="6">
        <v>79.89</v>
      </c>
      <c r="DC203" s="5"/>
      <c r="DD203" s="5"/>
      <c r="DE203" s="4"/>
      <c r="DF203" s="6"/>
      <c r="DG203" s="4"/>
      <c r="DH203" s="6"/>
      <c r="DI203" s="5"/>
      <c r="DJ203" s="5"/>
      <c r="DK203" s="4"/>
      <c r="DL203" s="6"/>
      <c r="DM203" s="4">
        <v>3</v>
      </c>
      <c r="DN203" s="6">
        <v>179.97</v>
      </c>
      <c r="DO203" s="5"/>
      <c r="DP203" s="5"/>
      <c r="DQ203" s="4"/>
      <c r="DR203" s="6"/>
      <c r="DS203" s="4">
        <v>9</v>
      </c>
      <c r="DT203" s="6">
        <v>303.9</v>
      </c>
      <c r="DU203" s="5"/>
      <c r="DV203" s="5"/>
      <c r="DW203" s="4"/>
      <c r="DX203" s="6"/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  <c r="IA203" s="4"/>
      <c r="IB203" s="6"/>
      <c r="IC203" s="4"/>
      <c r="ID203" s="6"/>
      <c r="IE203" s="5"/>
      <c r="IF203" s="5"/>
      <c r="IG203" s="4"/>
      <c r="IH203" s="6"/>
      <c r="II203" s="4"/>
      <c r="IJ203" s="6"/>
      <c r="IK203" s="5"/>
      <c r="IL203" s="5"/>
      <c r="IM203" s="4"/>
      <c r="IN203" s="6"/>
      <c r="IO203" s="4"/>
      <c r="IP203" s="6"/>
      <c r="IQ203" s="5"/>
      <c r="IR203" s="5"/>
      <c r="IS203" s="4"/>
      <c r="IT203" s="6"/>
      <c r="IU203" s="4"/>
      <c r="IV203" s="6"/>
      <c r="IW203" s="5"/>
      <c r="IX203" s="5"/>
      <c r="IY203" s="4"/>
      <c r="IZ203" s="6"/>
      <c r="JA203" s="4"/>
      <c r="JB203" s="6"/>
      <c r="JC203" s="5"/>
      <c r="JD203" s="5"/>
      <c r="JE203" s="4"/>
      <c r="JF203" s="6"/>
      <c r="JG203" s="4"/>
      <c r="JH203" s="6"/>
      <c r="JI203" s="5"/>
      <c r="JJ203" s="5"/>
      <c r="JK203" s="4">
        <v>5</v>
      </c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  <c r="LK203" s="4"/>
      <c r="LL203" s="4"/>
      <c r="LM203" s="4"/>
    </row>
    <row r="204">
      <c r="A204" s="3" t="s">
        <v>136</v>
      </c>
      <c r="B204" s="3" t="s">
        <v>172</v>
      </c>
      <c r="C204" s="3" t="s">
        <v>138</v>
      </c>
      <c r="D204" s="3" t="s">
        <v>139</v>
      </c>
      <c r="E204" s="3" t="s">
        <v>174</v>
      </c>
      <c r="F204" s="3" t="s">
        <v>174</v>
      </c>
      <c r="G204" s="3" t="s">
        <v>174</v>
      </c>
      <c r="H204" s="3" t="s">
        <v>175</v>
      </c>
      <c r="I204" s="3" t="s">
        <v>315</v>
      </c>
      <c r="J204" s="3" t="s">
        <v>241</v>
      </c>
      <c r="K204" s="4">
        <v>127</v>
      </c>
      <c r="L204" s="4">
        <f>=ROUNDDOWN(26.4583333333333,0)</f>
      </c>
      <c r="M204" s="4"/>
      <c r="N204" s="5"/>
      <c r="O204" s="4"/>
      <c r="P204" s="4">
        <f>=ROUNDDOWN({0},0)</f>
      </c>
      <c r="Q204" s="4"/>
      <c r="R204" s="5"/>
      <c r="S204" s="4">
        <v>8</v>
      </c>
      <c r="T204" s="6">
        <v>262.77</v>
      </c>
      <c r="U204" s="4">
        <v>109</v>
      </c>
      <c r="V204" s="6">
        <v>3688.91</v>
      </c>
      <c r="W204" s="5">
        <v>-0.9266</v>
      </c>
      <c r="X204" s="5">
        <v>-0.9288</v>
      </c>
      <c r="Y204" s="4"/>
      <c r="Z204" s="6"/>
      <c r="AA204" s="4">
        <v>3</v>
      </c>
      <c r="AB204" s="6">
        <v>112.42</v>
      </c>
      <c r="AC204" s="5"/>
      <c r="AD204" s="5"/>
      <c r="AE204" s="4"/>
      <c r="AF204" s="6"/>
      <c r="AG204" s="4">
        <v>1</v>
      </c>
      <c r="AH204" s="6">
        <v>31</v>
      </c>
      <c r="AI204" s="5"/>
      <c r="AJ204" s="5"/>
      <c r="AK204" s="4"/>
      <c r="AL204" s="6"/>
      <c r="AM204" s="4"/>
      <c r="AN204" s="6"/>
      <c r="AO204" s="5"/>
      <c r="AP204" s="5"/>
      <c r="AQ204" s="4">
        <v>1</v>
      </c>
      <c r="AR204" s="6">
        <v>33.97</v>
      </c>
      <c r="AS204" s="4">
        <v>52</v>
      </c>
      <c r="AT204" s="6">
        <v>1756.58</v>
      </c>
      <c r="AU204" s="5">
        <v>-0.9808</v>
      </c>
      <c r="AV204" s="5">
        <v>-0.9807</v>
      </c>
      <c r="AW204" s="4"/>
      <c r="AX204" s="6"/>
      <c r="AY204" s="4">
        <v>5</v>
      </c>
      <c r="AZ204" s="6">
        <v>178.48</v>
      </c>
      <c r="BA204" s="5"/>
      <c r="BB204" s="5"/>
      <c r="BC204" s="4"/>
      <c r="BD204" s="6"/>
      <c r="BE204" s="4"/>
      <c r="BF204" s="6"/>
      <c r="BG204" s="5"/>
      <c r="BH204" s="5"/>
      <c r="BI204" s="4">
        <v>2</v>
      </c>
      <c r="BJ204" s="6">
        <v>63.82</v>
      </c>
      <c r="BK204" s="4">
        <v>32</v>
      </c>
      <c r="BL204" s="6">
        <v>1036.3</v>
      </c>
      <c r="BM204" s="5">
        <v>-0.9375</v>
      </c>
      <c r="BN204" s="5">
        <v>-0.9384</v>
      </c>
      <c r="BO204" s="4">
        <v>1</v>
      </c>
      <c r="BP204" s="6">
        <v>26.27</v>
      </c>
      <c r="BQ204" s="4"/>
      <c r="BR204" s="6"/>
      <c r="BS204" s="5"/>
      <c r="BT204" s="5"/>
      <c r="BU204" s="4">
        <v>1</v>
      </c>
      <c r="BV204" s="6">
        <v>25.84</v>
      </c>
      <c r="BW204" s="4">
        <v>1</v>
      </c>
      <c r="BX204" s="6">
        <v>33.58</v>
      </c>
      <c r="BY204" s="5"/>
      <c r="BZ204" s="5">
        <v>-0.2305</v>
      </c>
      <c r="CA204" s="4"/>
      <c r="CB204" s="6"/>
      <c r="CC204" s="4">
        <v>1</v>
      </c>
      <c r="CD204" s="6">
        <v>36.22</v>
      </c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/>
      <c r="CP204" s="6"/>
      <c r="CQ204" s="5"/>
      <c r="CR204" s="5"/>
      <c r="CS204" s="4">
        <v>2</v>
      </c>
      <c r="CT204" s="6">
        <v>66.88</v>
      </c>
      <c r="CU204" s="4">
        <v>5</v>
      </c>
      <c r="CV204" s="6">
        <v>157.92</v>
      </c>
      <c r="CW204" s="5">
        <v>-0.6</v>
      </c>
      <c r="CX204" s="5">
        <v>-0.5765</v>
      </c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>
        <v>1</v>
      </c>
      <c r="DL204" s="6">
        <v>45.99</v>
      </c>
      <c r="DM204" s="4"/>
      <c r="DN204" s="6"/>
      <c r="DO204" s="5"/>
      <c r="DP204" s="5"/>
      <c r="DQ204" s="4"/>
      <c r="DR204" s="6"/>
      <c r="DS204" s="4">
        <v>9</v>
      </c>
      <c r="DT204" s="6">
        <v>346.41</v>
      </c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  <c r="IA204" s="4"/>
      <c r="IB204" s="6"/>
      <c r="IC204" s="4"/>
      <c r="ID204" s="6"/>
      <c r="IE204" s="5"/>
      <c r="IF204" s="5"/>
      <c r="IG204" s="4"/>
      <c r="IH204" s="6"/>
      <c r="II204" s="4"/>
      <c r="IJ204" s="6"/>
      <c r="IK204" s="5"/>
      <c r="IL204" s="5"/>
      <c r="IM204" s="4"/>
      <c r="IN204" s="6"/>
      <c r="IO204" s="4"/>
      <c r="IP204" s="6"/>
      <c r="IQ204" s="5"/>
      <c r="IR204" s="5"/>
      <c r="IS204" s="4"/>
      <c r="IT204" s="6"/>
      <c r="IU204" s="4"/>
      <c r="IV204" s="6"/>
      <c r="IW204" s="5"/>
      <c r="IX204" s="5"/>
      <c r="IY204" s="4"/>
      <c r="IZ204" s="6"/>
      <c r="JA204" s="4"/>
      <c r="JB204" s="6"/>
      <c r="JC204" s="5"/>
      <c r="JD204" s="5"/>
      <c r="JE204" s="4"/>
      <c r="JF204" s="6"/>
      <c r="JG204" s="4"/>
      <c r="JH204" s="6"/>
      <c r="JI204" s="5"/>
      <c r="JJ204" s="5"/>
      <c r="JK204" s="4">
        <v>127</v>
      </c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/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/>
      <c r="LI204" s="4"/>
      <c r="LJ204" s="4"/>
      <c r="LK204" s="4"/>
      <c r="LL204" s="4"/>
      <c r="LM204" s="4"/>
    </row>
    <row r="205">
      <c r="A205" s="3" t="s">
        <v>136</v>
      </c>
      <c r="B205" s="3" t="s">
        <v>172</v>
      </c>
      <c r="C205" s="3" t="s">
        <v>138</v>
      </c>
      <c r="D205" s="3" t="s">
        <v>139</v>
      </c>
      <c r="E205" s="3" t="s">
        <v>174</v>
      </c>
      <c r="F205" s="3" t="s">
        <v>174</v>
      </c>
      <c r="G205" s="3" t="s">
        <v>174</v>
      </c>
      <c r="H205" s="3" t="s">
        <v>175</v>
      </c>
      <c r="I205" s="3" t="s">
        <v>233</v>
      </c>
      <c r="J205" s="3" t="s">
        <v>241</v>
      </c>
      <c r="K205" s="4">
        <v>2</v>
      </c>
      <c r="L205" s="4">
        <f>=ROUNDDOWN(0.0833333333333333,0)</f>
      </c>
      <c r="M205" s="4"/>
      <c r="N205" s="5"/>
      <c r="O205" s="4"/>
      <c r="P205" s="4">
        <f>=ROUNDDOWN({0},0)</f>
      </c>
      <c r="Q205" s="4"/>
      <c r="R205" s="5"/>
      <c r="S205" s="4">
        <v>2</v>
      </c>
      <c r="T205" s="6">
        <v>95.03</v>
      </c>
      <c r="U205" s="4">
        <v>266</v>
      </c>
      <c r="V205" s="6">
        <v>8083.43</v>
      </c>
      <c r="W205" s="5">
        <v>-0.9925</v>
      </c>
      <c r="X205" s="5">
        <v>-0.9882</v>
      </c>
      <c r="Y205" s="4"/>
      <c r="Z205" s="6"/>
      <c r="AA205" s="4">
        <v>55</v>
      </c>
      <c r="AB205" s="6">
        <v>1665.08</v>
      </c>
      <c r="AC205" s="5"/>
      <c r="AD205" s="5"/>
      <c r="AE205" s="4"/>
      <c r="AF205" s="6"/>
      <c r="AG205" s="4">
        <v>5</v>
      </c>
      <c r="AH205" s="6">
        <v>151.01</v>
      </c>
      <c r="AI205" s="5"/>
      <c r="AJ205" s="5"/>
      <c r="AK205" s="4"/>
      <c r="AL205" s="6"/>
      <c r="AM205" s="4"/>
      <c r="AN205" s="6"/>
      <c r="AO205" s="5"/>
      <c r="AP205" s="5"/>
      <c r="AQ205" s="4">
        <v>1</v>
      </c>
      <c r="AR205" s="6">
        <v>35.04</v>
      </c>
      <c r="AS205" s="4">
        <v>116</v>
      </c>
      <c r="AT205" s="6">
        <v>3435.98</v>
      </c>
      <c r="AU205" s="5">
        <v>-0.9914</v>
      </c>
      <c r="AV205" s="5">
        <v>-0.9898</v>
      </c>
      <c r="AW205" s="4"/>
      <c r="AX205" s="6"/>
      <c r="AY205" s="4">
        <v>10</v>
      </c>
      <c r="AZ205" s="6">
        <v>300.45</v>
      </c>
      <c r="BA205" s="5"/>
      <c r="BB205" s="5"/>
      <c r="BC205" s="4"/>
      <c r="BD205" s="6"/>
      <c r="BE205" s="4"/>
      <c r="BF205" s="6"/>
      <c r="BG205" s="5"/>
      <c r="BH205" s="5"/>
      <c r="BI205" s="4"/>
      <c r="BJ205" s="6"/>
      <c r="BK205" s="4">
        <v>55</v>
      </c>
      <c r="BL205" s="6">
        <v>1743.94</v>
      </c>
      <c r="BM205" s="5"/>
      <c r="BN205" s="5"/>
      <c r="BO205" s="4"/>
      <c r="BP205" s="6"/>
      <c r="BQ205" s="4">
        <v>7</v>
      </c>
      <c r="BR205" s="6">
        <v>199.49</v>
      </c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>
        <v>2</v>
      </c>
      <c r="CD205" s="6">
        <v>66.18</v>
      </c>
      <c r="CE205" s="5"/>
      <c r="CF205" s="5"/>
      <c r="CG205" s="4"/>
      <c r="CH205" s="6"/>
      <c r="CI205" s="4">
        <v>8</v>
      </c>
      <c r="CJ205" s="6">
        <v>214.19</v>
      </c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>
        <v>1</v>
      </c>
      <c r="DL205" s="6">
        <v>59.99</v>
      </c>
      <c r="DM205" s="4">
        <v>2</v>
      </c>
      <c r="DN205" s="6">
        <v>123.48</v>
      </c>
      <c r="DO205" s="5">
        <v>-0.5</v>
      </c>
      <c r="DP205" s="5">
        <v>-0.5142</v>
      </c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/>
      <c r="EV205" s="6"/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>
        <v>2</v>
      </c>
      <c r="FV205" s="6">
        <v>68.14</v>
      </c>
      <c r="FW205" s="5"/>
      <c r="FX205" s="5"/>
      <c r="FY205" s="4"/>
      <c r="FZ205" s="6"/>
      <c r="GA205" s="4">
        <v>4</v>
      </c>
      <c r="GB205" s="6">
        <v>115.49</v>
      </c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  <c r="IA205" s="4"/>
      <c r="IB205" s="6"/>
      <c r="IC205" s="4"/>
      <c r="ID205" s="6"/>
      <c r="IE205" s="5"/>
      <c r="IF205" s="5"/>
      <c r="IG205" s="4"/>
      <c r="IH205" s="6"/>
      <c r="II205" s="4"/>
      <c r="IJ205" s="6"/>
      <c r="IK205" s="5"/>
      <c r="IL205" s="5"/>
      <c r="IM205" s="4"/>
      <c r="IN205" s="6"/>
      <c r="IO205" s="4"/>
      <c r="IP205" s="6"/>
      <c r="IQ205" s="5"/>
      <c r="IR205" s="5"/>
      <c r="IS205" s="4"/>
      <c r="IT205" s="6"/>
      <c r="IU205" s="4"/>
      <c r="IV205" s="6"/>
      <c r="IW205" s="5"/>
      <c r="IX205" s="5"/>
      <c r="IY205" s="4"/>
      <c r="IZ205" s="6"/>
      <c r="JA205" s="4"/>
      <c r="JB205" s="6"/>
      <c r="JC205" s="5"/>
      <c r="JD205" s="5"/>
      <c r="JE205" s="4"/>
      <c r="JF205" s="6"/>
      <c r="JG205" s="4"/>
      <c r="JH205" s="6"/>
      <c r="JI205" s="5"/>
      <c r="JJ205" s="5"/>
      <c r="JK205" s="4">
        <v>2</v>
      </c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/>
      <c r="KQ205" s="4"/>
      <c r="KR205" s="4"/>
      <c r="KS205" s="4"/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/>
      <c r="LI205" s="4"/>
      <c r="LJ205" s="4"/>
      <c r="LK205" s="4"/>
      <c r="LL205" s="4"/>
      <c r="LM205" s="4"/>
    </row>
    <row r="206">
      <c r="A206" s="3" t="s">
        <v>136</v>
      </c>
      <c r="B206" s="3" t="s">
        <v>172</v>
      </c>
      <c r="C206" s="3" t="s">
        <v>138</v>
      </c>
      <c r="D206" s="3" t="s">
        <v>139</v>
      </c>
      <c r="E206" s="3" t="s">
        <v>174</v>
      </c>
      <c r="F206" s="3" t="s">
        <v>174</v>
      </c>
      <c r="G206" s="3" t="s">
        <v>174</v>
      </c>
      <c r="H206" s="3" t="s">
        <v>175</v>
      </c>
      <c r="I206" s="3" t="s">
        <v>316</v>
      </c>
      <c r="J206" s="3" t="s">
        <v>241</v>
      </c>
      <c r="K206" s="4">
        <v>1</v>
      </c>
      <c r="L206" s="4">
        <f>=ROUNDDOWN(0.142857142857143,0)</f>
      </c>
      <c r="M206" s="4"/>
      <c r="N206" s="5"/>
      <c r="O206" s="4"/>
      <c r="P206" s="4">
        <f>=ROUNDDOWN({0},0)</f>
      </c>
      <c r="Q206" s="4"/>
      <c r="R206" s="5"/>
      <c r="S206" s="4">
        <v>1</v>
      </c>
      <c r="T206" s="6">
        <v>31.09</v>
      </c>
      <c r="U206" s="4">
        <v>217</v>
      </c>
      <c r="V206" s="6">
        <v>7160.43</v>
      </c>
      <c r="W206" s="5">
        <v>-0.9954</v>
      </c>
      <c r="X206" s="5">
        <v>-0.9957</v>
      </c>
      <c r="Y206" s="4"/>
      <c r="Z206" s="6"/>
      <c r="AA206" s="4">
        <v>34</v>
      </c>
      <c r="AB206" s="6">
        <v>1180.61</v>
      </c>
      <c r="AC206" s="5"/>
      <c r="AD206" s="5"/>
      <c r="AE206" s="4"/>
      <c r="AF206" s="6"/>
      <c r="AG206" s="4"/>
      <c r="AH206" s="6"/>
      <c r="AI206" s="5"/>
      <c r="AJ206" s="5"/>
      <c r="AK206" s="4"/>
      <c r="AL206" s="6"/>
      <c r="AM206" s="4"/>
      <c r="AN206" s="6"/>
      <c r="AO206" s="5"/>
      <c r="AP206" s="5"/>
      <c r="AQ206" s="4"/>
      <c r="AR206" s="6"/>
      <c r="AS206" s="4">
        <v>84</v>
      </c>
      <c r="AT206" s="6">
        <v>2667.32</v>
      </c>
      <c r="AU206" s="5"/>
      <c r="AV206" s="5"/>
      <c r="AW206" s="4">
        <v>1</v>
      </c>
      <c r="AX206" s="6">
        <v>31.09</v>
      </c>
      <c r="AY206" s="4">
        <v>24</v>
      </c>
      <c r="AZ206" s="6">
        <v>782.97</v>
      </c>
      <c r="BA206" s="5">
        <v>-0.9583</v>
      </c>
      <c r="BB206" s="5">
        <v>-0.9603</v>
      </c>
      <c r="BC206" s="4"/>
      <c r="BD206" s="6"/>
      <c r="BE206" s="4"/>
      <c r="BF206" s="6"/>
      <c r="BG206" s="5"/>
      <c r="BH206" s="5"/>
      <c r="BI206" s="4"/>
      <c r="BJ206" s="6"/>
      <c r="BK206" s="4">
        <v>40</v>
      </c>
      <c r="BL206" s="6">
        <v>1276.88</v>
      </c>
      <c r="BM206" s="5"/>
      <c r="BN206" s="5"/>
      <c r="BO206" s="4"/>
      <c r="BP206" s="6"/>
      <c r="BQ206" s="4"/>
      <c r="BR206" s="6"/>
      <c r="BS206" s="5"/>
      <c r="BT206" s="5"/>
      <c r="BU206" s="4"/>
      <c r="BV206" s="6"/>
      <c r="BW206" s="4">
        <v>6</v>
      </c>
      <c r="BX206" s="6">
        <v>186</v>
      </c>
      <c r="BY206" s="5"/>
      <c r="BZ206" s="5"/>
      <c r="CA206" s="4"/>
      <c r="CB206" s="6"/>
      <c r="CC206" s="4">
        <v>10</v>
      </c>
      <c r="CD206" s="6">
        <v>339.88</v>
      </c>
      <c r="CE206" s="5"/>
      <c r="CF206" s="5"/>
      <c r="CG206" s="4"/>
      <c r="CH206" s="6"/>
      <c r="CI206" s="4">
        <v>1</v>
      </c>
      <c r="CJ206" s="6">
        <v>37.36</v>
      </c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>
        <v>4</v>
      </c>
      <c r="DB206" s="6">
        <v>138.52</v>
      </c>
      <c r="DC206" s="5"/>
      <c r="DD206" s="5"/>
      <c r="DE206" s="4"/>
      <c r="DF206" s="6"/>
      <c r="DG206" s="4"/>
      <c r="DH206" s="6"/>
      <c r="DI206" s="5"/>
      <c r="DJ206" s="5"/>
      <c r="DK206" s="4"/>
      <c r="DL206" s="6"/>
      <c r="DM206" s="4">
        <v>2</v>
      </c>
      <c r="DN206" s="6">
        <v>104.98</v>
      </c>
      <c r="DO206" s="5"/>
      <c r="DP206" s="5"/>
      <c r="DQ206" s="4"/>
      <c r="DR206" s="6"/>
      <c r="DS206" s="4">
        <v>7</v>
      </c>
      <c r="DT206" s="6">
        <v>264.39</v>
      </c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>
        <v>1</v>
      </c>
      <c r="EF206" s="6">
        <v>36.23</v>
      </c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>
        <v>3</v>
      </c>
      <c r="FV206" s="6">
        <v>109.06</v>
      </c>
      <c r="FW206" s="5"/>
      <c r="FX206" s="5"/>
      <c r="FY206" s="4"/>
      <c r="FZ206" s="6"/>
      <c r="GA206" s="4">
        <v>1</v>
      </c>
      <c r="GB206" s="6">
        <v>36.23</v>
      </c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  <c r="IA206" s="4"/>
      <c r="IB206" s="6"/>
      <c r="IC206" s="4"/>
      <c r="ID206" s="6"/>
      <c r="IE206" s="5"/>
      <c r="IF206" s="5"/>
      <c r="IG206" s="4"/>
      <c r="IH206" s="6"/>
      <c r="II206" s="4"/>
      <c r="IJ206" s="6"/>
      <c r="IK206" s="5"/>
      <c r="IL206" s="5"/>
      <c r="IM206" s="4"/>
      <c r="IN206" s="6"/>
      <c r="IO206" s="4"/>
      <c r="IP206" s="6"/>
      <c r="IQ206" s="5"/>
      <c r="IR206" s="5"/>
      <c r="IS206" s="4"/>
      <c r="IT206" s="6"/>
      <c r="IU206" s="4"/>
      <c r="IV206" s="6"/>
      <c r="IW206" s="5"/>
      <c r="IX206" s="5"/>
      <c r="IY206" s="4"/>
      <c r="IZ206" s="6"/>
      <c r="JA206" s="4"/>
      <c r="JB206" s="6"/>
      <c r="JC206" s="5"/>
      <c r="JD206" s="5"/>
      <c r="JE206" s="4"/>
      <c r="JF206" s="6"/>
      <c r="JG206" s="4"/>
      <c r="JH206" s="6"/>
      <c r="JI206" s="5"/>
      <c r="JJ206" s="5"/>
      <c r="JK206" s="4">
        <v>1</v>
      </c>
      <c r="JL206" s="4"/>
      <c r="JM206" s="4"/>
      <c r="JN206" s="4"/>
      <c r="JO206" s="4"/>
      <c r="JP206" s="4"/>
      <c r="JQ206" s="4"/>
      <c r="JR206" s="4"/>
      <c r="JS206" s="4"/>
      <c r="JT206" s="4"/>
      <c r="JU206" s="4"/>
      <c r="JV206" s="4"/>
      <c r="JW206" s="4"/>
      <c r="JX206" s="4"/>
      <c r="JY206" s="4"/>
      <c r="JZ206" s="4"/>
      <c r="KA206" s="4"/>
      <c r="KB206" s="4"/>
      <c r="KC206" s="4"/>
      <c r="KD206" s="4"/>
      <c r="KE206" s="4"/>
      <c r="KF206" s="4"/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/>
      <c r="LD206" s="4"/>
      <c r="LE206" s="4"/>
      <c r="LF206" s="4"/>
      <c r="LG206" s="4"/>
      <c r="LH206" s="4"/>
      <c r="LI206" s="4"/>
      <c r="LJ206" s="4"/>
      <c r="LK206" s="4"/>
      <c r="LL206" s="4"/>
      <c r="LM206" s="4"/>
    </row>
    <row r="207">
      <c r="A207" s="3" t="s">
        <v>136</v>
      </c>
      <c r="B207" s="3" t="s">
        <v>172</v>
      </c>
      <c r="C207" s="3" t="s">
        <v>138</v>
      </c>
      <c r="D207" s="3" t="s">
        <v>139</v>
      </c>
      <c r="E207" s="3" t="s">
        <v>174</v>
      </c>
      <c r="F207" s="3" t="s">
        <v>174</v>
      </c>
      <c r="G207" s="3" t="s">
        <v>174</v>
      </c>
      <c r="H207" s="3" t="s">
        <v>175</v>
      </c>
      <c r="I207" s="3" t="s">
        <v>282</v>
      </c>
      <c r="J207" s="3" t="s">
        <v>241</v>
      </c>
      <c r="K207" s="4"/>
      <c r="L207" s="4">
        <f>=ROUNDDOWN({0},0)</f>
      </c>
      <c r="M207" s="4"/>
      <c r="N207" s="5"/>
      <c r="O207" s="4"/>
      <c r="P207" s="4">
        <f>=ROUNDDOWN({0},0)</f>
      </c>
      <c r="Q207" s="4"/>
      <c r="R207" s="5"/>
      <c r="S207" s="4"/>
      <c r="T207" s="6"/>
      <c r="U207" s="4">
        <v>309</v>
      </c>
      <c r="V207" s="6">
        <v>9497.02</v>
      </c>
      <c r="W207" s="5"/>
      <c r="X207" s="5"/>
      <c r="Y207" s="4"/>
      <c r="Z207" s="6"/>
      <c r="AA207" s="4">
        <v>12</v>
      </c>
      <c r="AB207" s="6">
        <v>423.03</v>
      </c>
      <c r="AC207" s="5"/>
      <c r="AD207" s="5"/>
      <c r="AE207" s="4"/>
      <c r="AF207" s="6"/>
      <c r="AG207" s="4">
        <v>2</v>
      </c>
      <c r="AH207" s="6">
        <v>57.51</v>
      </c>
      <c r="AI207" s="5"/>
      <c r="AJ207" s="5"/>
      <c r="AK207" s="4"/>
      <c r="AL207" s="6"/>
      <c r="AM207" s="4"/>
      <c r="AN207" s="6"/>
      <c r="AO207" s="5"/>
      <c r="AP207" s="5"/>
      <c r="AQ207" s="4"/>
      <c r="AR207" s="6"/>
      <c r="AS207" s="4">
        <v>158</v>
      </c>
      <c r="AT207" s="6">
        <v>4669.67</v>
      </c>
      <c r="AU207" s="5"/>
      <c r="AV207" s="5"/>
      <c r="AW207" s="4"/>
      <c r="AX207" s="6"/>
      <c r="AY207" s="4">
        <v>16</v>
      </c>
      <c r="AZ207" s="6">
        <v>546.44</v>
      </c>
      <c r="BA207" s="5"/>
      <c r="BB207" s="5"/>
      <c r="BC207" s="4"/>
      <c r="BD207" s="6"/>
      <c r="BE207" s="4">
        <v>12</v>
      </c>
      <c r="BF207" s="6">
        <v>317.83</v>
      </c>
      <c r="BG207" s="5"/>
      <c r="BH207" s="5"/>
      <c r="BI207" s="4"/>
      <c r="BJ207" s="6"/>
      <c r="BK207" s="4">
        <v>41</v>
      </c>
      <c r="BL207" s="6">
        <v>1207.19</v>
      </c>
      <c r="BM207" s="5"/>
      <c r="BN207" s="5"/>
      <c r="BO207" s="4"/>
      <c r="BP207" s="6"/>
      <c r="BQ207" s="4"/>
      <c r="BR207" s="6"/>
      <c r="BS207" s="5"/>
      <c r="BT207" s="5"/>
      <c r="BU207" s="4"/>
      <c r="BV207" s="6"/>
      <c r="BW207" s="4">
        <v>4</v>
      </c>
      <c r="BX207" s="6">
        <v>134.32</v>
      </c>
      <c r="BY207" s="5"/>
      <c r="BZ207" s="5"/>
      <c r="CA207" s="4"/>
      <c r="CB207" s="6"/>
      <c r="CC207" s="4">
        <v>2</v>
      </c>
      <c r="CD207" s="6">
        <v>72.44</v>
      </c>
      <c r="CE207" s="5"/>
      <c r="CF207" s="5"/>
      <c r="CG207" s="4"/>
      <c r="CH207" s="6"/>
      <c r="CI207" s="4">
        <v>13</v>
      </c>
      <c r="CJ207" s="6">
        <v>476.05</v>
      </c>
      <c r="CK207" s="5"/>
      <c r="CL207" s="5"/>
      <c r="CM207" s="4"/>
      <c r="CN207" s="6"/>
      <c r="CO207" s="4"/>
      <c r="CP207" s="6"/>
      <c r="CQ207" s="5"/>
      <c r="CR207" s="5"/>
      <c r="CS207" s="4"/>
      <c r="CT207" s="6"/>
      <c r="CU207" s="4">
        <v>18</v>
      </c>
      <c r="CV207" s="6">
        <v>599.97</v>
      </c>
      <c r="CW207" s="5"/>
      <c r="CX207" s="5"/>
      <c r="CY207" s="4"/>
      <c r="CZ207" s="6"/>
      <c r="DA207" s="4">
        <v>18</v>
      </c>
      <c r="DB207" s="6">
        <v>443.04</v>
      </c>
      <c r="DC207" s="5"/>
      <c r="DD207" s="5"/>
      <c r="DE207" s="4"/>
      <c r="DF207" s="6"/>
      <c r="DG207" s="4"/>
      <c r="DH207" s="6"/>
      <c r="DI207" s="5"/>
      <c r="DJ207" s="5"/>
      <c r="DK207" s="4"/>
      <c r="DL207" s="6"/>
      <c r="DM207" s="4">
        <v>5</v>
      </c>
      <c r="DN207" s="6">
        <v>274.95</v>
      </c>
      <c r="DO207" s="5"/>
      <c r="DP207" s="5"/>
      <c r="DQ207" s="4"/>
      <c r="DR207" s="6"/>
      <c r="DS207" s="4">
        <v>5</v>
      </c>
      <c r="DT207" s="6">
        <v>177.41</v>
      </c>
      <c r="DU207" s="5"/>
      <c r="DV207" s="5"/>
      <c r="DW207" s="4"/>
      <c r="DX207" s="6"/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>
        <v>3</v>
      </c>
      <c r="FV207" s="6">
        <v>97.17</v>
      </c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  <c r="IA207" s="4"/>
      <c r="IB207" s="6"/>
      <c r="IC207" s="4"/>
      <c r="ID207" s="6"/>
      <c r="IE207" s="5"/>
      <c r="IF207" s="5"/>
      <c r="IG207" s="4"/>
      <c r="IH207" s="6"/>
      <c r="II207" s="4"/>
      <c r="IJ207" s="6"/>
      <c r="IK207" s="5"/>
      <c r="IL207" s="5"/>
      <c r="IM207" s="4"/>
      <c r="IN207" s="6"/>
      <c r="IO207" s="4"/>
      <c r="IP207" s="6"/>
      <c r="IQ207" s="5"/>
      <c r="IR207" s="5"/>
      <c r="IS207" s="4"/>
      <c r="IT207" s="6"/>
      <c r="IU207" s="4"/>
      <c r="IV207" s="6"/>
      <c r="IW207" s="5"/>
      <c r="IX207" s="5"/>
      <c r="IY207" s="4"/>
      <c r="IZ207" s="6"/>
      <c r="JA207" s="4"/>
      <c r="JB207" s="6"/>
      <c r="JC207" s="5"/>
      <c r="JD207" s="5"/>
      <c r="JE207" s="4"/>
      <c r="JF207" s="6"/>
      <c r="JG207" s="4"/>
      <c r="JH207" s="6"/>
      <c r="JI207" s="5"/>
      <c r="JJ207" s="5"/>
      <c r="JK207" s="4"/>
      <c r="JL207" s="4"/>
      <c r="JM207" s="4"/>
      <c r="JN207" s="4"/>
      <c r="JO207" s="4"/>
      <c r="JP207" s="4"/>
      <c r="JQ207" s="4"/>
      <c r="JR207" s="4"/>
      <c r="JS207" s="4"/>
      <c r="JT207" s="4"/>
      <c r="JU207" s="4"/>
      <c r="JV207" s="4"/>
      <c r="JW207" s="4"/>
      <c r="JX207" s="4"/>
      <c r="JY207" s="4"/>
      <c r="JZ207" s="4"/>
      <c r="KA207" s="4"/>
      <c r="KB207" s="4"/>
      <c r="KC207" s="4"/>
      <c r="KD207" s="4"/>
      <c r="KE207" s="4"/>
      <c r="KF207" s="4"/>
      <c r="KG207" s="4"/>
      <c r="KH207" s="4"/>
      <c r="KI207" s="4"/>
      <c r="KJ207" s="4"/>
      <c r="KK207" s="4"/>
      <c r="KL207" s="4"/>
      <c r="KM207" s="4"/>
      <c r="KN207" s="4"/>
      <c r="KO207" s="4"/>
      <c r="KP207" s="4"/>
      <c r="KQ207" s="4"/>
      <c r="KR207" s="4"/>
      <c r="KS207" s="4"/>
      <c r="KT207" s="4"/>
      <c r="KU207" s="4"/>
      <c r="KV207" s="4"/>
      <c r="KW207" s="4"/>
      <c r="KX207" s="4"/>
      <c r="KY207" s="4"/>
      <c r="KZ207" s="4"/>
      <c r="LA207" s="4"/>
      <c r="LB207" s="4"/>
      <c r="LC207" s="4"/>
      <c r="LD207" s="4"/>
      <c r="LE207" s="4"/>
      <c r="LF207" s="4"/>
      <c r="LG207" s="4"/>
      <c r="LH207" s="4"/>
      <c r="LI207" s="4"/>
      <c r="LJ207" s="4"/>
      <c r="LK207" s="4"/>
      <c r="LL207" s="4"/>
      <c r="LM207" s="4"/>
    </row>
    <row r="208">
      <c r="A208" s="3" t="s">
        <v>136</v>
      </c>
      <c r="B208" s="3" t="s">
        <v>172</v>
      </c>
      <c r="C208" s="3" t="s">
        <v>138</v>
      </c>
      <c r="D208" s="3" t="s">
        <v>139</v>
      </c>
      <c r="E208" s="3" t="s">
        <v>174</v>
      </c>
      <c r="F208" s="3" t="s">
        <v>174</v>
      </c>
      <c r="G208" s="3" t="s">
        <v>174</v>
      </c>
      <c r="H208" s="3" t="s">
        <v>175</v>
      </c>
      <c r="I208" s="3" t="s">
        <v>317</v>
      </c>
      <c r="J208" s="3" t="s">
        <v>243</v>
      </c>
      <c r="K208" s="4">
        <v>5</v>
      </c>
      <c r="L208" s="4">
        <f>=ROUNDDOWN(0.0666666666666667,0)</f>
      </c>
      <c r="M208" s="4">
        <v>600</v>
      </c>
      <c r="N208" s="5"/>
      <c r="O208" s="4"/>
      <c r="P208" s="4">
        <f>=ROUNDDOWN({0},0)</f>
      </c>
      <c r="Q208" s="4"/>
      <c r="R208" s="5"/>
      <c r="S208" s="4"/>
      <c r="T208" s="6"/>
      <c r="U208" s="4">
        <v>268</v>
      </c>
      <c r="V208" s="6">
        <v>8859.44</v>
      </c>
      <c r="W208" s="5"/>
      <c r="X208" s="5"/>
      <c r="Y208" s="4"/>
      <c r="Z208" s="6"/>
      <c r="AA208" s="4">
        <v>31</v>
      </c>
      <c r="AB208" s="6">
        <v>1068.19</v>
      </c>
      <c r="AC208" s="5"/>
      <c r="AD208" s="5"/>
      <c r="AE208" s="4"/>
      <c r="AF208" s="6"/>
      <c r="AG208" s="4">
        <v>4</v>
      </c>
      <c r="AH208" s="6">
        <v>138.44</v>
      </c>
      <c r="AI208" s="5"/>
      <c r="AJ208" s="5"/>
      <c r="AK208" s="4"/>
      <c r="AL208" s="6"/>
      <c r="AM208" s="4"/>
      <c r="AN208" s="6"/>
      <c r="AO208" s="5"/>
      <c r="AP208" s="5"/>
      <c r="AQ208" s="4"/>
      <c r="AR208" s="6"/>
      <c r="AS208" s="4">
        <v>135</v>
      </c>
      <c r="AT208" s="6">
        <v>4419.89</v>
      </c>
      <c r="AU208" s="5"/>
      <c r="AV208" s="5"/>
      <c r="AW208" s="4"/>
      <c r="AX208" s="6"/>
      <c r="AY208" s="4">
        <v>15</v>
      </c>
      <c r="AZ208" s="6">
        <v>527.4</v>
      </c>
      <c r="BA208" s="5"/>
      <c r="BB208" s="5"/>
      <c r="BC208" s="4"/>
      <c r="BD208" s="6"/>
      <c r="BE208" s="4"/>
      <c r="BF208" s="6"/>
      <c r="BG208" s="5"/>
      <c r="BH208" s="5"/>
      <c r="BI208" s="4"/>
      <c r="BJ208" s="6"/>
      <c r="BK208" s="4">
        <v>67</v>
      </c>
      <c r="BL208" s="6">
        <v>2137.29</v>
      </c>
      <c r="BM208" s="5"/>
      <c r="BN208" s="5"/>
      <c r="BO208" s="4"/>
      <c r="BP208" s="6"/>
      <c r="BQ208" s="4"/>
      <c r="BR208" s="6"/>
      <c r="BS208" s="5"/>
      <c r="BT208" s="5"/>
      <c r="BU208" s="4"/>
      <c r="BV208" s="6"/>
      <c r="BW208" s="4">
        <v>1</v>
      </c>
      <c r="BX208" s="6">
        <v>33.58</v>
      </c>
      <c r="BY208" s="5"/>
      <c r="BZ208" s="5"/>
      <c r="CA208" s="4"/>
      <c r="CB208" s="6"/>
      <c r="CC208" s="4">
        <v>2</v>
      </c>
      <c r="CD208" s="6">
        <v>65.82</v>
      </c>
      <c r="CE208" s="5"/>
      <c r="CF208" s="5"/>
      <c r="CG208" s="4"/>
      <c r="CH208" s="6"/>
      <c r="CI208" s="4">
        <v>4</v>
      </c>
      <c r="CJ208" s="6">
        <v>129.08</v>
      </c>
      <c r="CK208" s="5"/>
      <c r="CL208" s="5"/>
      <c r="CM208" s="4"/>
      <c r="CN208" s="6"/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>
        <v>4</v>
      </c>
      <c r="DB208" s="6">
        <v>129.04</v>
      </c>
      <c r="DC208" s="5"/>
      <c r="DD208" s="5"/>
      <c r="DE208" s="4"/>
      <c r="DF208" s="6"/>
      <c r="DG208" s="4"/>
      <c r="DH208" s="6"/>
      <c r="DI208" s="5"/>
      <c r="DJ208" s="5"/>
      <c r="DK208" s="4"/>
      <c r="DL208" s="6"/>
      <c r="DM208" s="4">
        <v>1</v>
      </c>
      <c r="DN208" s="6">
        <v>69.99</v>
      </c>
      <c r="DO208" s="5"/>
      <c r="DP208" s="5"/>
      <c r="DQ208" s="4"/>
      <c r="DR208" s="6"/>
      <c r="DS208" s="4"/>
      <c r="DT208" s="6"/>
      <c r="DU208" s="5"/>
      <c r="DV208" s="5"/>
      <c r="DW208" s="4"/>
      <c r="DX208" s="6"/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>
        <v>4</v>
      </c>
      <c r="FV208" s="6">
        <v>140.72</v>
      </c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  <c r="IA208" s="4"/>
      <c r="IB208" s="6"/>
      <c r="IC208" s="4"/>
      <c r="ID208" s="6"/>
      <c r="IE208" s="5"/>
      <c r="IF208" s="5"/>
      <c r="IG208" s="4"/>
      <c r="IH208" s="6"/>
      <c r="II208" s="4"/>
      <c r="IJ208" s="6"/>
      <c r="IK208" s="5"/>
      <c r="IL208" s="5"/>
      <c r="IM208" s="4"/>
      <c r="IN208" s="6"/>
      <c r="IO208" s="4"/>
      <c r="IP208" s="6"/>
      <c r="IQ208" s="5"/>
      <c r="IR208" s="5"/>
      <c r="IS208" s="4"/>
      <c r="IT208" s="6"/>
      <c r="IU208" s="4"/>
      <c r="IV208" s="6"/>
      <c r="IW208" s="5"/>
      <c r="IX208" s="5"/>
      <c r="IY208" s="4"/>
      <c r="IZ208" s="6"/>
      <c r="JA208" s="4"/>
      <c r="JB208" s="6"/>
      <c r="JC208" s="5"/>
      <c r="JD208" s="5"/>
      <c r="JE208" s="4"/>
      <c r="JF208" s="6"/>
      <c r="JG208" s="4"/>
      <c r="JH208" s="6"/>
      <c r="JI208" s="5"/>
      <c r="JJ208" s="5"/>
      <c r="JK208" s="4">
        <v>5</v>
      </c>
      <c r="JL208" s="4"/>
      <c r="JM208" s="4"/>
      <c r="JN208" s="4"/>
      <c r="JO208" s="4"/>
      <c r="JP208" s="4"/>
      <c r="JQ208" s="4"/>
      <c r="JR208" s="4"/>
      <c r="JS208" s="4"/>
      <c r="JT208" s="4"/>
      <c r="JU208" s="4"/>
      <c r="JV208" s="4"/>
      <c r="JW208" s="4"/>
      <c r="JX208" s="4"/>
      <c r="JY208" s="4"/>
      <c r="JZ208" s="4"/>
      <c r="KA208" s="4"/>
      <c r="KB208" s="4"/>
      <c r="KC208" s="4"/>
      <c r="KD208" s="4"/>
      <c r="KE208" s="4"/>
      <c r="KF208" s="4"/>
      <c r="KG208" s="4"/>
      <c r="KH208" s="4"/>
      <c r="KI208" s="4"/>
      <c r="KJ208" s="4"/>
      <c r="KK208" s="4"/>
      <c r="KL208" s="4"/>
      <c r="KM208" s="4"/>
      <c r="KN208" s="4"/>
      <c r="KO208" s="4"/>
      <c r="KP208" s="4"/>
      <c r="KQ208" s="4"/>
      <c r="KR208" s="4"/>
      <c r="KS208" s="4"/>
      <c r="KT208" s="4"/>
      <c r="KU208" s="4"/>
      <c r="KV208" s="4"/>
      <c r="KW208" s="4"/>
      <c r="KX208" s="4"/>
      <c r="KY208" s="4"/>
      <c r="KZ208" s="4"/>
      <c r="LA208" s="4"/>
      <c r="LB208" s="4"/>
      <c r="LC208" s="4"/>
      <c r="LD208" s="4"/>
      <c r="LE208" s="4">
        <v>600</v>
      </c>
      <c r="LF208" s="4"/>
      <c r="LG208" s="4"/>
      <c r="LH208" s="4"/>
      <c r="LI208" s="4"/>
      <c r="LJ208" s="4"/>
      <c r="LK208" s="4"/>
      <c r="LL208" s="4"/>
      <c r="LM208" s="4"/>
    </row>
    <row r="209">
      <c r="A209" s="3" t="s">
        <v>136</v>
      </c>
      <c r="B209" s="3" t="s">
        <v>172</v>
      </c>
      <c r="C209" s="3" t="s">
        <v>138</v>
      </c>
      <c r="D209" s="3" t="s">
        <v>139</v>
      </c>
      <c r="E209" s="3" t="s">
        <v>174</v>
      </c>
      <c r="F209" s="3" t="s">
        <v>174</v>
      </c>
      <c r="G209" s="3" t="s">
        <v>174</v>
      </c>
      <c r="H209" s="3" t="s">
        <v>175</v>
      </c>
      <c r="I209" s="3" t="s">
        <v>318</v>
      </c>
      <c r="J209" s="3" t="s">
        <v>241</v>
      </c>
      <c r="K209" s="4"/>
      <c r="L209" s="4">
        <f>=ROUNDDOWN({0},0)</f>
      </c>
      <c r="M209" s="4"/>
      <c r="N209" s="5"/>
      <c r="O209" s="4"/>
      <c r="P209" s="4">
        <f>=ROUNDDOWN({0},0)</f>
      </c>
      <c r="Q209" s="4"/>
      <c r="R209" s="5"/>
      <c r="S209" s="4"/>
      <c r="T209" s="6"/>
      <c r="U209" s="4">
        <v>156</v>
      </c>
      <c r="V209" s="6">
        <v>5433.52</v>
      </c>
      <c r="W209" s="5"/>
      <c r="X209" s="5"/>
      <c r="Y209" s="4"/>
      <c r="Z209" s="6"/>
      <c r="AA209" s="4">
        <v>16</v>
      </c>
      <c r="AB209" s="6">
        <v>582.89</v>
      </c>
      <c r="AC209" s="5"/>
      <c r="AD209" s="5"/>
      <c r="AE209" s="4"/>
      <c r="AF209" s="6"/>
      <c r="AG209" s="4">
        <v>1</v>
      </c>
      <c r="AH209" s="6">
        <v>34.77</v>
      </c>
      <c r="AI209" s="5"/>
      <c r="AJ209" s="5"/>
      <c r="AK209" s="4"/>
      <c r="AL209" s="6"/>
      <c r="AM209" s="4"/>
      <c r="AN209" s="6"/>
      <c r="AO209" s="5"/>
      <c r="AP209" s="5"/>
      <c r="AQ209" s="4"/>
      <c r="AR209" s="6"/>
      <c r="AS209" s="4">
        <v>80</v>
      </c>
      <c r="AT209" s="6">
        <v>2790.5</v>
      </c>
      <c r="AU209" s="5"/>
      <c r="AV209" s="5"/>
      <c r="AW209" s="4"/>
      <c r="AX209" s="6"/>
      <c r="AY209" s="4">
        <v>23</v>
      </c>
      <c r="AZ209" s="6">
        <v>822.18</v>
      </c>
      <c r="BA209" s="5"/>
      <c r="BB209" s="5"/>
      <c r="BC209" s="4"/>
      <c r="BD209" s="6"/>
      <c r="BE209" s="4"/>
      <c r="BF209" s="6"/>
      <c r="BG209" s="5"/>
      <c r="BH209" s="5"/>
      <c r="BI209" s="4"/>
      <c r="BJ209" s="6"/>
      <c r="BK209" s="4">
        <v>29</v>
      </c>
      <c r="BL209" s="6">
        <v>950.99</v>
      </c>
      <c r="BM209" s="5"/>
      <c r="BN209" s="5"/>
      <c r="BO209" s="4"/>
      <c r="BP209" s="6"/>
      <c r="BQ209" s="4"/>
      <c r="BR209" s="6"/>
      <c r="BS209" s="5"/>
      <c r="BT209" s="5"/>
      <c r="BU209" s="4"/>
      <c r="BV209" s="6"/>
      <c r="BW209" s="4"/>
      <c r="BX209" s="6"/>
      <c r="BY209" s="5"/>
      <c r="BZ209" s="5"/>
      <c r="CA209" s="4"/>
      <c r="CB209" s="6"/>
      <c r="CC209" s="4">
        <v>4</v>
      </c>
      <c r="CD209" s="6">
        <v>144.88</v>
      </c>
      <c r="CE209" s="5"/>
      <c r="CF209" s="5"/>
      <c r="CG209" s="4"/>
      <c r="CH209" s="6"/>
      <c r="CI209" s="4">
        <v>3</v>
      </c>
      <c r="CJ209" s="6">
        <v>107.31</v>
      </c>
      <c r="CK209" s="5"/>
      <c r="CL209" s="5"/>
      <c r="CM209" s="4"/>
      <c r="CN209" s="6"/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  <c r="IA209" s="4"/>
      <c r="IB209" s="6"/>
      <c r="IC209" s="4"/>
      <c r="ID209" s="6"/>
      <c r="IE209" s="5"/>
      <c r="IF209" s="5"/>
      <c r="IG209" s="4"/>
      <c r="IH209" s="6"/>
      <c r="II209" s="4"/>
      <c r="IJ209" s="6"/>
      <c r="IK209" s="5"/>
      <c r="IL209" s="5"/>
      <c r="IM209" s="4"/>
      <c r="IN209" s="6"/>
      <c r="IO209" s="4"/>
      <c r="IP209" s="6"/>
      <c r="IQ209" s="5"/>
      <c r="IR209" s="5"/>
      <c r="IS209" s="4"/>
      <c r="IT209" s="6"/>
      <c r="IU209" s="4"/>
      <c r="IV209" s="6"/>
      <c r="IW209" s="5"/>
      <c r="IX209" s="5"/>
      <c r="IY209" s="4"/>
      <c r="IZ209" s="6"/>
      <c r="JA209" s="4"/>
      <c r="JB209" s="6"/>
      <c r="JC209" s="5"/>
      <c r="JD209" s="5"/>
      <c r="JE209" s="4"/>
      <c r="JF209" s="6"/>
      <c r="JG209" s="4"/>
      <c r="JH209" s="6"/>
      <c r="JI209" s="5"/>
      <c r="JJ209" s="5"/>
      <c r="JK209" s="4"/>
      <c r="JL209" s="4"/>
      <c r="JM209" s="4"/>
      <c r="JN209" s="4"/>
      <c r="JO209" s="4"/>
      <c r="JP209" s="4"/>
      <c r="JQ209" s="4"/>
      <c r="JR209" s="4"/>
      <c r="JS209" s="4"/>
      <c r="JT209" s="4"/>
      <c r="JU209" s="4"/>
      <c r="JV209" s="4"/>
      <c r="JW209" s="4"/>
      <c r="JX209" s="4"/>
      <c r="JY209" s="4"/>
      <c r="JZ209" s="4"/>
      <c r="KA209" s="4"/>
      <c r="KB209" s="4"/>
      <c r="KC209" s="4"/>
      <c r="KD209" s="4"/>
      <c r="KE209" s="4"/>
      <c r="KF209" s="4"/>
      <c r="KG209" s="4"/>
      <c r="KH209" s="4"/>
      <c r="KI209" s="4"/>
      <c r="KJ209" s="4"/>
      <c r="KK209" s="4"/>
      <c r="KL209" s="4"/>
      <c r="KM209" s="4"/>
      <c r="KN209" s="4"/>
      <c r="KO209" s="4"/>
      <c r="KP209" s="4"/>
      <c r="KQ209" s="4"/>
      <c r="KR209" s="4"/>
      <c r="KS209" s="4"/>
      <c r="KT209" s="4"/>
      <c r="KU209" s="4"/>
      <c r="KV209" s="4"/>
      <c r="KW209" s="4"/>
      <c r="KX209" s="4"/>
      <c r="KY209" s="4"/>
      <c r="KZ209" s="4"/>
      <c r="LA209" s="4"/>
      <c r="LB209" s="4"/>
      <c r="LC209" s="4"/>
      <c r="LD209" s="4"/>
      <c r="LE209" s="4"/>
      <c r="LF209" s="4"/>
      <c r="LG209" s="4"/>
      <c r="LH209" s="4"/>
      <c r="LI209" s="4"/>
      <c r="LJ209" s="4"/>
      <c r="LK209" s="4"/>
      <c r="LL209" s="4"/>
      <c r="LM209" s="4"/>
    </row>
    <row r="210">
      <c r="A210" s="3" t="s">
        <v>136</v>
      </c>
      <c r="B210" s="3" t="s">
        <v>172</v>
      </c>
      <c r="C210" s="3" t="s">
        <v>138</v>
      </c>
      <c r="D210" s="3" t="s">
        <v>139</v>
      </c>
      <c r="E210" s="3" t="s">
        <v>176</v>
      </c>
      <c r="F210" s="3" t="s">
        <v>176</v>
      </c>
      <c r="G210" s="3" t="s">
        <v>176</v>
      </c>
      <c r="H210" s="3" t="s">
        <v>177</v>
      </c>
      <c r="I210" s="3" t="s">
        <v>233</v>
      </c>
      <c r="J210" s="3" t="s">
        <v>241</v>
      </c>
      <c r="K210" s="4">
        <v>267</v>
      </c>
      <c r="L210" s="4">
        <f>=ROUNDDOWN(2.53320683111954,0)</f>
      </c>
      <c r="M210" s="4"/>
      <c r="N210" s="5"/>
      <c r="O210" s="4"/>
      <c r="P210" s="4">
        <f>=ROUNDDOWN({0},0)</f>
      </c>
      <c r="Q210" s="4"/>
      <c r="R210" s="5"/>
      <c r="S210" s="4">
        <v>397</v>
      </c>
      <c r="T210" s="6">
        <v>12264.07</v>
      </c>
      <c r="U210" s="4">
        <v>127</v>
      </c>
      <c r="V210" s="6">
        <v>3949.78</v>
      </c>
      <c r="W210" s="5">
        <v>2.126</v>
      </c>
      <c r="X210" s="5">
        <v>2.105</v>
      </c>
      <c r="Y210" s="4">
        <v>36</v>
      </c>
      <c r="Z210" s="6">
        <v>1234.62</v>
      </c>
      <c r="AA210" s="4">
        <v>14</v>
      </c>
      <c r="AB210" s="6">
        <v>445.28</v>
      </c>
      <c r="AC210" s="5">
        <v>1.5714</v>
      </c>
      <c r="AD210" s="5">
        <v>1.7727</v>
      </c>
      <c r="AE210" s="4">
        <v>12</v>
      </c>
      <c r="AF210" s="6">
        <v>449.04</v>
      </c>
      <c r="AG210" s="4">
        <v>2</v>
      </c>
      <c r="AH210" s="6">
        <v>63.69</v>
      </c>
      <c r="AI210" s="5">
        <v>5</v>
      </c>
      <c r="AJ210" s="5">
        <v>6.0504</v>
      </c>
      <c r="AK210" s="4"/>
      <c r="AL210" s="6"/>
      <c r="AM210" s="4"/>
      <c r="AN210" s="6"/>
      <c r="AO210" s="5"/>
      <c r="AP210" s="5"/>
      <c r="AQ210" s="4">
        <v>53</v>
      </c>
      <c r="AR210" s="6">
        <v>1707.75</v>
      </c>
      <c r="AS210" s="4">
        <v>10</v>
      </c>
      <c r="AT210" s="6">
        <v>328.9</v>
      </c>
      <c r="AU210" s="5">
        <v>4.3</v>
      </c>
      <c r="AV210" s="5">
        <v>4.1923</v>
      </c>
      <c r="AW210" s="4">
        <v>2</v>
      </c>
      <c r="AX210" s="6">
        <v>69.3</v>
      </c>
      <c r="AY210" s="4">
        <v>1</v>
      </c>
      <c r="AZ210" s="6">
        <v>38.04</v>
      </c>
      <c r="BA210" s="5">
        <v>1</v>
      </c>
      <c r="BB210" s="5">
        <v>0.8218</v>
      </c>
      <c r="BC210" s="4">
        <v>54</v>
      </c>
      <c r="BD210" s="6">
        <v>1487.81</v>
      </c>
      <c r="BE210" s="4"/>
      <c r="BF210" s="6"/>
      <c r="BG210" s="5"/>
      <c r="BH210" s="5"/>
      <c r="BI210" s="4">
        <v>154</v>
      </c>
      <c r="BJ210" s="6">
        <v>4908.93</v>
      </c>
      <c r="BK210" s="4">
        <v>63</v>
      </c>
      <c r="BL210" s="6">
        <v>1915.25</v>
      </c>
      <c r="BM210" s="5">
        <v>1.4444</v>
      </c>
      <c r="BN210" s="5">
        <v>1.5631</v>
      </c>
      <c r="BO210" s="4">
        <v>15</v>
      </c>
      <c r="BP210" s="6">
        <v>431.74</v>
      </c>
      <c r="BQ210" s="4">
        <v>14</v>
      </c>
      <c r="BR210" s="6">
        <v>414.26</v>
      </c>
      <c r="BS210" s="5">
        <v>0.0714</v>
      </c>
      <c r="BT210" s="5">
        <v>0.0422</v>
      </c>
      <c r="BU210" s="4">
        <v>1</v>
      </c>
      <c r="BV210" s="6">
        <v>21.81</v>
      </c>
      <c r="BW210" s="4"/>
      <c r="BX210" s="6"/>
      <c r="BY210" s="5"/>
      <c r="BZ210" s="5"/>
      <c r="CA210" s="4">
        <v>1</v>
      </c>
      <c r="CB210" s="6">
        <v>29.76</v>
      </c>
      <c r="CC210" s="4">
        <v>12</v>
      </c>
      <c r="CD210" s="6">
        <v>408.8</v>
      </c>
      <c r="CE210" s="5">
        <v>-0.9167</v>
      </c>
      <c r="CF210" s="5">
        <v>-0.9272</v>
      </c>
      <c r="CG210" s="4">
        <v>69</v>
      </c>
      <c r="CH210" s="6">
        <v>1923.31</v>
      </c>
      <c r="CI210" s="4">
        <v>8</v>
      </c>
      <c r="CJ210" s="6">
        <v>236.81</v>
      </c>
      <c r="CK210" s="5">
        <v>7.625</v>
      </c>
      <c r="CL210" s="5">
        <v>7.1217</v>
      </c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/>
      <c r="DX210" s="6"/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>
        <v>1</v>
      </c>
      <c r="EX210" s="6">
        <v>30.16</v>
      </c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>
        <v>1</v>
      </c>
      <c r="FV210" s="6">
        <v>42.03</v>
      </c>
      <c r="FW210" s="5"/>
      <c r="FX210" s="5"/>
      <c r="FY210" s="4"/>
      <c r="FZ210" s="6"/>
      <c r="GA210" s="4">
        <v>1</v>
      </c>
      <c r="GB210" s="6">
        <v>26.56</v>
      </c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  <c r="IA210" s="4"/>
      <c r="IB210" s="6"/>
      <c r="IC210" s="4"/>
      <c r="ID210" s="6"/>
      <c r="IE210" s="5"/>
      <c r="IF210" s="5"/>
      <c r="IG210" s="4"/>
      <c r="IH210" s="6"/>
      <c r="II210" s="4"/>
      <c r="IJ210" s="6"/>
      <c r="IK210" s="5"/>
      <c r="IL210" s="5"/>
      <c r="IM210" s="4"/>
      <c r="IN210" s="6"/>
      <c r="IO210" s="4"/>
      <c r="IP210" s="6"/>
      <c r="IQ210" s="5"/>
      <c r="IR210" s="5"/>
      <c r="IS210" s="4"/>
      <c r="IT210" s="6"/>
      <c r="IU210" s="4"/>
      <c r="IV210" s="6"/>
      <c r="IW210" s="5"/>
      <c r="IX210" s="5"/>
      <c r="IY210" s="4"/>
      <c r="IZ210" s="6"/>
      <c r="JA210" s="4"/>
      <c r="JB210" s="6"/>
      <c r="JC210" s="5"/>
      <c r="JD210" s="5"/>
      <c r="JE210" s="4"/>
      <c r="JF210" s="6"/>
      <c r="JG210" s="4"/>
      <c r="JH210" s="6"/>
      <c r="JI210" s="5"/>
      <c r="JJ210" s="5"/>
      <c r="JK210" s="4">
        <v>267</v>
      </c>
      <c r="JL210" s="4"/>
      <c r="JM210" s="4"/>
      <c r="JN210" s="4"/>
      <c r="JO210" s="4"/>
      <c r="JP210" s="4"/>
      <c r="JQ210" s="4"/>
      <c r="JR210" s="4"/>
      <c r="JS210" s="4"/>
      <c r="JT210" s="4"/>
      <c r="JU210" s="4"/>
      <c r="JV210" s="4"/>
      <c r="JW210" s="4"/>
      <c r="JX210" s="4"/>
      <c r="JY210" s="4"/>
      <c r="JZ210" s="4"/>
      <c r="KA210" s="4"/>
      <c r="KB210" s="4"/>
      <c r="KC210" s="4"/>
      <c r="KD210" s="4"/>
      <c r="KE210" s="4"/>
      <c r="KF210" s="4"/>
      <c r="KG210" s="4"/>
      <c r="KH210" s="4"/>
      <c r="KI210" s="4"/>
      <c r="KJ210" s="4"/>
      <c r="KK210" s="4"/>
      <c r="KL210" s="4"/>
      <c r="KM210" s="4"/>
      <c r="KN210" s="4"/>
      <c r="KO210" s="4"/>
      <c r="KP210" s="4"/>
      <c r="KQ210" s="4"/>
      <c r="KR210" s="4"/>
      <c r="KS210" s="4"/>
      <c r="KT210" s="4"/>
      <c r="KU210" s="4"/>
      <c r="KV210" s="4"/>
      <c r="KW210" s="4"/>
      <c r="KX210" s="4"/>
      <c r="KY210" s="4"/>
      <c r="KZ210" s="4"/>
      <c r="LA210" s="4"/>
      <c r="LB210" s="4"/>
      <c r="LC210" s="4"/>
      <c r="LD210" s="4"/>
      <c r="LE210" s="4"/>
      <c r="LF210" s="4"/>
      <c r="LG210" s="4"/>
      <c r="LH210" s="4"/>
      <c r="LI210" s="4"/>
      <c r="LJ210" s="4"/>
      <c r="LK210" s="4"/>
      <c r="LL210" s="4"/>
      <c r="LM210" s="4"/>
    </row>
    <row r="211">
      <c r="A211" s="3" t="s">
        <v>136</v>
      </c>
      <c r="B211" s="3" t="s">
        <v>172</v>
      </c>
      <c r="C211" s="3" t="s">
        <v>138</v>
      </c>
      <c r="D211" s="3" t="s">
        <v>139</v>
      </c>
      <c r="E211" s="3" t="s">
        <v>176</v>
      </c>
      <c r="F211" s="3" t="s">
        <v>176</v>
      </c>
      <c r="G211" s="3" t="s">
        <v>176</v>
      </c>
      <c r="H211" s="3" t="s">
        <v>177</v>
      </c>
      <c r="I211" s="3" t="s">
        <v>230</v>
      </c>
      <c r="J211" s="3" t="s">
        <v>259</v>
      </c>
      <c r="K211" s="4">
        <v>628</v>
      </c>
      <c r="L211" s="4">
        <f>=ROUNDDOWN(2.09333333333333,0)</f>
      </c>
      <c r="M211" s="4">
        <v>2100</v>
      </c>
      <c r="N211" s="5">
        <v>0.6487</v>
      </c>
      <c r="O211" s="4"/>
      <c r="P211" s="4">
        <f>=ROUNDDOWN({0},0)</f>
      </c>
      <c r="Q211" s="4"/>
      <c r="R211" s="5"/>
      <c r="S211" s="4">
        <v>352</v>
      </c>
      <c r="T211" s="6">
        <v>10482.31</v>
      </c>
      <c r="U211" s="4">
        <v>1283</v>
      </c>
      <c r="V211" s="6">
        <v>34888.31</v>
      </c>
      <c r="W211" s="5">
        <v>-0.7256</v>
      </c>
      <c r="X211" s="5">
        <v>-0.6995</v>
      </c>
      <c r="Y211" s="4">
        <v>20</v>
      </c>
      <c r="Z211" s="6">
        <v>629.57</v>
      </c>
      <c r="AA211" s="4">
        <v>18</v>
      </c>
      <c r="AB211" s="6">
        <v>503.3</v>
      </c>
      <c r="AC211" s="5">
        <v>0.1111</v>
      </c>
      <c r="AD211" s="5">
        <v>0.2509</v>
      </c>
      <c r="AE211" s="4">
        <v>9</v>
      </c>
      <c r="AF211" s="6">
        <v>298.27</v>
      </c>
      <c r="AG211" s="4">
        <v>12</v>
      </c>
      <c r="AH211" s="6">
        <v>402.21</v>
      </c>
      <c r="AI211" s="5">
        <v>-0.25</v>
      </c>
      <c r="AJ211" s="5">
        <v>-0.2584</v>
      </c>
      <c r="AK211" s="4"/>
      <c r="AL211" s="6"/>
      <c r="AM211" s="4"/>
      <c r="AN211" s="6"/>
      <c r="AO211" s="5"/>
      <c r="AP211" s="5"/>
      <c r="AQ211" s="4">
        <v>200</v>
      </c>
      <c r="AR211" s="6">
        <v>5925.48</v>
      </c>
      <c r="AS211" s="4">
        <v>985</v>
      </c>
      <c r="AT211" s="6">
        <v>25812.05</v>
      </c>
      <c r="AU211" s="5">
        <v>-0.797</v>
      </c>
      <c r="AV211" s="5">
        <v>-0.7704</v>
      </c>
      <c r="AW211" s="4">
        <v>3</v>
      </c>
      <c r="AX211" s="6">
        <v>97.19</v>
      </c>
      <c r="AY211" s="4">
        <v>3</v>
      </c>
      <c r="AZ211" s="6">
        <v>103.97</v>
      </c>
      <c r="BA211" s="5"/>
      <c r="BB211" s="5">
        <v>-0.0652</v>
      </c>
      <c r="BC211" s="4"/>
      <c r="BD211" s="6"/>
      <c r="BE211" s="4"/>
      <c r="BF211" s="6"/>
      <c r="BG211" s="5"/>
      <c r="BH211" s="5"/>
      <c r="BI211" s="4">
        <v>77</v>
      </c>
      <c r="BJ211" s="6">
        <v>2135.13</v>
      </c>
      <c r="BK211" s="4">
        <v>112</v>
      </c>
      <c r="BL211" s="6">
        <v>3722.17</v>
      </c>
      <c r="BM211" s="5">
        <v>-0.3125</v>
      </c>
      <c r="BN211" s="5">
        <v>-0.4264</v>
      </c>
      <c r="BO211" s="4">
        <v>6</v>
      </c>
      <c r="BP211" s="6">
        <v>171.23</v>
      </c>
      <c r="BQ211" s="4">
        <v>45</v>
      </c>
      <c r="BR211" s="6">
        <v>1251.23</v>
      </c>
      <c r="BS211" s="5">
        <v>-0.8667</v>
      </c>
      <c r="BT211" s="5">
        <v>-0.8632</v>
      </c>
      <c r="BU211" s="4">
        <v>1</v>
      </c>
      <c r="BV211" s="6">
        <v>26.57</v>
      </c>
      <c r="BW211" s="4">
        <v>4</v>
      </c>
      <c r="BX211" s="6">
        <v>114</v>
      </c>
      <c r="BY211" s="5">
        <v>-0.75</v>
      </c>
      <c r="BZ211" s="5">
        <v>-0.7669</v>
      </c>
      <c r="CA211" s="4">
        <v>21</v>
      </c>
      <c r="CB211" s="6">
        <v>631.71</v>
      </c>
      <c r="CC211" s="4">
        <v>37</v>
      </c>
      <c r="CD211" s="6">
        <v>1150.84</v>
      </c>
      <c r="CE211" s="5">
        <v>-0.4324</v>
      </c>
      <c r="CF211" s="5">
        <v>-0.4511</v>
      </c>
      <c r="CG211" s="4">
        <v>12</v>
      </c>
      <c r="CH211" s="6">
        <v>432.09</v>
      </c>
      <c r="CI211" s="4">
        <v>48</v>
      </c>
      <c r="CJ211" s="6">
        <v>1195.75</v>
      </c>
      <c r="CK211" s="5">
        <v>-0.75</v>
      </c>
      <c r="CL211" s="5">
        <v>-0.6386</v>
      </c>
      <c r="CM211" s="4"/>
      <c r="CN211" s="6"/>
      <c r="CO211" s="4"/>
      <c r="CP211" s="6"/>
      <c r="CQ211" s="5"/>
      <c r="CR211" s="5"/>
      <c r="CS211" s="4"/>
      <c r="CT211" s="6"/>
      <c r="CU211" s="4"/>
      <c r="CV211" s="6"/>
      <c r="CW211" s="5"/>
      <c r="CX211" s="5"/>
      <c r="CY211" s="4">
        <v>1</v>
      </c>
      <c r="CZ211" s="6">
        <v>28.35</v>
      </c>
      <c r="DA211" s="4">
        <v>2</v>
      </c>
      <c r="DB211" s="6">
        <v>39.7</v>
      </c>
      <c r="DC211" s="5">
        <v>-0.5</v>
      </c>
      <c r="DD211" s="5">
        <v>-0.2859</v>
      </c>
      <c r="DE211" s="4"/>
      <c r="DF211" s="6"/>
      <c r="DG211" s="4"/>
      <c r="DH211" s="6"/>
      <c r="DI211" s="5"/>
      <c r="DJ211" s="5"/>
      <c r="DK211" s="4">
        <v>1</v>
      </c>
      <c r="DL211" s="6">
        <v>70.49</v>
      </c>
      <c r="DM211" s="4">
        <v>1</v>
      </c>
      <c r="DN211" s="6">
        <v>69.99</v>
      </c>
      <c r="DO211" s="5"/>
      <c r="DP211" s="5">
        <v>0.0071</v>
      </c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>
        <v>1</v>
      </c>
      <c r="ED211" s="6">
        <v>36.23</v>
      </c>
      <c r="EE211" s="4"/>
      <c r="EF211" s="6"/>
      <c r="EG211" s="5"/>
      <c r="EH211" s="5"/>
      <c r="EI211" s="4"/>
      <c r="EJ211" s="6"/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>
        <v>4</v>
      </c>
      <c r="EX211" s="6">
        <v>120.63</v>
      </c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>
        <v>12</v>
      </c>
      <c r="FV211" s="6">
        <v>402.47</v>
      </c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  <c r="IA211" s="4"/>
      <c r="IB211" s="6"/>
      <c r="IC211" s="4"/>
      <c r="ID211" s="6"/>
      <c r="IE211" s="5"/>
      <c r="IF211" s="5"/>
      <c r="IG211" s="4"/>
      <c r="IH211" s="6"/>
      <c r="II211" s="4"/>
      <c r="IJ211" s="6"/>
      <c r="IK211" s="5"/>
      <c r="IL211" s="5"/>
      <c r="IM211" s="4"/>
      <c r="IN211" s="6"/>
      <c r="IO211" s="4"/>
      <c r="IP211" s="6"/>
      <c r="IQ211" s="5"/>
      <c r="IR211" s="5"/>
      <c r="IS211" s="4"/>
      <c r="IT211" s="6"/>
      <c r="IU211" s="4"/>
      <c r="IV211" s="6"/>
      <c r="IW211" s="5"/>
      <c r="IX211" s="5"/>
      <c r="IY211" s="4"/>
      <c r="IZ211" s="6"/>
      <c r="JA211" s="4"/>
      <c r="JB211" s="6"/>
      <c r="JC211" s="5"/>
      <c r="JD211" s="5"/>
      <c r="JE211" s="4"/>
      <c r="JF211" s="6"/>
      <c r="JG211" s="4"/>
      <c r="JH211" s="6"/>
      <c r="JI211" s="5"/>
      <c r="JJ211" s="5"/>
      <c r="JK211" s="4">
        <v>628</v>
      </c>
      <c r="JL211" s="4"/>
      <c r="JM211" s="4"/>
      <c r="JN211" s="4"/>
      <c r="JO211" s="4"/>
      <c r="JP211" s="4"/>
      <c r="JQ211" s="4"/>
      <c r="JR211" s="4"/>
      <c r="JS211" s="4"/>
      <c r="JT211" s="4"/>
      <c r="JU211" s="4"/>
      <c r="JV211" s="4"/>
      <c r="JW211" s="4"/>
      <c r="JX211" s="4"/>
      <c r="JY211" s="4"/>
      <c r="JZ211" s="4"/>
      <c r="KA211" s="4"/>
      <c r="KB211" s="4"/>
      <c r="KC211" s="4"/>
      <c r="KD211" s="4"/>
      <c r="KE211" s="4"/>
      <c r="KF211" s="4"/>
      <c r="KG211" s="4"/>
      <c r="KH211" s="4"/>
      <c r="KI211" s="4"/>
      <c r="KJ211" s="4"/>
      <c r="KK211" s="4"/>
      <c r="KL211" s="4"/>
      <c r="KM211" s="4"/>
      <c r="KN211" s="4"/>
      <c r="KO211" s="4"/>
      <c r="KP211" s="4"/>
      <c r="KQ211" s="4"/>
      <c r="KR211" s="4"/>
      <c r="KS211" s="4"/>
      <c r="KT211" s="4"/>
      <c r="KU211" s="4"/>
      <c r="KV211" s="4"/>
      <c r="KW211" s="4"/>
      <c r="KX211" s="4"/>
      <c r="KY211" s="4"/>
      <c r="KZ211" s="4"/>
      <c r="LA211" s="4"/>
      <c r="LB211" s="4"/>
      <c r="LC211" s="4"/>
      <c r="LD211" s="4"/>
      <c r="LE211" s="4">
        <v>2100</v>
      </c>
      <c r="LF211" s="4"/>
      <c r="LG211" s="4"/>
      <c r="LH211" s="4"/>
      <c r="LI211" s="4"/>
      <c r="LJ211" s="4"/>
      <c r="LK211" s="4"/>
      <c r="LL211" s="4"/>
      <c r="LM211" s="4"/>
    </row>
    <row r="212">
      <c r="A212" s="3" t="s">
        <v>136</v>
      </c>
      <c r="B212" s="3" t="s">
        <v>172</v>
      </c>
      <c r="C212" s="3" t="s">
        <v>138</v>
      </c>
      <c r="D212" s="3" t="s">
        <v>139</v>
      </c>
      <c r="E212" s="3" t="s">
        <v>176</v>
      </c>
      <c r="F212" s="3" t="s">
        <v>176</v>
      </c>
      <c r="G212" s="3" t="s">
        <v>176</v>
      </c>
      <c r="H212" s="3" t="s">
        <v>177</v>
      </c>
      <c r="I212" s="3" t="s">
        <v>246</v>
      </c>
      <c r="J212" s="3" t="s">
        <v>243</v>
      </c>
      <c r="K212" s="4">
        <v>69</v>
      </c>
      <c r="L212" s="4">
        <f>=ROUNDDOWN(0.704081632653061,0)</f>
      </c>
      <c r="M212" s="4">
        <v>810</v>
      </c>
      <c r="N212" s="5">
        <v>0.91</v>
      </c>
      <c r="O212" s="4"/>
      <c r="P212" s="4">
        <f>=ROUNDDOWN({0},0)</f>
      </c>
      <c r="Q212" s="4"/>
      <c r="R212" s="5"/>
      <c r="S212" s="4">
        <v>265</v>
      </c>
      <c r="T212" s="6">
        <v>8834.5</v>
      </c>
      <c r="U212" s="4">
        <v>349</v>
      </c>
      <c r="V212" s="6">
        <v>11441.29</v>
      </c>
      <c r="W212" s="5">
        <v>-0.2407</v>
      </c>
      <c r="X212" s="5">
        <v>-0.2278</v>
      </c>
      <c r="Y212" s="4">
        <v>10</v>
      </c>
      <c r="Z212" s="6">
        <v>382.4</v>
      </c>
      <c r="AA212" s="4">
        <v>9</v>
      </c>
      <c r="AB212" s="6">
        <v>290.61</v>
      </c>
      <c r="AC212" s="5">
        <v>0.1111</v>
      </c>
      <c r="AD212" s="5">
        <v>0.3159</v>
      </c>
      <c r="AE212" s="4">
        <v>5</v>
      </c>
      <c r="AF212" s="6">
        <v>184.35</v>
      </c>
      <c r="AG212" s="4">
        <v>6</v>
      </c>
      <c r="AH212" s="6">
        <v>241.32</v>
      </c>
      <c r="AI212" s="5">
        <v>-0.1667</v>
      </c>
      <c r="AJ212" s="5">
        <v>-0.2361</v>
      </c>
      <c r="AK212" s="4"/>
      <c r="AL212" s="6"/>
      <c r="AM212" s="4"/>
      <c r="AN212" s="6"/>
      <c r="AO212" s="5"/>
      <c r="AP212" s="5"/>
      <c r="AQ212" s="4">
        <v>25</v>
      </c>
      <c r="AR212" s="6">
        <v>695</v>
      </c>
      <c r="AS212" s="4">
        <v>104</v>
      </c>
      <c r="AT212" s="6">
        <v>3178</v>
      </c>
      <c r="AU212" s="5">
        <v>-0.7596</v>
      </c>
      <c r="AV212" s="5">
        <v>-0.7813</v>
      </c>
      <c r="AW212" s="4">
        <v>1</v>
      </c>
      <c r="AX212" s="6">
        <v>38.04</v>
      </c>
      <c r="AY212" s="4">
        <v>1</v>
      </c>
      <c r="AZ212" s="6">
        <v>38.04</v>
      </c>
      <c r="BA212" s="5"/>
      <c r="BB212" s="5"/>
      <c r="BC212" s="4"/>
      <c r="BD212" s="6"/>
      <c r="BE212" s="4"/>
      <c r="BF212" s="6"/>
      <c r="BG212" s="5"/>
      <c r="BH212" s="5"/>
      <c r="BI212" s="4">
        <v>76</v>
      </c>
      <c r="BJ212" s="6">
        <v>2620.69</v>
      </c>
      <c r="BK212" s="4">
        <v>79</v>
      </c>
      <c r="BL212" s="6">
        <v>2765.86</v>
      </c>
      <c r="BM212" s="5">
        <v>-0.038</v>
      </c>
      <c r="BN212" s="5">
        <v>-0.0525</v>
      </c>
      <c r="BO212" s="4">
        <v>8</v>
      </c>
      <c r="BP212" s="6">
        <v>272.37</v>
      </c>
      <c r="BQ212" s="4">
        <v>15</v>
      </c>
      <c r="BR212" s="6">
        <v>489.11</v>
      </c>
      <c r="BS212" s="5">
        <v>-0.4667</v>
      </c>
      <c r="BT212" s="5">
        <v>-0.4431</v>
      </c>
      <c r="BU212" s="4">
        <v>1</v>
      </c>
      <c r="BV212" s="6">
        <v>20.77</v>
      </c>
      <c r="BW212" s="4"/>
      <c r="BX212" s="6"/>
      <c r="BY212" s="5"/>
      <c r="BZ212" s="5"/>
      <c r="CA212" s="4"/>
      <c r="CB212" s="6"/>
      <c r="CC212" s="4">
        <v>31</v>
      </c>
      <c r="CD212" s="6">
        <v>1033.96</v>
      </c>
      <c r="CE212" s="5"/>
      <c r="CF212" s="5"/>
      <c r="CG212" s="4">
        <v>135</v>
      </c>
      <c r="CH212" s="6">
        <v>4471.7</v>
      </c>
      <c r="CI212" s="4">
        <v>96</v>
      </c>
      <c r="CJ212" s="6">
        <v>3125.22</v>
      </c>
      <c r="CK212" s="5">
        <v>0.4062</v>
      </c>
      <c r="CL212" s="5">
        <v>0.4308</v>
      </c>
      <c r="CM212" s="4"/>
      <c r="CN212" s="6"/>
      <c r="CO212" s="4"/>
      <c r="CP212" s="6"/>
      <c r="CQ212" s="5"/>
      <c r="CR212" s="5"/>
      <c r="CS212" s="4"/>
      <c r="CT212" s="6"/>
      <c r="CU212" s="4">
        <v>2</v>
      </c>
      <c r="CV212" s="6">
        <v>66</v>
      </c>
      <c r="CW212" s="5"/>
      <c r="CX212" s="5"/>
      <c r="CY212" s="4">
        <v>2</v>
      </c>
      <c r="CZ212" s="6">
        <v>51.01</v>
      </c>
      <c r="DA212" s="4">
        <v>3</v>
      </c>
      <c r="DB212" s="6">
        <v>110.55</v>
      </c>
      <c r="DC212" s="5">
        <v>-0.3333</v>
      </c>
      <c r="DD212" s="5">
        <v>-0.5386</v>
      </c>
      <c r="DE212" s="4"/>
      <c r="DF212" s="6"/>
      <c r="DG212" s="4"/>
      <c r="DH212" s="6"/>
      <c r="DI212" s="5"/>
      <c r="DJ212" s="5"/>
      <c r="DK212" s="4">
        <v>1</v>
      </c>
      <c r="DL212" s="6">
        <v>57.95</v>
      </c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>
        <v>1</v>
      </c>
      <c r="EV212" s="6">
        <v>40.22</v>
      </c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>
        <v>3</v>
      </c>
      <c r="FV212" s="6">
        <v>102.62</v>
      </c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  <c r="IA212" s="4"/>
      <c r="IB212" s="6"/>
      <c r="IC212" s="4"/>
      <c r="ID212" s="6"/>
      <c r="IE212" s="5"/>
      <c r="IF212" s="5"/>
      <c r="IG212" s="4"/>
      <c r="IH212" s="6"/>
      <c r="II212" s="4"/>
      <c r="IJ212" s="6"/>
      <c r="IK212" s="5"/>
      <c r="IL212" s="5"/>
      <c r="IM212" s="4"/>
      <c r="IN212" s="6"/>
      <c r="IO212" s="4"/>
      <c r="IP212" s="6"/>
      <c r="IQ212" s="5"/>
      <c r="IR212" s="5"/>
      <c r="IS212" s="4"/>
      <c r="IT212" s="6"/>
      <c r="IU212" s="4"/>
      <c r="IV212" s="6"/>
      <c r="IW212" s="5"/>
      <c r="IX212" s="5"/>
      <c r="IY212" s="4"/>
      <c r="IZ212" s="6"/>
      <c r="JA212" s="4"/>
      <c r="JB212" s="6"/>
      <c r="JC212" s="5"/>
      <c r="JD212" s="5"/>
      <c r="JE212" s="4"/>
      <c r="JF212" s="6"/>
      <c r="JG212" s="4"/>
      <c r="JH212" s="6"/>
      <c r="JI212" s="5"/>
      <c r="JJ212" s="5"/>
      <c r="JK212" s="4">
        <v>69</v>
      </c>
      <c r="JL212" s="4"/>
      <c r="JM212" s="4"/>
      <c r="JN212" s="4"/>
      <c r="JO212" s="4"/>
      <c r="JP212" s="4"/>
      <c r="JQ212" s="4"/>
      <c r="JR212" s="4"/>
      <c r="JS212" s="4"/>
      <c r="JT212" s="4"/>
      <c r="JU212" s="4"/>
      <c r="JV212" s="4"/>
      <c r="JW212" s="4"/>
      <c r="JX212" s="4"/>
      <c r="JY212" s="4"/>
      <c r="JZ212" s="4"/>
      <c r="KA212" s="4"/>
      <c r="KB212" s="4"/>
      <c r="KC212" s="4"/>
      <c r="KD212" s="4"/>
      <c r="KE212" s="4"/>
      <c r="KF212" s="4"/>
      <c r="KG212" s="4"/>
      <c r="KH212" s="4"/>
      <c r="KI212" s="4"/>
      <c r="KJ212" s="4"/>
      <c r="KK212" s="4"/>
      <c r="KL212" s="4"/>
      <c r="KM212" s="4"/>
      <c r="KN212" s="4"/>
      <c r="KO212" s="4"/>
      <c r="KP212" s="4"/>
      <c r="KQ212" s="4"/>
      <c r="KR212" s="4"/>
      <c r="KS212" s="4"/>
      <c r="KT212" s="4"/>
      <c r="KU212" s="4"/>
      <c r="KV212" s="4"/>
      <c r="KW212" s="4"/>
      <c r="KX212" s="4"/>
      <c r="KY212" s="4"/>
      <c r="KZ212" s="4"/>
      <c r="LA212" s="4"/>
      <c r="LB212" s="4"/>
      <c r="LC212" s="4"/>
      <c r="LD212" s="4"/>
      <c r="LE212" s="4">
        <v>810</v>
      </c>
      <c r="LF212" s="4"/>
      <c r="LG212" s="4"/>
      <c r="LH212" s="4"/>
      <c r="LI212" s="4"/>
      <c r="LJ212" s="4"/>
      <c r="LK212" s="4"/>
      <c r="LL212" s="4"/>
      <c r="LM212" s="4"/>
    </row>
    <row r="213">
      <c r="A213" s="3" t="s">
        <v>136</v>
      </c>
      <c r="B213" s="3" t="s">
        <v>172</v>
      </c>
      <c r="C213" s="3" t="s">
        <v>138</v>
      </c>
      <c r="D213" s="3" t="s">
        <v>139</v>
      </c>
      <c r="E213" s="3" t="s">
        <v>176</v>
      </c>
      <c r="F213" s="3" t="s">
        <v>176</v>
      </c>
      <c r="G213" s="3" t="s">
        <v>176</v>
      </c>
      <c r="H213" s="3" t="s">
        <v>177</v>
      </c>
      <c r="I213" s="3" t="s">
        <v>240</v>
      </c>
      <c r="J213" s="3" t="s">
        <v>243</v>
      </c>
      <c r="K213" s="4">
        <v>162</v>
      </c>
      <c r="L213" s="4">
        <f>=ROUNDDOWN(1.19117647058824,0)</f>
      </c>
      <c r="M213" s="4">
        <v>1050</v>
      </c>
      <c r="N213" s="5">
        <v>0.8219</v>
      </c>
      <c r="O213" s="4"/>
      <c r="P213" s="4">
        <f>=ROUNDDOWN({0},0)</f>
      </c>
      <c r="Q213" s="4"/>
      <c r="R213" s="5"/>
      <c r="S213" s="4">
        <v>328</v>
      </c>
      <c r="T213" s="6">
        <v>8457.13</v>
      </c>
      <c r="U213" s="4">
        <v>282</v>
      </c>
      <c r="V213" s="6">
        <v>9853.04</v>
      </c>
      <c r="W213" s="5">
        <v>0.1631</v>
      </c>
      <c r="X213" s="5">
        <v>-0.1417</v>
      </c>
      <c r="Y213" s="4">
        <v>16</v>
      </c>
      <c r="Z213" s="6">
        <v>447.42</v>
      </c>
      <c r="AA213" s="4">
        <v>5</v>
      </c>
      <c r="AB213" s="6">
        <v>185.08</v>
      </c>
      <c r="AC213" s="5">
        <v>2.2</v>
      </c>
      <c r="AD213" s="5">
        <v>1.4174</v>
      </c>
      <c r="AE213" s="4">
        <v>9</v>
      </c>
      <c r="AF213" s="6">
        <v>268.08</v>
      </c>
      <c r="AG213" s="4">
        <v>1</v>
      </c>
      <c r="AH213" s="6">
        <v>40.22</v>
      </c>
      <c r="AI213" s="5">
        <v>8</v>
      </c>
      <c r="AJ213" s="5">
        <v>5.6653</v>
      </c>
      <c r="AK213" s="4"/>
      <c r="AL213" s="6"/>
      <c r="AM213" s="4"/>
      <c r="AN213" s="6"/>
      <c r="AO213" s="5"/>
      <c r="AP213" s="5"/>
      <c r="AQ213" s="4">
        <v>23</v>
      </c>
      <c r="AR213" s="6">
        <v>795.05</v>
      </c>
      <c r="AS213" s="4">
        <v>172</v>
      </c>
      <c r="AT213" s="6">
        <v>6152.28</v>
      </c>
      <c r="AU213" s="5">
        <v>-0.8663</v>
      </c>
      <c r="AV213" s="5">
        <v>-0.8708</v>
      </c>
      <c r="AW213" s="4"/>
      <c r="AX213" s="6"/>
      <c r="AY213" s="4">
        <v>1</v>
      </c>
      <c r="AZ213" s="6">
        <v>38.04</v>
      </c>
      <c r="BA213" s="5"/>
      <c r="BB213" s="5"/>
      <c r="BC213" s="4"/>
      <c r="BD213" s="6"/>
      <c r="BE213" s="4"/>
      <c r="BF213" s="6"/>
      <c r="BG213" s="5"/>
      <c r="BH213" s="5"/>
      <c r="BI213" s="4">
        <v>64</v>
      </c>
      <c r="BJ213" s="6">
        <v>1800.3</v>
      </c>
      <c r="BK213" s="4">
        <v>35</v>
      </c>
      <c r="BL213" s="6">
        <v>1280.93</v>
      </c>
      <c r="BM213" s="5">
        <v>0.8286</v>
      </c>
      <c r="BN213" s="5">
        <v>0.4055</v>
      </c>
      <c r="BO213" s="4">
        <v>8</v>
      </c>
      <c r="BP213" s="6">
        <v>212.43</v>
      </c>
      <c r="BQ213" s="4">
        <v>8</v>
      </c>
      <c r="BR213" s="6">
        <v>279.75</v>
      </c>
      <c r="BS213" s="5"/>
      <c r="BT213" s="5">
        <v>-0.2406</v>
      </c>
      <c r="BU213" s="4">
        <v>3</v>
      </c>
      <c r="BV213" s="6">
        <v>82.91</v>
      </c>
      <c r="BW213" s="4">
        <v>1</v>
      </c>
      <c r="BX213" s="6">
        <v>29.77</v>
      </c>
      <c r="BY213" s="5">
        <v>2</v>
      </c>
      <c r="BZ213" s="5">
        <v>1.785</v>
      </c>
      <c r="CA213" s="4"/>
      <c r="CB213" s="6"/>
      <c r="CC213" s="4">
        <v>30</v>
      </c>
      <c r="CD213" s="6">
        <v>947.55</v>
      </c>
      <c r="CE213" s="5"/>
      <c r="CF213" s="5"/>
      <c r="CG213" s="4">
        <v>205</v>
      </c>
      <c r="CH213" s="6">
        <v>4850.94</v>
      </c>
      <c r="CI213" s="4">
        <v>26</v>
      </c>
      <c r="CJ213" s="6">
        <v>804.88</v>
      </c>
      <c r="CK213" s="5">
        <v>6.8846</v>
      </c>
      <c r="CL213" s="5">
        <v>5.0269</v>
      </c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>
        <v>1</v>
      </c>
      <c r="DB213" s="6">
        <v>31.18</v>
      </c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>
        <v>1</v>
      </c>
      <c r="EX213" s="6">
        <v>30.16</v>
      </c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>
        <v>1</v>
      </c>
      <c r="FV213" s="6">
        <v>33.2</v>
      </c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  <c r="IA213" s="4"/>
      <c r="IB213" s="6"/>
      <c r="IC213" s="4"/>
      <c r="ID213" s="6"/>
      <c r="IE213" s="5"/>
      <c r="IF213" s="5"/>
      <c r="IG213" s="4"/>
      <c r="IH213" s="6"/>
      <c r="II213" s="4"/>
      <c r="IJ213" s="6"/>
      <c r="IK213" s="5"/>
      <c r="IL213" s="5"/>
      <c r="IM213" s="4"/>
      <c r="IN213" s="6"/>
      <c r="IO213" s="4"/>
      <c r="IP213" s="6"/>
      <c r="IQ213" s="5"/>
      <c r="IR213" s="5"/>
      <c r="IS213" s="4"/>
      <c r="IT213" s="6"/>
      <c r="IU213" s="4"/>
      <c r="IV213" s="6"/>
      <c r="IW213" s="5"/>
      <c r="IX213" s="5"/>
      <c r="IY213" s="4"/>
      <c r="IZ213" s="6"/>
      <c r="JA213" s="4"/>
      <c r="JB213" s="6"/>
      <c r="JC213" s="5"/>
      <c r="JD213" s="5"/>
      <c r="JE213" s="4"/>
      <c r="JF213" s="6"/>
      <c r="JG213" s="4"/>
      <c r="JH213" s="6"/>
      <c r="JI213" s="5"/>
      <c r="JJ213" s="5"/>
      <c r="JK213" s="4">
        <v>162</v>
      </c>
      <c r="JL213" s="4"/>
      <c r="JM213" s="4"/>
      <c r="JN213" s="4"/>
      <c r="JO213" s="4"/>
      <c r="JP213" s="4"/>
      <c r="JQ213" s="4"/>
      <c r="JR213" s="4"/>
      <c r="JS213" s="4"/>
      <c r="JT213" s="4"/>
      <c r="JU213" s="4"/>
      <c r="JV213" s="4"/>
      <c r="JW213" s="4"/>
      <c r="JX213" s="4"/>
      <c r="JY213" s="4"/>
      <c r="JZ213" s="4"/>
      <c r="KA213" s="4"/>
      <c r="KB213" s="4"/>
      <c r="KC213" s="4"/>
      <c r="KD213" s="4"/>
      <c r="KE213" s="4"/>
      <c r="KF213" s="4"/>
      <c r="KG213" s="4"/>
      <c r="KH213" s="4"/>
      <c r="KI213" s="4"/>
      <c r="KJ213" s="4"/>
      <c r="KK213" s="4"/>
      <c r="KL213" s="4"/>
      <c r="KM213" s="4"/>
      <c r="KN213" s="4"/>
      <c r="KO213" s="4"/>
      <c r="KP213" s="4"/>
      <c r="KQ213" s="4"/>
      <c r="KR213" s="4"/>
      <c r="KS213" s="4"/>
      <c r="KT213" s="4"/>
      <c r="KU213" s="4"/>
      <c r="KV213" s="4"/>
      <c r="KW213" s="4"/>
      <c r="KX213" s="4"/>
      <c r="KY213" s="4"/>
      <c r="KZ213" s="4"/>
      <c r="LA213" s="4"/>
      <c r="LB213" s="4"/>
      <c r="LC213" s="4"/>
      <c r="LD213" s="4"/>
      <c r="LE213" s="4">
        <v>1050</v>
      </c>
      <c r="LF213" s="4"/>
      <c r="LG213" s="4"/>
      <c r="LH213" s="4"/>
      <c r="LI213" s="4"/>
      <c r="LJ213" s="4"/>
      <c r="LK213" s="4"/>
      <c r="LL213" s="4"/>
      <c r="LM213" s="4"/>
    </row>
    <row r="214">
      <c r="A214" s="3" t="s">
        <v>136</v>
      </c>
      <c r="B214" s="3" t="s">
        <v>172</v>
      </c>
      <c r="C214" s="3" t="s">
        <v>138</v>
      </c>
      <c r="D214" s="3" t="s">
        <v>139</v>
      </c>
      <c r="E214" s="3" t="s">
        <v>176</v>
      </c>
      <c r="F214" s="3" t="s">
        <v>176</v>
      </c>
      <c r="G214" s="3" t="s">
        <v>176</v>
      </c>
      <c r="H214" s="3" t="s">
        <v>177</v>
      </c>
      <c r="I214" s="3" t="s">
        <v>234</v>
      </c>
      <c r="J214" s="3" t="s">
        <v>228</v>
      </c>
      <c r="K214" s="4">
        <v>258</v>
      </c>
      <c r="L214" s="4">
        <f>=ROUNDDOWN(3.07142857142857,0)</f>
      </c>
      <c r="M214" s="4">
        <v>570</v>
      </c>
      <c r="N214" s="5">
        <v>0.9848</v>
      </c>
      <c r="O214" s="4"/>
      <c r="P214" s="4">
        <f>=ROUNDDOWN({0},0)</f>
      </c>
      <c r="Q214" s="4"/>
      <c r="R214" s="5"/>
      <c r="S214" s="4">
        <v>263</v>
      </c>
      <c r="T214" s="6">
        <v>7639.24</v>
      </c>
      <c r="U214" s="4">
        <v>626</v>
      </c>
      <c r="V214" s="6">
        <v>20053.41</v>
      </c>
      <c r="W214" s="5">
        <v>-0.5799</v>
      </c>
      <c r="X214" s="5">
        <v>-0.6191</v>
      </c>
      <c r="Y214" s="4">
        <v>39</v>
      </c>
      <c r="Z214" s="6">
        <v>1188.89</v>
      </c>
      <c r="AA214" s="4">
        <v>44</v>
      </c>
      <c r="AB214" s="6">
        <v>1380.33</v>
      </c>
      <c r="AC214" s="5">
        <v>-0.1136</v>
      </c>
      <c r="AD214" s="5">
        <v>-0.1387</v>
      </c>
      <c r="AE214" s="4">
        <v>10</v>
      </c>
      <c r="AF214" s="6">
        <v>318.29</v>
      </c>
      <c r="AG214" s="4">
        <v>5</v>
      </c>
      <c r="AH214" s="6">
        <v>157.47</v>
      </c>
      <c r="AI214" s="5">
        <v>1</v>
      </c>
      <c r="AJ214" s="5">
        <v>1.0213</v>
      </c>
      <c r="AK214" s="4"/>
      <c r="AL214" s="6"/>
      <c r="AM214" s="4"/>
      <c r="AN214" s="6"/>
      <c r="AO214" s="5"/>
      <c r="AP214" s="5"/>
      <c r="AQ214" s="4">
        <v>44</v>
      </c>
      <c r="AR214" s="6">
        <v>1383.8</v>
      </c>
      <c r="AS214" s="4">
        <v>199</v>
      </c>
      <c r="AT214" s="6">
        <v>7307.35</v>
      </c>
      <c r="AU214" s="5">
        <v>-0.7789</v>
      </c>
      <c r="AV214" s="5">
        <v>-0.8106</v>
      </c>
      <c r="AW214" s="4">
        <v>1</v>
      </c>
      <c r="AX214" s="6">
        <v>27.89</v>
      </c>
      <c r="AY214" s="4">
        <v>5</v>
      </c>
      <c r="AZ214" s="6">
        <v>163.08</v>
      </c>
      <c r="BA214" s="5">
        <v>-0.8</v>
      </c>
      <c r="BB214" s="5">
        <v>-0.829</v>
      </c>
      <c r="BC214" s="4"/>
      <c r="BD214" s="6"/>
      <c r="BE214" s="4"/>
      <c r="BF214" s="6"/>
      <c r="BG214" s="5"/>
      <c r="BH214" s="5"/>
      <c r="BI214" s="4">
        <v>79</v>
      </c>
      <c r="BJ214" s="6">
        <v>2368.41</v>
      </c>
      <c r="BK214" s="4">
        <v>98</v>
      </c>
      <c r="BL214" s="6">
        <v>3093.59</v>
      </c>
      <c r="BM214" s="5">
        <v>-0.1939</v>
      </c>
      <c r="BN214" s="5">
        <v>-0.2344</v>
      </c>
      <c r="BO214" s="4">
        <v>9</v>
      </c>
      <c r="BP214" s="6">
        <v>237.79</v>
      </c>
      <c r="BQ214" s="4">
        <v>55</v>
      </c>
      <c r="BR214" s="6">
        <v>1627.92</v>
      </c>
      <c r="BS214" s="5">
        <v>-0.8364</v>
      </c>
      <c r="BT214" s="5">
        <v>-0.8539</v>
      </c>
      <c r="BU214" s="4">
        <v>1</v>
      </c>
      <c r="BV214" s="6">
        <v>29.77</v>
      </c>
      <c r="BW214" s="4">
        <v>2</v>
      </c>
      <c r="BX214" s="6">
        <v>59.54</v>
      </c>
      <c r="BY214" s="5">
        <v>-0.5</v>
      </c>
      <c r="BZ214" s="5">
        <v>-0.5</v>
      </c>
      <c r="CA214" s="4">
        <v>7</v>
      </c>
      <c r="CB214" s="6">
        <v>221.58</v>
      </c>
      <c r="CC214" s="4">
        <v>57</v>
      </c>
      <c r="CD214" s="6">
        <v>1653.8</v>
      </c>
      <c r="CE214" s="5">
        <v>-0.8772</v>
      </c>
      <c r="CF214" s="5">
        <v>-0.866</v>
      </c>
      <c r="CG214" s="4">
        <v>69</v>
      </c>
      <c r="CH214" s="6">
        <v>1742.33</v>
      </c>
      <c r="CI214" s="4">
        <v>154</v>
      </c>
      <c r="CJ214" s="6">
        <v>4354.83</v>
      </c>
      <c r="CK214" s="5">
        <v>-0.5519</v>
      </c>
      <c r="CL214" s="5">
        <v>-0.5999</v>
      </c>
      <c r="CM214" s="4"/>
      <c r="CN214" s="6"/>
      <c r="CO214" s="4"/>
      <c r="CP214" s="6"/>
      <c r="CQ214" s="5"/>
      <c r="CR214" s="5"/>
      <c r="CS214" s="4"/>
      <c r="CT214" s="6"/>
      <c r="CU214" s="4"/>
      <c r="CV214" s="6"/>
      <c r="CW214" s="5"/>
      <c r="CX214" s="5"/>
      <c r="CY214" s="4">
        <v>1</v>
      </c>
      <c r="CZ214" s="6">
        <v>31.18</v>
      </c>
      <c r="DA214" s="4">
        <v>5</v>
      </c>
      <c r="DB214" s="6">
        <v>175.74</v>
      </c>
      <c r="DC214" s="5">
        <v>-0.8</v>
      </c>
      <c r="DD214" s="5">
        <v>-0.8226</v>
      </c>
      <c r="DE214" s="4"/>
      <c r="DF214" s="6"/>
      <c r="DG214" s="4"/>
      <c r="DH214" s="6"/>
      <c r="DI214" s="5"/>
      <c r="DJ214" s="5"/>
      <c r="DK214" s="4"/>
      <c r="DL214" s="6"/>
      <c r="DM214" s="4">
        <v>1</v>
      </c>
      <c r="DN214" s="6">
        <v>49.99</v>
      </c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>
        <v>3</v>
      </c>
      <c r="ED214" s="6">
        <v>89.31</v>
      </c>
      <c r="EE214" s="4">
        <v>1</v>
      </c>
      <c r="EF214" s="6">
        <v>29.77</v>
      </c>
      <c r="EG214" s="5">
        <v>2</v>
      </c>
      <c r="EH214" s="5">
        <v>2</v>
      </c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  <c r="IA214" s="4"/>
      <c r="IB214" s="6"/>
      <c r="IC214" s="4"/>
      <c r="ID214" s="6"/>
      <c r="IE214" s="5"/>
      <c r="IF214" s="5"/>
      <c r="IG214" s="4"/>
      <c r="IH214" s="6"/>
      <c r="II214" s="4"/>
      <c r="IJ214" s="6"/>
      <c r="IK214" s="5"/>
      <c r="IL214" s="5"/>
      <c r="IM214" s="4"/>
      <c r="IN214" s="6"/>
      <c r="IO214" s="4"/>
      <c r="IP214" s="6"/>
      <c r="IQ214" s="5"/>
      <c r="IR214" s="5"/>
      <c r="IS214" s="4"/>
      <c r="IT214" s="6"/>
      <c r="IU214" s="4"/>
      <c r="IV214" s="6"/>
      <c r="IW214" s="5"/>
      <c r="IX214" s="5"/>
      <c r="IY214" s="4"/>
      <c r="IZ214" s="6"/>
      <c r="JA214" s="4"/>
      <c r="JB214" s="6"/>
      <c r="JC214" s="5"/>
      <c r="JD214" s="5"/>
      <c r="JE214" s="4"/>
      <c r="JF214" s="6"/>
      <c r="JG214" s="4"/>
      <c r="JH214" s="6"/>
      <c r="JI214" s="5"/>
      <c r="JJ214" s="5"/>
      <c r="JK214" s="4">
        <v>258</v>
      </c>
      <c r="JL214" s="4"/>
      <c r="JM214" s="4"/>
      <c r="JN214" s="4"/>
      <c r="JO214" s="4"/>
      <c r="JP214" s="4"/>
      <c r="JQ214" s="4"/>
      <c r="JR214" s="4"/>
      <c r="JS214" s="4"/>
      <c r="JT214" s="4"/>
      <c r="JU214" s="4"/>
      <c r="JV214" s="4"/>
      <c r="JW214" s="4"/>
      <c r="JX214" s="4"/>
      <c r="JY214" s="4"/>
      <c r="JZ214" s="4"/>
      <c r="KA214" s="4"/>
      <c r="KB214" s="4"/>
      <c r="KC214" s="4"/>
      <c r="KD214" s="4"/>
      <c r="KE214" s="4"/>
      <c r="KF214" s="4"/>
      <c r="KG214" s="4"/>
      <c r="KH214" s="4"/>
      <c r="KI214" s="4"/>
      <c r="KJ214" s="4"/>
      <c r="KK214" s="4"/>
      <c r="KL214" s="4"/>
      <c r="KM214" s="4"/>
      <c r="KN214" s="4"/>
      <c r="KO214" s="4"/>
      <c r="KP214" s="4"/>
      <c r="KQ214" s="4"/>
      <c r="KR214" s="4"/>
      <c r="KS214" s="4"/>
      <c r="KT214" s="4"/>
      <c r="KU214" s="4"/>
      <c r="KV214" s="4"/>
      <c r="KW214" s="4"/>
      <c r="KX214" s="4"/>
      <c r="KY214" s="4"/>
      <c r="KZ214" s="4"/>
      <c r="LA214" s="4"/>
      <c r="LB214" s="4"/>
      <c r="LC214" s="4"/>
      <c r="LD214" s="4"/>
      <c r="LE214" s="4">
        <v>570</v>
      </c>
      <c r="LF214" s="4"/>
      <c r="LG214" s="4"/>
      <c r="LH214" s="4"/>
      <c r="LI214" s="4"/>
      <c r="LJ214" s="4"/>
      <c r="LK214" s="4"/>
      <c r="LL214" s="4"/>
      <c r="LM214" s="4"/>
    </row>
    <row r="215">
      <c r="A215" s="3" t="s">
        <v>136</v>
      </c>
      <c r="B215" s="3" t="s">
        <v>172</v>
      </c>
      <c r="C215" s="3" t="s">
        <v>138</v>
      </c>
      <c r="D215" s="3" t="s">
        <v>139</v>
      </c>
      <c r="E215" s="3" t="s">
        <v>176</v>
      </c>
      <c r="F215" s="3" t="s">
        <v>176</v>
      </c>
      <c r="G215" s="3" t="s">
        <v>176</v>
      </c>
      <c r="H215" s="3" t="s">
        <v>177</v>
      </c>
      <c r="I215" s="3" t="s">
        <v>229</v>
      </c>
      <c r="J215" s="3" t="s">
        <v>259</v>
      </c>
      <c r="K215" s="4">
        <v>6</v>
      </c>
      <c r="L215" s="4">
        <f>=ROUNDDOWN(0.038961038961039,0)</f>
      </c>
      <c r="M215" s="4">
        <v>1210</v>
      </c>
      <c r="N215" s="5">
        <v>0.0627</v>
      </c>
      <c r="O215" s="4"/>
      <c r="P215" s="4">
        <f>=ROUNDDOWN({0},0)</f>
      </c>
      <c r="Q215" s="4"/>
      <c r="R215" s="5"/>
      <c r="S215" s="4">
        <v>81</v>
      </c>
      <c r="T215" s="6">
        <v>2636.57</v>
      </c>
      <c r="U215" s="4">
        <v>303</v>
      </c>
      <c r="V215" s="6">
        <v>9815.85</v>
      </c>
      <c r="W215" s="5">
        <v>-0.7327</v>
      </c>
      <c r="X215" s="5">
        <v>-0.7314</v>
      </c>
      <c r="Y215" s="4">
        <v>3</v>
      </c>
      <c r="Z215" s="6">
        <v>98.83</v>
      </c>
      <c r="AA215" s="4">
        <v>10</v>
      </c>
      <c r="AB215" s="6">
        <v>318.84</v>
      </c>
      <c r="AC215" s="5">
        <v>-0.7</v>
      </c>
      <c r="AD215" s="5">
        <v>-0.69</v>
      </c>
      <c r="AE215" s="4">
        <v>3</v>
      </c>
      <c r="AF215" s="6">
        <v>113.94</v>
      </c>
      <c r="AG215" s="4">
        <v>10</v>
      </c>
      <c r="AH215" s="6">
        <v>368.7</v>
      </c>
      <c r="AI215" s="5">
        <v>-0.7</v>
      </c>
      <c r="AJ215" s="5">
        <v>-0.691</v>
      </c>
      <c r="AK215" s="4"/>
      <c r="AL215" s="6"/>
      <c r="AM215" s="4"/>
      <c r="AN215" s="6"/>
      <c r="AO215" s="5"/>
      <c r="AP215" s="5"/>
      <c r="AQ215" s="4">
        <v>26</v>
      </c>
      <c r="AR215" s="6">
        <v>646.44</v>
      </c>
      <c r="AS215" s="4">
        <v>86</v>
      </c>
      <c r="AT215" s="6">
        <v>1911.06</v>
      </c>
      <c r="AU215" s="5">
        <v>-0.6977</v>
      </c>
      <c r="AV215" s="5">
        <v>-0.6617</v>
      </c>
      <c r="AW215" s="4">
        <v>1</v>
      </c>
      <c r="AX215" s="6">
        <v>31.26</v>
      </c>
      <c r="AY215" s="4"/>
      <c r="AZ215" s="6"/>
      <c r="BA215" s="5"/>
      <c r="BB215" s="5"/>
      <c r="BC215" s="4"/>
      <c r="BD215" s="6"/>
      <c r="BE215" s="4"/>
      <c r="BF215" s="6"/>
      <c r="BG215" s="5"/>
      <c r="BH215" s="5"/>
      <c r="BI215" s="4">
        <v>16</v>
      </c>
      <c r="BJ215" s="6">
        <v>546.36</v>
      </c>
      <c r="BK215" s="4">
        <v>46</v>
      </c>
      <c r="BL215" s="6">
        <v>1648.56</v>
      </c>
      <c r="BM215" s="5">
        <v>-0.6522</v>
      </c>
      <c r="BN215" s="5">
        <v>-0.6686</v>
      </c>
      <c r="BO215" s="4">
        <v>2</v>
      </c>
      <c r="BP215" s="6">
        <v>58.41</v>
      </c>
      <c r="BQ215" s="4">
        <v>29</v>
      </c>
      <c r="BR215" s="6">
        <v>881.68</v>
      </c>
      <c r="BS215" s="5">
        <v>-0.931</v>
      </c>
      <c r="BT215" s="5">
        <v>-0.9338</v>
      </c>
      <c r="BU215" s="4">
        <v>1</v>
      </c>
      <c r="BV215" s="6">
        <v>36.23</v>
      </c>
      <c r="BW215" s="4"/>
      <c r="BX215" s="6"/>
      <c r="BY215" s="5"/>
      <c r="BZ215" s="5"/>
      <c r="CA215" s="4">
        <v>15</v>
      </c>
      <c r="CB215" s="6">
        <v>519.88</v>
      </c>
      <c r="CC215" s="4">
        <v>24</v>
      </c>
      <c r="CD215" s="6">
        <v>853.83</v>
      </c>
      <c r="CE215" s="5">
        <v>-0.375</v>
      </c>
      <c r="CF215" s="5">
        <v>-0.3911</v>
      </c>
      <c r="CG215" s="4">
        <v>12</v>
      </c>
      <c r="CH215" s="6">
        <v>469.32</v>
      </c>
      <c r="CI215" s="4">
        <v>94</v>
      </c>
      <c r="CJ215" s="6">
        <v>3676.34</v>
      </c>
      <c r="CK215" s="5">
        <v>-0.8723</v>
      </c>
      <c r="CL215" s="5">
        <v>-0.8723</v>
      </c>
      <c r="CM215" s="4"/>
      <c r="CN215" s="6"/>
      <c r="CO215" s="4"/>
      <c r="CP215" s="6"/>
      <c r="CQ215" s="5"/>
      <c r="CR215" s="5"/>
      <c r="CS215" s="4"/>
      <c r="CT215" s="6"/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>
        <v>2</v>
      </c>
      <c r="DL215" s="6">
        <v>115.9</v>
      </c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>
        <v>3</v>
      </c>
      <c r="FV215" s="6">
        <v>117.72</v>
      </c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>
        <v>1</v>
      </c>
      <c r="GH215" s="6">
        <v>39.12</v>
      </c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  <c r="IA215" s="4"/>
      <c r="IB215" s="6"/>
      <c r="IC215" s="4"/>
      <c r="ID215" s="6"/>
      <c r="IE215" s="5"/>
      <c r="IF215" s="5"/>
      <c r="IG215" s="4"/>
      <c r="IH215" s="6"/>
      <c r="II215" s="4"/>
      <c r="IJ215" s="6"/>
      <c r="IK215" s="5"/>
      <c r="IL215" s="5"/>
      <c r="IM215" s="4"/>
      <c r="IN215" s="6"/>
      <c r="IO215" s="4"/>
      <c r="IP215" s="6"/>
      <c r="IQ215" s="5"/>
      <c r="IR215" s="5"/>
      <c r="IS215" s="4"/>
      <c r="IT215" s="6"/>
      <c r="IU215" s="4"/>
      <c r="IV215" s="6"/>
      <c r="IW215" s="5"/>
      <c r="IX215" s="5"/>
      <c r="IY215" s="4"/>
      <c r="IZ215" s="6"/>
      <c r="JA215" s="4"/>
      <c r="JB215" s="6"/>
      <c r="JC215" s="5"/>
      <c r="JD215" s="5"/>
      <c r="JE215" s="4"/>
      <c r="JF215" s="6"/>
      <c r="JG215" s="4"/>
      <c r="JH215" s="6"/>
      <c r="JI215" s="5"/>
      <c r="JJ215" s="5"/>
      <c r="JK215" s="4">
        <v>6</v>
      </c>
      <c r="JL215" s="4"/>
      <c r="JM215" s="4"/>
      <c r="JN215" s="4"/>
      <c r="JO215" s="4"/>
      <c r="JP215" s="4"/>
      <c r="JQ215" s="4"/>
      <c r="JR215" s="4"/>
      <c r="JS215" s="4"/>
      <c r="JT215" s="4"/>
      <c r="JU215" s="4"/>
      <c r="JV215" s="4"/>
      <c r="JW215" s="4"/>
      <c r="JX215" s="4"/>
      <c r="JY215" s="4"/>
      <c r="JZ215" s="4"/>
      <c r="KA215" s="4"/>
      <c r="KB215" s="4"/>
      <c r="KC215" s="4"/>
      <c r="KD215" s="4"/>
      <c r="KE215" s="4"/>
      <c r="KF215" s="4"/>
      <c r="KG215" s="4"/>
      <c r="KH215" s="4"/>
      <c r="KI215" s="4"/>
      <c r="KJ215" s="4"/>
      <c r="KK215" s="4"/>
      <c r="KL215" s="4"/>
      <c r="KM215" s="4"/>
      <c r="KN215" s="4"/>
      <c r="KO215" s="4"/>
      <c r="KP215" s="4"/>
      <c r="KQ215" s="4"/>
      <c r="KR215" s="4"/>
      <c r="KS215" s="4"/>
      <c r="KT215" s="4"/>
      <c r="KU215" s="4"/>
      <c r="KV215" s="4"/>
      <c r="KW215" s="4"/>
      <c r="KX215" s="4"/>
      <c r="KY215" s="4"/>
      <c r="KZ215" s="4"/>
      <c r="LA215" s="4"/>
      <c r="LB215" s="4"/>
      <c r="LC215" s="4"/>
      <c r="LD215" s="4"/>
      <c r="LE215" s="4">
        <v>1210</v>
      </c>
      <c r="LF215" s="4"/>
      <c r="LG215" s="4"/>
      <c r="LH215" s="4"/>
      <c r="LI215" s="4"/>
      <c r="LJ215" s="4"/>
      <c r="LK215" s="4"/>
      <c r="LL215" s="4"/>
      <c r="LM215" s="4"/>
    </row>
    <row r="216">
      <c r="A216" s="3" t="s">
        <v>136</v>
      </c>
      <c r="B216" s="3" t="s">
        <v>172</v>
      </c>
      <c r="C216" s="3" t="s">
        <v>138</v>
      </c>
      <c r="D216" s="3" t="s">
        <v>139</v>
      </c>
      <c r="E216" s="3" t="s">
        <v>176</v>
      </c>
      <c r="F216" s="3" t="s">
        <v>176</v>
      </c>
      <c r="G216" s="3" t="s">
        <v>176</v>
      </c>
      <c r="H216" s="3" t="s">
        <v>177</v>
      </c>
      <c r="I216" s="3" t="s">
        <v>310</v>
      </c>
      <c r="J216" s="3" t="s">
        <v>228</v>
      </c>
      <c r="K216" s="4">
        <v>140</v>
      </c>
      <c r="L216" s="4">
        <f>=ROUNDDOWN(2.08955223880597,0)</f>
      </c>
      <c r="M216" s="4">
        <v>480</v>
      </c>
      <c r="N216" s="5">
        <v>0.6614</v>
      </c>
      <c r="O216" s="4"/>
      <c r="P216" s="4">
        <f>=ROUNDDOWN({0},0)</f>
      </c>
      <c r="Q216" s="4"/>
      <c r="R216" s="5"/>
      <c r="S216" s="4">
        <v>86</v>
      </c>
      <c r="T216" s="6">
        <v>2208.33</v>
      </c>
      <c r="U216" s="4">
        <v>122</v>
      </c>
      <c r="V216" s="6">
        <v>3828.19</v>
      </c>
      <c r="W216" s="5">
        <v>-0.2951</v>
      </c>
      <c r="X216" s="5">
        <v>-0.4231</v>
      </c>
      <c r="Y216" s="4">
        <v>1</v>
      </c>
      <c r="Z216" s="6">
        <v>22.35</v>
      </c>
      <c r="AA216" s="4">
        <v>5</v>
      </c>
      <c r="AB216" s="6">
        <v>159.42</v>
      </c>
      <c r="AC216" s="5">
        <v>-0.8</v>
      </c>
      <c r="AD216" s="5">
        <v>-0.8598</v>
      </c>
      <c r="AE216" s="4"/>
      <c r="AF216" s="6"/>
      <c r="AG216" s="4"/>
      <c r="AH216" s="6"/>
      <c r="AI216" s="5"/>
      <c r="AJ216" s="5"/>
      <c r="AK216" s="4"/>
      <c r="AL216" s="6"/>
      <c r="AM216" s="4"/>
      <c r="AN216" s="6"/>
      <c r="AO216" s="5"/>
      <c r="AP216" s="5"/>
      <c r="AQ216" s="4">
        <v>12</v>
      </c>
      <c r="AR216" s="6">
        <v>367.06</v>
      </c>
      <c r="AS216" s="4">
        <v>9</v>
      </c>
      <c r="AT216" s="6">
        <v>293.22</v>
      </c>
      <c r="AU216" s="5">
        <v>0.3333</v>
      </c>
      <c r="AV216" s="5">
        <v>0.2518</v>
      </c>
      <c r="AW216" s="4"/>
      <c r="AX216" s="6"/>
      <c r="AY216" s="4">
        <v>2</v>
      </c>
      <c r="AZ216" s="6">
        <v>59.85</v>
      </c>
      <c r="BA216" s="5"/>
      <c r="BB216" s="5"/>
      <c r="BC216" s="4"/>
      <c r="BD216" s="6"/>
      <c r="BE216" s="4"/>
      <c r="BF216" s="6"/>
      <c r="BG216" s="5"/>
      <c r="BH216" s="5"/>
      <c r="BI216" s="4">
        <v>12</v>
      </c>
      <c r="BJ216" s="6">
        <v>368.94</v>
      </c>
      <c r="BK216" s="4">
        <v>16</v>
      </c>
      <c r="BL216" s="6">
        <v>558.63</v>
      </c>
      <c r="BM216" s="5">
        <v>-0.25</v>
      </c>
      <c r="BN216" s="5">
        <v>-0.3396</v>
      </c>
      <c r="BO216" s="4">
        <v>2</v>
      </c>
      <c r="BP216" s="6">
        <v>38.74</v>
      </c>
      <c r="BQ216" s="4">
        <v>11</v>
      </c>
      <c r="BR216" s="6">
        <v>344.31</v>
      </c>
      <c r="BS216" s="5">
        <v>-0.8182</v>
      </c>
      <c r="BT216" s="5">
        <v>-0.8875</v>
      </c>
      <c r="BU216" s="4"/>
      <c r="BV216" s="6"/>
      <c r="BW216" s="4"/>
      <c r="BX216" s="6"/>
      <c r="BY216" s="5"/>
      <c r="BZ216" s="5"/>
      <c r="CA216" s="4">
        <v>7</v>
      </c>
      <c r="CB216" s="6">
        <v>253.54</v>
      </c>
      <c r="CC216" s="4">
        <v>35</v>
      </c>
      <c r="CD216" s="6">
        <v>1236.8</v>
      </c>
      <c r="CE216" s="5">
        <v>-0.8</v>
      </c>
      <c r="CF216" s="5">
        <v>-0.795</v>
      </c>
      <c r="CG216" s="4">
        <v>51</v>
      </c>
      <c r="CH216" s="6">
        <v>1118.15</v>
      </c>
      <c r="CI216" s="4">
        <v>40</v>
      </c>
      <c r="CJ216" s="6">
        <v>1020.1</v>
      </c>
      <c r="CK216" s="5">
        <v>0.275</v>
      </c>
      <c r="CL216" s="5">
        <v>0.0961</v>
      </c>
      <c r="CM216" s="4"/>
      <c r="CN216" s="6"/>
      <c r="CO216" s="4"/>
      <c r="CP216" s="6"/>
      <c r="CQ216" s="5"/>
      <c r="CR216" s="5"/>
      <c r="CS216" s="4"/>
      <c r="CT216" s="6"/>
      <c r="CU216" s="4"/>
      <c r="CV216" s="6"/>
      <c r="CW216" s="5"/>
      <c r="CX216" s="5"/>
      <c r="CY216" s="4"/>
      <c r="CZ216" s="6"/>
      <c r="DA216" s="4"/>
      <c r="DB216" s="6"/>
      <c r="DC216" s="5"/>
      <c r="DD216" s="5"/>
      <c r="DE216" s="4"/>
      <c r="DF216" s="6"/>
      <c r="DG216" s="4"/>
      <c r="DH216" s="6"/>
      <c r="DI216" s="5"/>
      <c r="DJ216" s="5"/>
      <c r="DK216" s="4">
        <v>1</v>
      </c>
      <c r="DL216" s="6">
        <v>39.55</v>
      </c>
      <c r="DM216" s="4">
        <v>2</v>
      </c>
      <c r="DN216" s="6">
        <v>77.38</v>
      </c>
      <c r="DO216" s="5">
        <v>-0.5</v>
      </c>
      <c r="DP216" s="5">
        <v>-0.4889</v>
      </c>
      <c r="DQ216" s="4"/>
      <c r="DR216" s="6"/>
      <c r="DS216" s="4"/>
      <c r="DT216" s="6"/>
      <c r="DU216" s="5"/>
      <c r="DV216" s="5"/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>
        <v>2</v>
      </c>
      <c r="FV216" s="6">
        <v>78.48</v>
      </c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  <c r="IA216" s="4"/>
      <c r="IB216" s="6"/>
      <c r="IC216" s="4"/>
      <c r="ID216" s="6"/>
      <c r="IE216" s="5"/>
      <c r="IF216" s="5"/>
      <c r="IG216" s="4"/>
      <c r="IH216" s="6"/>
      <c r="II216" s="4"/>
      <c r="IJ216" s="6"/>
      <c r="IK216" s="5"/>
      <c r="IL216" s="5"/>
      <c r="IM216" s="4"/>
      <c r="IN216" s="6"/>
      <c r="IO216" s="4"/>
      <c r="IP216" s="6"/>
      <c r="IQ216" s="5"/>
      <c r="IR216" s="5"/>
      <c r="IS216" s="4"/>
      <c r="IT216" s="6"/>
      <c r="IU216" s="4"/>
      <c r="IV216" s="6"/>
      <c r="IW216" s="5"/>
      <c r="IX216" s="5"/>
      <c r="IY216" s="4"/>
      <c r="IZ216" s="6"/>
      <c r="JA216" s="4"/>
      <c r="JB216" s="6"/>
      <c r="JC216" s="5"/>
      <c r="JD216" s="5"/>
      <c r="JE216" s="4"/>
      <c r="JF216" s="6"/>
      <c r="JG216" s="4"/>
      <c r="JH216" s="6"/>
      <c r="JI216" s="5"/>
      <c r="JJ216" s="5"/>
      <c r="JK216" s="4">
        <v>140</v>
      </c>
      <c r="JL216" s="4"/>
      <c r="JM216" s="4"/>
      <c r="JN216" s="4"/>
      <c r="JO216" s="4"/>
      <c r="JP216" s="4"/>
      <c r="JQ216" s="4"/>
      <c r="JR216" s="4"/>
      <c r="JS216" s="4"/>
      <c r="JT216" s="4"/>
      <c r="JU216" s="4"/>
      <c r="JV216" s="4"/>
      <c r="JW216" s="4"/>
      <c r="JX216" s="4"/>
      <c r="JY216" s="4"/>
      <c r="JZ216" s="4"/>
      <c r="KA216" s="4"/>
      <c r="KB216" s="4"/>
      <c r="KC216" s="4"/>
      <c r="KD216" s="4"/>
      <c r="KE216" s="4"/>
      <c r="KF216" s="4"/>
      <c r="KG216" s="4"/>
      <c r="KH216" s="4"/>
      <c r="KI216" s="4"/>
      <c r="KJ216" s="4"/>
      <c r="KK216" s="4"/>
      <c r="KL216" s="4"/>
      <c r="KM216" s="4"/>
      <c r="KN216" s="4"/>
      <c r="KO216" s="4"/>
      <c r="KP216" s="4"/>
      <c r="KQ216" s="4"/>
      <c r="KR216" s="4"/>
      <c r="KS216" s="4"/>
      <c r="KT216" s="4"/>
      <c r="KU216" s="4"/>
      <c r="KV216" s="4"/>
      <c r="KW216" s="4"/>
      <c r="KX216" s="4"/>
      <c r="KY216" s="4"/>
      <c r="KZ216" s="4"/>
      <c r="LA216" s="4"/>
      <c r="LB216" s="4"/>
      <c r="LC216" s="4"/>
      <c r="LD216" s="4"/>
      <c r="LE216" s="4">
        <v>480</v>
      </c>
      <c r="LF216" s="4"/>
      <c r="LG216" s="4"/>
      <c r="LH216" s="4"/>
      <c r="LI216" s="4"/>
      <c r="LJ216" s="4"/>
      <c r="LK216" s="4"/>
      <c r="LL216" s="4"/>
      <c r="LM216" s="4"/>
    </row>
    <row r="217">
      <c r="A217" s="3" t="s">
        <v>136</v>
      </c>
      <c r="B217" s="3" t="s">
        <v>172</v>
      </c>
      <c r="C217" s="3" t="s">
        <v>138</v>
      </c>
      <c r="D217" s="3" t="s">
        <v>139</v>
      </c>
      <c r="E217" s="3" t="s">
        <v>176</v>
      </c>
      <c r="F217" s="3" t="s">
        <v>176</v>
      </c>
      <c r="G217" s="3" t="s">
        <v>176</v>
      </c>
      <c r="H217" s="3" t="s">
        <v>177</v>
      </c>
      <c r="I217" s="3" t="s">
        <v>255</v>
      </c>
      <c r="J217" s="3" t="s">
        <v>241</v>
      </c>
      <c r="K217" s="4"/>
      <c r="L217" s="4">
        <f>=ROUNDDOWN({0},0)</f>
      </c>
      <c r="M217" s="4"/>
      <c r="N217" s="5"/>
      <c r="O217" s="4"/>
      <c r="P217" s="4">
        <f>=ROUNDDOWN({0},0)</f>
      </c>
      <c r="Q217" s="4"/>
      <c r="R217" s="5"/>
      <c r="S217" s="4"/>
      <c r="T217" s="6"/>
      <c r="U217" s="4">
        <v>167</v>
      </c>
      <c r="V217" s="6">
        <v>4974.1</v>
      </c>
      <c r="W217" s="5"/>
      <c r="X217" s="5"/>
      <c r="Y217" s="4"/>
      <c r="Z217" s="6"/>
      <c r="AA217" s="4">
        <v>25</v>
      </c>
      <c r="AB217" s="6">
        <v>770.9</v>
      </c>
      <c r="AC217" s="5"/>
      <c r="AD217" s="5"/>
      <c r="AE217" s="4"/>
      <c r="AF217" s="6"/>
      <c r="AG217" s="4">
        <v>10</v>
      </c>
      <c r="AH217" s="6">
        <v>318.32</v>
      </c>
      <c r="AI217" s="5"/>
      <c r="AJ217" s="5"/>
      <c r="AK217" s="4"/>
      <c r="AL217" s="6"/>
      <c r="AM217" s="4"/>
      <c r="AN217" s="6"/>
      <c r="AO217" s="5"/>
      <c r="AP217" s="5"/>
      <c r="AQ217" s="4"/>
      <c r="AR217" s="6"/>
      <c r="AS217" s="4">
        <v>19</v>
      </c>
      <c r="AT217" s="6">
        <v>526.6</v>
      </c>
      <c r="AU217" s="5"/>
      <c r="AV217" s="5"/>
      <c r="AW217" s="4"/>
      <c r="AX217" s="6"/>
      <c r="AY217" s="4">
        <v>3</v>
      </c>
      <c r="AZ217" s="6">
        <v>93.78</v>
      </c>
      <c r="BA217" s="5"/>
      <c r="BB217" s="5"/>
      <c r="BC217" s="4"/>
      <c r="BD217" s="6"/>
      <c r="BE217" s="4"/>
      <c r="BF217" s="6"/>
      <c r="BG217" s="5"/>
      <c r="BH217" s="5"/>
      <c r="BI217" s="4"/>
      <c r="BJ217" s="6"/>
      <c r="BK217" s="4">
        <v>61</v>
      </c>
      <c r="BL217" s="6">
        <v>1829.69</v>
      </c>
      <c r="BM217" s="5"/>
      <c r="BN217" s="5"/>
      <c r="BO217" s="4"/>
      <c r="BP217" s="6"/>
      <c r="BQ217" s="4">
        <v>31</v>
      </c>
      <c r="BR217" s="6">
        <v>900.26</v>
      </c>
      <c r="BS217" s="5"/>
      <c r="BT217" s="5"/>
      <c r="BU217" s="4"/>
      <c r="BV217" s="6"/>
      <c r="BW217" s="4"/>
      <c r="BX217" s="6"/>
      <c r="BY217" s="5"/>
      <c r="BZ217" s="5"/>
      <c r="CA217" s="4"/>
      <c r="CB217" s="6"/>
      <c r="CC217" s="4">
        <v>13</v>
      </c>
      <c r="CD217" s="6">
        <v>383.68</v>
      </c>
      <c r="CE217" s="5"/>
      <c r="CF217" s="5"/>
      <c r="CG217" s="4"/>
      <c r="CH217" s="6"/>
      <c r="CI217" s="4">
        <v>3</v>
      </c>
      <c r="CJ217" s="6">
        <v>71.35</v>
      </c>
      <c r="CK217" s="5"/>
      <c r="CL217" s="5"/>
      <c r="CM217" s="4"/>
      <c r="CN217" s="6"/>
      <c r="CO217" s="4"/>
      <c r="CP217" s="6"/>
      <c r="CQ217" s="5"/>
      <c r="CR217" s="5"/>
      <c r="CS217" s="4"/>
      <c r="CT217" s="6"/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/>
      <c r="DF217" s="6"/>
      <c r="DG217" s="4"/>
      <c r="DH217" s="6"/>
      <c r="DI217" s="5"/>
      <c r="DJ217" s="5"/>
      <c r="DK217" s="4"/>
      <c r="DL217" s="6"/>
      <c r="DM217" s="4">
        <v>1</v>
      </c>
      <c r="DN217" s="6">
        <v>37.49</v>
      </c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/>
      <c r="DZ217" s="6"/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>
        <v>1</v>
      </c>
      <c r="FV217" s="6">
        <v>42.03</v>
      </c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  <c r="IA217" s="4"/>
      <c r="IB217" s="6"/>
      <c r="IC217" s="4"/>
      <c r="ID217" s="6"/>
      <c r="IE217" s="5"/>
      <c r="IF217" s="5"/>
      <c r="IG217" s="4"/>
      <c r="IH217" s="6"/>
      <c r="II217" s="4"/>
      <c r="IJ217" s="6"/>
      <c r="IK217" s="5"/>
      <c r="IL217" s="5"/>
      <c r="IM217" s="4"/>
      <c r="IN217" s="6"/>
      <c r="IO217" s="4"/>
      <c r="IP217" s="6"/>
      <c r="IQ217" s="5"/>
      <c r="IR217" s="5"/>
      <c r="IS217" s="4"/>
      <c r="IT217" s="6"/>
      <c r="IU217" s="4"/>
      <c r="IV217" s="6"/>
      <c r="IW217" s="5"/>
      <c r="IX217" s="5"/>
      <c r="IY217" s="4"/>
      <c r="IZ217" s="6"/>
      <c r="JA217" s="4"/>
      <c r="JB217" s="6"/>
      <c r="JC217" s="5"/>
      <c r="JD217" s="5"/>
      <c r="JE217" s="4"/>
      <c r="JF217" s="6"/>
      <c r="JG217" s="4"/>
      <c r="JH217" s="6"/>
      <c r="JI217" s="5"/>
      <c r="JJ217" s="5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/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  <c r="LK217" s="4"/>
      <c r="LL217" s="4"/>
      <c r="LM217" s="4"/>
    </row>
    <row r="218">
      <c r="A218" s="3" t="s">
        <v>136</v>
      </c>
      <c r="B218" s="3" t="s">
        <v>172</v>
      </c>
      <c r="C218" s="3" t="s">
        <v>178</v>
      </c>
      <c r="D218" s="3" t="s">
        <v>179</v>
      </c>
      <c r="E218" s="3" t="s">
        <v>180</v>
      </c>
      <c r="F218" s="3" t="s">
        <v>180</v>
      </c>
      <c r="G218" s="3" t="s">
        <v>180</v>
      </c>
      <c r="H218" s="3" t="s">
        <v>167</v>
      </c>
      <c r="I218" s="3" t="s">
        <v>303</v>
      </c>
      <c r="J218" s="3" t="s">
        <v>241</v>
      </c>
      <c r="K218" s="4">
        <v>154</v>
      </c>
      <c r="L218" s="4">
        <f>=ROUNDDOWN(7.97927461139896,0)</f>
      </c>
      <c r="M218" s="4"/>
      <c r="N218" s="5"/>
      <c r="O218" s="4"/>
      <c r="P218" s="4">
        <f>=ROUNDDOWN({0},0)</f>
      </c>
      <c r="Q218" s="4"/>
      <c r="R218" s="5"/>
      <c r="S218" s="4">
        <v>32</v>
      </c>
      <c r="T218" s="6">
        <v>665.1</v>
      </c>
      <c r="U218" s="4">
        <v>199</v>
      </c>
      <c r="V218" s="6">
        <v>5841.62</v>
      </c>
      <c r="W218" s="5">
        <v>-0.8392</v>
      </c>
      <c r="X218" s="5">
        <v>-0.8861</v>
      </c>
      <c r="Y218" s="4"/>
      <c r="Z218" s="6"/>
      <c r="AA218" s="4">
        <v>10</v>
      </c>
      <c r="AB218" s="6">
        <v>280.4</v>
      </c>
      <c r="AC218" s="5"/>
      <c r="AD218" s="5"/>
      <c r="AE218" s="4">
        <v>3</v>
      </c>
      <c r="AF218" s="6">
        <v>85.08</v>
      </c>
      <c r="AG218" s="4">
        <v>12</v>
      </c>
      <c r="AH218" s="6">
        <v>382.99</v>
      </c>
      <c r="AI218" s="5">
        <v>-0.75</v>
      </c>
      <c r="AJ218" s="5">
        <v>-0.7779</v>
      </c>
      <c r="AK218" s="4"/>
      <c r="AL218" s="6"/>
      <c r="AM218" s="4"/>
      <c r="AN218" s="6"/>
      <c r="AO218" s="5"/>
      <c r="AP218" s="5"/>
      <c r="AQ218" s="4"/>
      <c r="AR218" s="6"/>
      <c r="AS218" s="4">
        <v>97</v>
      </c>
      <c r="AT218" s="6">
        <v>3124.91</v>
      </c>
      <c r="AU218" s="5"/>
      <c r="AV218" s="5"/>
      <c r="AW218" s="4"/>
      <c r="AX218" s="6"/>
      <c r="AY218" s="4">
        <v>8</v>
      </c>
      <c r="AZ218" s="6">
        <v>253.58</v>
      </c>
      <c r="BA218" s="5"/>
      <c r="BB218" s="5"/>
      <c r="BC218" s="4"/>
      <c r="BD218" s="6"/>
      <c r="BE218" s="4"/>
      <c r="BF218" s="6"/>
      <c r="BG218" s="5"/>
      <c r="BH218" s="5"/>
      <c r="BI218" s="4"/>
      <c r="BJ218" s="6"/>
      <c r="BK218" s="4">
        <v>22</v>
      </c>
      <c r="BL218" s="6">
        <v>583.14</v>
      </c>
      <c r="BM218" s="5"/>
      <c r="BN218" s="5"/>
      <c r="BO218" s="4">
        <v>13</v>
      </c>
      <c r="BP218" s="6">
        <v>205.01</v>
      </c>
      <c r="BQ218" s="4">
        <v>16</v>
      </c>
      <c r="BR218" s="6">
        <v>333.77</v>
      </c>
      <c r="BS218" s="5">
        <v>-0.1875</v>
      </c>
      <c r="BT218" s="5">
        <v>-0.3858</v>
      </c>
      <c r="BU218" s="4"/>
      <c r="BV218" s="6"/>
      <c r="BW218" s="4">
        <v>4</v>
      </c>
      <c r="BX218" s="6">
        <v>116.54</v>
      </c>
      <c r="BY218" s="5"/>
      <c r="BZ218" s="5"/>
      <c r="CA218" s="4">
        <v>5</v>
      </c>
      <c r="CB218" s="6">
        <v>130.7</v>
      </c>
      <c r="CC218" s="4">
        <v>10</v>
      </c>
      <c r="CD218" s="6">
        <v>248.73</v>
      </c>
      <c r="CE218" s="5">
        <v>-0.5</v>
      </c>
      <c r="CF218" s="5">
        <v>-0.4745</v>
      </c>
      <c r="CG218" s="4"/>
      <c r="CH218" s="6"/>
      <c r="CI218" s="4"/>
      <c r="CJ218" s="6"/>
      <c r="CK218" s="5"/>
      <c r="CL218" s="5"/>
      <c r="CM218" s="4"/>
      <c r="CN218" s="6"/>
      <c r="CO218" s="4"/>
      <c r="CP218" s="6"/>
      <c r="CQ218" s="5"/>
      <c r="CR218" s="5"/>
      <c r="CS218" s="4"/>
      <c r="CT218" s="6"/>
      <c r="CU218" s="4"/>
      <c r="CV218" s="6"/>
      <c r="CW218" s="5"/>
      <c r="CX218" s="5"/>
      <c r="CY218" s="4">
        <v>11</v>
      </c>
      <c r="CZ218" s="6">
        <v>244.31</v>
      </c>
      <c r="DA218" s="4">
        <v>15</v>
      </c>
      <c r="DB218" s="6">
        <v>357.39</v>
      </c>
      <c r="DC218" s="5">
        <v>-0.2667</v>
      </c>
      <c r="DD218" s="5">
        <v>-0.3164</v>
      </c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>
        <v>1</v>
      </c>
      <c r="FV218" s="6">
        <v>29.76</v>
      </c>
      <c r="FW218" s="5"/>
      <c r="FX218" s="5"/>
      <c r="FY218" s="4"/>
      <c r="FZ218" s="6"/>
      <c r="GA218" s="4">
        <v>4</v>
      </c>
      <c r="GB218" s="6">
        <v>130.41</v>
      </c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  <c r="IA218" s="4"/>
      <c r="IB218" s="6"/>
      <c r="IC218" s="4"/>
      <c r="ID218" s="6"/>
      <c r="IE218" s="5"/>
      <c r="IF218" s="5"/>
      <c r="IG218" s="4"/>
      <c r="IH218" s="6"/>
      <c r="II218" s="4"/>
      <c r="IJ218" s="6"/>
      <c r="IK218" s="5"/>
      <c r="IL218" s="5"/>
      <c r="IM218" s="4"/>
      <c r="IN218" s="6"/>
      <c r="IO218" s="4"/>
      <c r="IP218" s="6"/>
      <c r="IQ218" s="5"/>
      <c r="IR218" s="5"/>
      <c r="IS218" s="4"/>
      <c r="IT218" s="6"/>
      <c r="IU218" s="4"/>
      <c r="IV218" s="6"/>
      <c r="IW218" s="5"/>
      <c r="IX218" s="5"/>
      <c r="IY218" s="4"/>
      <c r="IZ218" s="6"/>
      <c r="JA218" s="4"/>
      <c r="JB218" s="6"/>
      <c r="JC218" s="5"/>
      <c r="JD218" s="5"/>
      <c r="JE218" s="4"/>
      <c r="JF218" s="6"/>
      <c r="JG218" s="4"/>
      <c r="JH218" s="6"/>
      <c r="JI218" s="5"/>
      <c r="JJ218" s="5"/>
      <c r="JK218" s="4">
        <v>154</v>
      </c>
      <c r="JL218" s="4"/>
      <c r="JM218" s="4"/>
      <c r="JN218" s="4"/>
      <c r="JO218" s="4"/>
      <c r="JP218" s="4"/>
      <c r="JQ218" s="4"/>
      <c r="JR218" s="4"/>
      <c r="JS218" s="4"/>
      <c r="JT218" s="4"/>
      <c r="JU218" s="4"/>
      <c r="JV218" s="4"/>
      <c r="JW218" s="4"/>
      <c r="JX218" s="4"/>
      <c r="JY218" s="4"/>
      <c r="JZ218" s="4"/>
      <c r="KA218" s="4"/>
      <c r="KB218" s="4"/>
      <c r="KC218" s="4"/>
      <c r="KD218" s="4"/>
      <c r="KE218" s="4"/>
      <c r="KF218" s="4"/>
      <c r="KG218" s="4"/>
      <c r="KH218" s="4"/>
      <c r="KI218" s="4"/>
      <c r="KJ218" s="4"/>
      <c r="KK218" s="4"/>
      <c r="KL218" s="4"/>
      <c r="KM218" s="4"/>
      <c r="KN218" s="4"/>
      <c r="KO218" s="4"/>
      <c r="KP218" s="4"/>
      <c r="KQ218" s="4"/>
      <c r="KR218" s="4"/>
      <c r="KS218" s="4"/>
      <c r="KT218" s="4"/>
      <c r="KU218" s="4"/>
      <c r="KV218" s="4"/>
      <c r="KW218" s="4"/>
      <c r="KX218" s="4"/>
      <c r="KY218" s="4"/>
      <c r="KZ218" s="4"/>
      <c r="LA218" s="4"/>
      <c r="LB218" s="4"/>
      <c r="LC218" s="4"/>
      <c r="LD218" s="4"/>
      <c r="LE218" s="4"/>
      <c r="LF218" s="4"/>
      <c r="LG218" s="4"/>
      <c r="LH218" s="4"/>
      <c r="LI218" s="4"/>
      <c r="LJ218" s="4"/>
      <c r="LK218" s="4"/>
      <c r="LL218" s="4"/>
      <c r="LM218" s="4"/>
    </row>
    <row r="219">
      <c r="A219" s="3" t="s">
        <v>136</v>
      </c>
      <c r="B219" s="3" t="s">
        <v>172</v>
      </c>
      <c r="C219" s="3" t="s">
        <v>178</v>
      </c>
      <c r="D219" s="3" t="s">
        <v>179</v>
      </c>
      <c r="E219" s="3" t="s">
        <v>180</v>
      </c>
      <c r="F219" s="3" t="s">
        <v>180</v>
      </c>
      <c r="G219" s="3" t="s">
        <v>180</v>
      </c>
      <c r="H219" s="3" t="s">
        <v>167</v>
      </c>
      <c r="I219" s="3" t="s">
        <v>319</v>
      </c>
      <c r="J219" s="3" t="s">
        <v>241</v>
      </c>
      <c r="K219" s="4">
        <v>225</v>
      </c>
      <c r="L219" s="4">
        <f>=ROUNDDOWN(13.5542168674699,0)</f>
      </c>
      <c r="M219" s="4"/>
      <c r="N219" s="5"/>
      <c r="O219" s="4"/>
      <c r="P219" s="4">
        <f>=ROUNDDOWN({0},0)</f>
      </c>
      <c r="Q219" s="4"/>
      <c r="R219" s="5"/>
      <c r="S219" s="4">
        <v>17</v>
      </c>
      <c r="T219" s="6">
        <v>349.41</v>
      </c>
      <c r="U219" s="4">
        <v>151</v>
      </c>
      <c r="V219" s="6">
        <v>4254.31</v>
      </c>
      <c r="W219" s="5">
        <v>-0.8874</v>
      </c>
      <c r="X219" s="5">
        <v>-0.9179</v>
      </c>
      <c r="Y219" s="4"/>
      <c r="Z219" s="6"/>
      <c r="AA219" s="4">
        <v>10</v>
      </c>
      <c r="AB219" s="6">
        <v>290.8</v>
      </c>
      <c r="AC219" s="5"/>
      <c r="AD219" s="5"/>
      <c r="AE219" s="4"/>
      <c r="AF219" s="6"/>
      <c r="AG219" s="4">
        <v>1</v>
      </c>
      <c r="AH219" s="6">
        <v>28.36</v>
      </c>
      <c r="AI219" s="5"/>
      <c r="AJ219" s="5"/>
      <c r="AK219" s="4"/>
      <c r="AL219" s="6"/>
      <c r="AM219" s="4"/>
      <c r="AN219" s="6"/>
      <c r="AO219" s="5"/>
      <c r="AP219" s="5"/>
      <c r="AQ219" s="4"/>
      <c r="AR219" s="6"/>
      <c r="AS219" s="4">
        <v>77</v>
      </c>
      <c r="AT219" s="6">
        <v>2472.69</v>
      </c>
      <c r="AU219" s="5"/>
      <c r="AV219" s="5"/>
      <c r="AW219" s="4"/>
      <c r="AX219" s="6"/>
      <c r="AY219" s="4">
        <v>4</v>
      </c>
      <c r="AZ219" s="6">
        <v>126.79</v>
      </c>
      <c r="BA219" s="5"/>
      <c r="BB219" s="5"/>
      <c r="BC219" s="4"/>
      <c r="BD219" s="6"/>
      <c r="BE219" s="4"/>
      <c r="BF219" s="6"/>
      <c r="BG219" s="5"/>
      <c r="BH219" s="5"/>
      <c r="BI219" s="4">
        <v>4</v>
      </c>
      <c r="BJ219" s="6">
        <v>99.32</v>
      </c>
      <c r="BK219" s="4">
        <v>29</v>
      </c>
      <c r="BL219" s="6">
        <v>633.28</v>
      </c>
      <c r="BM219" s="5">
        <v>-0.8621</v>
      </c>
      <c r="BN219" s="5">
        <v>-0.8432</v>
      </c>
      <c r="BO219" s="4">
        <v>6</v>
      </c>
      <c r="BP219" s="6">
        <v>94.62</v>
      </c>
      <c r="BQ219" s="4">
        <v>12</v>
      </c>
      <c r="BR219" s="6">
        <v>246.73</v>
      </c>
      <c r="BS219" s="5">
        <v>-0.5</v>
      </c>
      <c r="BT219" s="5">
        <v>-0.6165</v>
      </c>
      <c r="BU219" s="4"/>
      <c r="BV219" s="6"/>
      <c r="BW219" s="4">
        <v>1</v>
      </c>
      <c r="BX219" s="6">
        <v>28.8</v>
      </c>
      <c r="BY219" s="5"/>
      <c r="BZ219" s="5"/>
      <c r="CA219" s="4"/>
      <c r="CB219" s="6"/>
      <c r="CC219" s="4">
        <v>2</v>
      </c>
      <c r="CD219" s="6">
        <v>53.22</v>
      </c>
      <c r="CE219" s="5"/>
      <c r="CF219" s="5"/>
      <c r="CG219" s="4"/>
      <c r="CH219" s="6"/>
      <c r="CI219" s="4"/>
      <c r="CJ219" s="6"/>
      <c r="CK219" s="5"/>
      <c r="CL219" s="5"/>
      <c r="CM219" s="4"/>
      <c r="CN219" s="6"/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>
        <v>7</v>
      </c>
      <c r="CZ219" s="6">
        <v>155.47</v>
      </c>
      <c r="DA219" s="4">
        <v>13</v>
      </c>
      <c r="DB219" s="6">
        <v>318.22</v>
      </c>
      <c r="DC219" s="5">
        <v>-0.4615</v>
      </c>
      <c r="DD219" s="5">
        <v>-0.5114</v>
      </c>
      <c r="DE219" s="4"/>
      <c r="DF219" s="6"/>
      <c r="DG219" s="4"/>
      <c r="DH219" s="6"/>
      <c r="DI219" s="5"/>
      <c r="DJ219" s="5"/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/>
      <c r="DX219" s="6"/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>
        <v>2</v>
      </c>
      <c r="FV219" s="6">
        <v>55.42</v>
      </c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  <c r="IA219" s="4"/>
      <c r="IB219" s="6"/>
      <c r="IC219" s="4"/>
      <c r="ID219" s="6"/>
      <c r="IE219" s="5"/>
      <c r="IF219" s="5"/>
      <c r="IG219" s="4"/>
      <c r="IH219" s="6"/>
      <c r="II219" s="4"/>
      <c r="IJ219" s="6"/>
      <c r="IK219" s="5"/>
      <c r="IL219" s="5"/>
      <c r="IM219" s="4"/>
      <c r="IN219" s="6"/>
      <c r="IO219" s="4"/>
      <c r="IP219" s="6"/>
      <c r="IQ219" s="5"/>
      <c r="IR219" s="5"/>
      <c r="IS219" s="4"/>
      <c r="IT219" s="6"/>
      <c r="IU219" s="4"/>
      <c r="IV219" s="6"/>
      <c r="IW219" s="5"/>
      <c r="IX219" s="5"/>
      <c r="IY219" s="4"/>
      <c r="IZ219" s="6"/>
      <c r="JA219" s="4"/>
      <c r="JB219" s="6"/>
      <c r="JC219" s="5"/>
      <c r="JD219" s="5"/>
      <c r="JE219" s="4"/>
      <c r="JF219" s="6"/>
      <c r="JG219" s="4"/>
      <c r="JH219" s="6"/>
      <c r="JI219" s="5"/>
      <c r="JJ219" s="5"/>
      <c r="JK219" s="4">
        <v>225</v>
      </c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  <c r="LK219" s="4"/>
      <c r="LL219" s="4"/>
      <c r="LM219" s="4"/>
    </row>
    <row r="220">
      <c r="A220" s="3" t="s">
        <v>136</v>
      </c>
      <c r="B220" s="3" t="s">
        <v>172</v>
      </c>
      <c r="C220" s="3" t="s">
        <v>178</v>
      </c>
      <c r="D220" s="3" t="s">
        <v>179</v>
      </c>
      <c r="E220" s="3" t="s">
        <v>180</v>
      </c>
      <c r="F220" s="3" t="s">
        <v>180</v>
      </c>
      <c r="G220" s="3" t="s">
        <v>180</v>
      </c>
      <c r="H220" s="3" t="s">
        <v>167</v>
      </c>
      <c r="I220" s="3" t="s">
        <v>320</v>
      </c>
      <c r="J220" s="3" t="s">
        <v>241</v>
      </c>
      <c r="K220" s="4"/>
      <c r="L220" s="4">
        <f>=ROUNDDOWN({0},0)</f>
      </c>
      <c r="M220" s="4"/>
      <c r="N220" s="5"/>
      <c r="O220" s="4"/>
      <c r="P220" s="4">
        <f>=ROUNDDOWN({0},0)</f>
      </c>
      <c r="Q220" s="4"/>
      <c r="R220" s="5"/>
      <c r="S220" s="4"/>
      <c r="T220" s="6"/>
      <c r="U220" s="4">
        <v>96</v>
      </c>
      <c r="V220" s="6">
        <v>2691.87</v>
      </c>
      <c r="W220" s="5"/>
      <c r="X220" s="5"/>
      <c r="Y220" s="4"/>
      <c r="Z220" s="6"/>
      <c r="AA220" s="4"/>
      <c r="AB220" s="6"/>
      <c r="AC220" s="5"/>
      <c r="AD220" s="5"/>
      <c r="AE220" s="4"/>
      <c r="AF220" s="6"/>
      <c r="AG220" s="4">
        <v>3</v>
      </c>
      <c r="AH220" s="6">
        <v>93.55</v>
      </c>
      <c r="AI220" s="5"/>
      <c r="AJ220" s="5"/>
      <c r="AK220" s="4"/>
      <c r="AL220" s="6"/>
      <c r="AM220" s="4"/>
      <c r="AN220" s="6"/>
      <c r="AO220" s="5"/>
      <c r="AP220" s="5"/>
      <c r="AQ220" s="4"/>
      <c r="AR220" s="6"/>
      <c r="AS220" s="4">
        <v>37</v>
      </c>
      <c r="AT220" s="6">
        <v>962.74</v>
      </c>
      <c r="AU220" s="5"/>
      <c r="AV220" s="5"/>
      <c r="AW220" s="4"/>
      <c r="AX220" s="6"/>
      <c r="AY220" s="4"/>
      <c r="AZ220" s="6"/>
      <c r="BA220" s="5"/>
      <c r="BB220" s="5"/>
      <c r="BC220" s="4"/>
      <c r="BD220" s="6"/>
      <c r="BE220" s="4"/>
      <c r="BF220" s="6"/>
      <c r="BG220" s="5"/>
      <c r="BH220" s="5"/>
      <c r="BI220" s="4"/>
      <c r="BJ220" s="6"/>
      <c r="BK220" s="4">
        <v>5</v>
      </c>
      <c r="BL220" s="6">
        <v>108.06</v>
      </c>
      <c r="BM220" s="5"/>
      <c r="BN220" s="5"/>
      <c r="BO220" s="4"/>
      <c r="BP220" s="6"/>
      <c r="BQ220" s="4">
        <v>10</v>
      </c>
      <c r="BR220" s="6">
        <v>200.58</v>
      </c>
      <c r="BS220" s="5"/>
      <c r="BT220" s="5"/>
      <c r="BU220" s="4"/>
      <c r="BV220" s="6"/>
      <c r="BW220" s="4">
        <v>4</v>
      </c>
      <c r="BX220" s="6">
        <v>132.51</v>
      </c>
      <c r="BY220" s="5"/>
      <c r="BZ220" s="5"/>
      <c r="CA220" s="4"/>
      <c r="CB220" s="6"/>
      <c r="CC220" s="4">
        <v>1</v>
      </c>
      <c r="CD220" s="6">
        <v>24.25</v>
      </c>
      <c r="CE220" s="5"/>
      <c r="CF220" s="5"/>
      <c r="CG220" s="4"/>
      <c r="CH220" s="6"/>
      <c r="CI220" s="4">
        <v>30</v>
      </c>
      <c r="CJ220" s="6">
        <v>996.72</v>
      </c>
      <c r="CK220" s="5"/>
      <c r="CL220" s="5"/>
      <c r="CM220" s="4"/>
      <c r="CN220" s="6"/>
      <c r="CO220" s="4"/>
      <c r="CP220" s="6"/>
      <c r="CQ220" s="5"/>
      <c r="CR220" s="5"/>
      <c r="CS220" s="4"/>
      <c r="CT220" s="6"/>
      <c r="CU220" s="4"/>
      <c r="CV220" s="6"/>
      <c r="CW220" s="5"/>
      <c r="CX220" s="5"/>
      <c r="CY220" s="4"/>
      <c r="CZ220" s="6"/>
      <c r="DA220" s="4">
        <v>4</v>
      </c>
      <c r="DB220" s="6">
        <v>115.5</v>
      </c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>
        <v>2</v>
      </c>
      <c r="GB220" s="6">
        <v>57.96</v>
      </c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  <c r="IA220" s="4"/>
      <c r="IB220" s="6"/>
      <c r="IC220" s="4"/>
      <c r="ID220" s="6"/>
      <c r="IE220" s="5"/>
      <c r="IF220" s="5"/>
      <c r="IG220" s="4"/>
      <c r="IH220" s="6"/>
      <c r="II220" s="4"/>
      <c r="IJ220" s="6"/>
      <c r="IK220" s="5"/>
      <c r="IL220" s="5"/>
      <c r="IM220" s="4"/>
      <c r="IN220" s="6"/>
      <c r="IO220" s="4"/>
      <c r="IP220" s="6"/>
      <c r="IQ220" s="5"/>
      <c r="IR220" s="5"/>
      <c r="IS220" s="4"/>
      <c r="IT220" s="6"/>
      <c r="IU220" s="4"/>
      <c r="IV220" s="6"/>
      <c r="IW220" s="5"/>
      <c r="IX220" s="5"/>
      <c r="IY220" s="4"/>
      <c r="IZ220" s="6"/>
      <c r="JA220" s="4"/>
      <c r="JB220" s="6"/>
      <c r="JC220" s="5"/>
      <c r="JD220" s="5"/>
      <c r="JE220" s="4"/>
      <c r="JF220" s="6"/>
      <c r="JG220" s="4"/>
      <c r="JH220" s="6"/>
      <c r="JI220" s="5"/>
      <c r="JJ220" s="5"/>
      <c r="JK220" s="4"/>
      <c r="JL220" s="4"/>
      <c r="JM220" s="4"/>
      <c r="JN220" s="4"/>
      <c r="JO220" s="4"/>
      <c r="JP220" s="4"/>
      <c r="JQ220" s="4"/>
      <c r="JR220" s="4"/>
      <c r="JS220" s="4"/>
      <c r="JT220" s="4"/>
      <c r="JU220" s="4"/>
      <c r="JV220" s="4"/>
      <c r="JW220" s="4"/>
      <c r="JX220" s="4"/>
      <c r="JY220" s="4"/>
      <c r="JZ220" s="4"/>
      <c r="KA220" s="4"/>
      <c r="KB220" s="4"/>
      <c r="KC220" s="4"/>
      <c r="KD220" s="4"/>
      <c r="KE220" s="4"/>
      <c r="KF220" s="4"/>
      <c r="KG220" s="4"/>
      <c r="KH220" s="4"/>
      <c r="KI220" s="4"/>
      <c r="KJ220" s="4"/>
      <c r="KK220" s="4"/>
      <c r="KL220" s="4"/>
      <c r="KM220" s="4"/>
      <c r="KN220" s="4"/>
      <c r="KO220" s="4"/>
      <c r="KP220" s="4"/>
      <c r="KQ220" s="4"/>
      <c r="KR220" s="4"/>
      <c r="KS220" s="4"/>
      <c r="KT220" s="4"/>
      <c r="KU220" s="4"/>
      <c r="KV220" s="4"/>
      <c r="KW220" s="4"/>
      <c r="KX220" s="4"/>
      <c r="KY220" s="4"/>
      <c r="KZ220" s="4"/>
      <c r="LA220" s="4"/>
      <c r="LB220" s="4"/>
      <c r="LC220" s="4"/>
      <c r="LD220" s="4"/>
      <c r="LE220" s="4"/>
      <c r="LF220" s="4"/>
      <c r="LG220" s="4"/>
      <c r="LH220" s="4"/>
      <c r="LI220" s="4"/>
      <c r="LJ220" s="4"/>
      <c r="LK220" s="4"/>
      <c r="LL220" s="4"/>
      <c r="LM220" s="4"/>
    </row>
    <row r="221">
      <c r="A221" s="3" t="s">
        <v>136</v>
      </c>
      <c r="B221" s="3" t="s">
        <v>172</v>
      </c>
      <c r="C221" s="3" t="s">
        <v>178</v>
      </c>
      <c r="D221" s="3" t="s">
        <v>179</v>
      </c>
      <c r="E221" s="3" t="s">
        <v>180</v>
      </c>
      <c r="F221" s="3" t="s">
        <v>180</v>
      </c>
      <c r="G221" s="3" t="s">
        <v>180</v>
      </c>
      <c r="H221" s="3" t="s">
        <v>167</v>
      </c>
      <c r="I221" s="3" t="s">
        <v>321</v>
      </c>
      <c r="J221" s="3" t="s">
        <v>241</v>
      </c>
      <c r="K221" s="4"/>
      <c r="L221" s="4">
        <f>=ROUNDDOWN({0},0)</f>
      </c>
      <c r="M221" s="4"/>
      <c r="N221" s="5"/>
      <c r="O221" s="4"/>
      <c r="P221" s="4">
        <f>=ROUNDDOWN({0},0)</f>
      </c>
      <c r="Q221" s="4"/>
      <c r="R221" s="5"/>
      <c r="S221" s="4"/>
      <c r="T221" s="6"/>
      <c r="U221" s="4">
        <v>59</v>
      </c>
      <c r="V221" s="6">
        <v>1799.84</v>
      </c>
      <c r="W221" s="5"/>
      <c r="X221" s="5"/>
      <c r="Y221" s="4"/>
      <c r="Z221" s="6"/>
      <c r="AA221" s="4"/>
      <c r="AB221" s="6"/>
      <c r="AC221" s="5"/>
      <c r="AD221" s="5"/>
      <c r="AE221" s="4"/>
      <c r="AF221" s="6"/>
      <c r="AG221" s="4"/>
      <c r="AH221" s="6"/>
      <c r="AI221" s="5"/>
      <c r="AJ221" s="5"/>
      <c r="AK221" s="4"/>
      <c r="AL221" s="6"/>
      <c r="AM221" s="4"/>
      <c r="AN221" s="6"/>
      <c r="AO221" s="5"/>
      <c r="AP221" s="5"/>
      <c r="AQ221" s="4"/>
      <c r="AR221" s="6"/>
      <c r="AS221" s="4">
        <v>25</v>
      </c>
      <c r="AT221" s="6">
        <v>923</v>
      </c>
      <c r="AU221" s="5"/>
      <c r="AV221" s="5"/>
      <c r="AW221" s="4"/>
      <c r="AX221" s="6"/>
      <c r="AY221" s="4"/>
      <c r="AZ221" s="6"/>
      <c r="BA221" s="5"/>
      <c r="BB221" s="5"/>
      <c r="BC221" s="4"/>
      <c r="BD221" s="6"/>
      <c r="BE221" s="4"/>
      <c r="BF221" s="6"/>
      <c r="BG221" s="5"/>
      <c r="BH221" s="5"/>
      <c r="BI221" s="4"/>
      <c r="BJ221" s="6"/>
      <c r="BK221" s="4">
        <v>27</v>
      </c>
      <c r="BL221" s="6">
        <v>665.82</v>
      </c>
      <c r="BM221" s="5"/>
      <c r="BN221" s="5"/>
      <c r="BO221" s="4"/>
      <c r="BP221" s="6"/>
      <c r="BQ221" s="4">
        <v>3</v>
      </c>
      <c r="BR221" s="6">
        <v>78.1</v>
      </c>
      <c r="BS221" s="5"/>
      <c r="BT221" s="5"/>
      <c r="BU221" s="4"/>
      <c r="BV221" s="6"/>
      <c r="BW221" s="4"/>
      <c r="BX221" s="6"/>
      <c r="BY221" s="5"/>
      <c r="BZ221" s="5"/>
      <c r="CA221" s="4"/>
      <c r="CB221" s="6"/>
      <c r="CC221" s="4">
        <v>1</v>
      </c>
      <c r="CD221" s="6">
        <v>33.8</v>
      </c>
      <c r="CE221" s="5"/>
      <c r="CF221" s="5"/>
      <c r="CG221" s="4"/>
      <c r="CH221" s="6"/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/>
      <c r="CT221" s="6"/>
      <c r="CU221" s="4">
        <v>2</v>
      </c>
      <c r="CV221" s="6">
        <v>67.62</v>
      </c>
      <c r="CW221" s="5"/>
      <c r="CX221" s="5"/>
      <c r="CY221" s="4"/>
      <c r="CZ221" s="6"/>
      <c r="DA221" s="4">
        <v>1</v>
      </c>
      <c r="DB221" s="6">
        <v>31.5</v>
      </c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  <c r="IA221" s="4"/>
      <c r="IB221" s="6"/>
      <c r="IC221" s="4"/>
      <c r="ID221" s="6"/>
      <c r="IE221" s="5"/>
      <c r="IF221" s="5"/>
      <c r="IG221" s="4"/>
      <c r="IH221" s="6"/>
      <c r="II221" s="4"/>
      <c r="IJ221" s="6"/>
      <c r="IK221" s="5"/>
      <c r="IL221" s="5"/>
      <c r="IM221" s="4"/>
      <c r="IN221" s="6"/>
      <c r="IO221" s="4"/>
      <c r="IP221" s="6"/>
      <c r="IQ221" s="5"/>
      <c r="IR221" s="5"/>
      <c r="IS221" s="4"/>
      <c r="IT221" s="6"/>
      <c r="IU221" s="4"/>
      <c r="IV221" s="6"/>
      <c r="IW221" s="5"/>
      <c r="IX221" s="5"/>
      <c r="IY221" s="4"/>
      <c r="IZ221" s="6"/>
      <c r="JA221" s="4"/>
      <c r="JB221" s="6"/>
      <c r="JC221" s="5"/>
      <c r="JD221" s="5"/>
      <c r="JE221" s="4"/>
      <c r="JF221" s="6"/>
      <c r="JG221" s="4"/>
      <c r="JH221" s="6"/>
      <c r="JI221" s="5"/>
      <c r="JJ221" s="5"/>
      <c r="JK221" s="4"/>
      <c r="JL221" s="4"/>
      <c r="JM221" s="4"/>
      <c r="JN221" s="4"/>
      <c r="JO221" s="4"/>
      <c r="JP221" s="4"/>
      <c r="JQ221" s="4"/>
      <c r="JR221" s="4"/>
      <c r="JS221" s="4"/>
      <c r="JT221" s="4"/>
      <c r="JU221" s="4"/>
      <c r="JV221" s="4"/>
      <c r="JW221" s="4"/>
      <c r="JX221" s="4"/>
      <c r="JY221" s="4"/>
      <c r="JZ221" s="4"/>
      <c r="KA221" s="4"/>
      <c r="KB221" s="4"/>
      <c r="KC221" s="4"/>
      <c r="KD221" s="4"/>
      <c r="KE221" s="4"/>
      <c r="KF221" s="4"/>
      <c r="KG221" s="4"/>
      <c r="KH221" s="4"/>
      <c r="KI221" s="4"/>
      <c r="KJ221" s="4"/>
      <c r="KK221" s="4"/>
      <c r="KL221" s="4"/>
      <c r="KM221" s="4"/>
      <c r="KN221" s="4"/>
      <c r="KO221" s="4"/>
      <c r="KP221" s="4"/>
      <c r="KQ221" s="4"/>
      <c r="KR221" s="4"/>
      <c r="KS221" s="4"/>
      <c r="KT221" s="4"/>
      <c r="KU221" s="4"/>
      <c r="KV221" s="4"/>
      <c r="KW221" s="4"/>
      <c r="KX221" s="4"/>
      <c r="KY221" s="4"/>
      <c r="KZ221" s="4"/>
      <c r="LA221" s="4"/>
      <c r="LB221" s="4"/>
      <c r="LC221" s="4"/>
      <c r="LD221" s="4"/>
      <c r="LE221" s="4"/>
      <c r="LF221" s="4"/>
      <c r="LG221" s="4"/>
      <c r="LH221" s="4"/>
      <c r="LI221" s="4"/>
      <c r="LJ221" s="4"/>
      <c r="LK221" s="4"/>
      <c r="LL221" s="4"/>
      <c r="LM221" s="4"/>
    </row>
    <row r="222">
      <c r="A222" s="3" t="s">
        <v>136</v>
      </c>
      <c r="B222" s="3" t="s">
        <v>181</v>
      </c>
      <c r="C222" s="3" t="s">
        <v>138</v>
      </c>
      <c r="D222" s="3" t="s">
        <v>139</v>
      </c>
      <c r="E222" s="3" t="s">
        <v>182</v>
      </c>
      <c r="F222" s="3" t="s">
        <v>182</v>
      </c>
      <c r="G222" s="3" t="s">
        <v>182</v>
      </c>
      <c r="H222" s="3" t="s">
        <v>183</v>
      </c>
      <c r="I222" s="3" t="s">
        <v>232</v>
      </c>
      <c r="J222" s="3" t="s">
        <v>243</v>
      </c>
      <c r="K222" s="4">
        <v>22</v>
      </c>
      <c r="L222" s="4">
        <f>=ROUNDDOWN(0.192982456140351,0)</f>
      </c>
      <c r="M222" s="4">
        <v>4140</v>
      </c>
      <c r="N222" s="5">
        <v>0.7926</v>
      </c>
      <c r="O222" s="4"/>
      <c r="P222" s="4">
        <f>=ROUNDDOWN({0},0)</f>
      </c>
      <c r="Q222" s="4"/>
      <c r="R222" s="5"/>
      <c r="S222" s="4">
        <v>1015</v>
      </c>
      <c r="T222" s="6">
        <v>24786.52</v>
      </c>
      <c r="U222" s="4">
        <v>523</v>
      </c>
      <c r="V222" s="6">
        <v>12322.29</v>
      </c>
      <c r="W222" s="5">
        <v>0.9407</v>
      </c>
      <c r="X222" s="5">
        <v>1.0115</v>
      </c>
      <c r="Y222" s="4">
        <v>25</v>
      </c>
      <c r="Z222" s="6">
        <v>598.38</v>
      </c>
      <c r="AA222" s="4">
        <v>9</v>
      </c>
      <c r="AB222" s="6">
        <v>213.97</v>
      </c>
      <c r="AC222" s="5">
        <v>1.7778</v>
      </c>
      <c r="AD222" s="5">
        <v>1.7966</v>
      </c>
      <c r="AE222" s="4">
        <v>19</v>
      </c>
      <c r="AF222" s="6">
        <v>513.21</v>
      </c>
      <c r="AG222" s="4"/>
      <c r="AH222" s="6"/>
      <c r="AI222" s="5"/>
      <c r="AJ222" s="5"/>
      <c r="AK222" s="4"/>
      <c r="AL222" s="6"/>
      <c r="AM222" s="4"/>
      <c r="AN222" s="6"/>
      <c r="AO222" s="5"/>
      <c r="AP222" s="5"/>
      <c r="AQ222" s="4">
        <v>683</v>
      </c>
      <c r="AR222" s="6">
        <v>16861.2</v>
      </c>
      <c r="AS222" s="4">
        <v>318</v>
      </c>
      <c r="AT222" s="6">
        <v>7655.99</v>
      </c>
      <c r="AU222" s="5">
        <v>1.1478</v>
      </c>
      <c r="AV222" s="5">
        <v>1.2024</v>
      </c>
      <c r="AW222" s="4">
        <v>25</v>
      </c>
      <c r="AX222" s="6">
        <v>614.89</v>
      </c>
      <c r="AY222" s="4">
        <v>39</v>
      </c>
      <c r="AZ222" s="6">
        <v>888.55</v>
      </c>
      <c r="BA222" s="5">
        <v>-0.359</v>
      </c>
      <c r="BB222" s="5">
        <v>-0.308</v>
      </c>
      <c r="BC222" s="4">
        <v>168</v>
      </c>
      <c r="BD222" s="6">
        <v>4007.55</v>
      </c>
      <c r="BE222" s="4">
        <v>122</v>
      </c>
      <c r="BF222" s="6">
        <v>2769.73</v>
      </c>
      <c r="BG222" s="5">
        <v>0.377</v>
      </c>
      <c r="BH222" s="5">
        <v>0.4469</v>
      </c>
      <c r="BI222" s="4">
        <v>35</v>
      </c>
      <c r="BJ222" s="6">
        <v>856.52</v>
      </c>
      <c r="BK222" s="4">
        <v>12</v>
      </c>
      <c r="BL222" s="6">
        <v>279.74</v>
      </c>
      <c r="BM222" s="5">
        <v>1.9167</v>
      </c>
      <c r="BN222" s="5">
        <v>2.0618</v>
      </c>
      <c r="BO222" s="4">
        <v>24</v>
      </c>
      <c r="BP222" s="6">
        <v>464.15</v>
      </c>
      <c r="BQ222" s="4">
        <v>9</v>
      </c>
      <c r="BR222" s="6">
        <v>177.88</v>
      </c>
      <c r="BS222" s="5">
        <v>1.6667</v>
      </c>
      <c r="BT222" s="5">
        <v>1.6093</v>
      </c>
      <c r="BU222" s="4">
        <v>6</v>
      </c>
      <c r="BV222" s="6">
        <v>141.14</v>
      </c>
      <c r="BW222" s="4">
        <v>4</v>
      </c>
      <c r="BX222" s="6">
        <v>97.95</v>
      </c>
      <c r="BY222" s="5">
        <v>0.5</v>
      </c>
      <c r="BZ222" s="5">
        <v>0.4409</v>
      </c>
      <c r="CA222" s="4"/>
      <c r="CB222" s="6"/>
      <c r="CC222" s="4">
        <v>1</v>
      </c>
      <c r="CD222" s="6">
        <v>21.16</v>
      </c>
      <c r="CE222" s="5"/>
      <c r="CF222" s="5"/>
      <c r="CG222" s="4">
        <v>19</v>
      </c>
      <c r="CH222" s="6">
        <v>437.5</v>
      </c>
      <c r="CI222" s="4">
        <v>4</v>
      </c>
      <c r="CJ222" s="6">
        <v>93.78</v>
      </c>
      <c r="CK222" s="5">
        <v>3.75</v>
      </c>
      <c r="CL222" s="5">
        <v>3.6652</v>
      </c>
      <c r="CM222" s="4"/>
      <c r="CN222" s="6"/>
      <c r="CO222" s="4"/>
      <c r="CP222" s="6"/>
      <c r="CQ222" s="5"/>
      <c r="CR222" s="5"/>
      <c r="CS222" s="4">
        <v>3</v>
      </c>
      <c r="CT222" s="6">
        <v>71.2</v>
      </c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>
        <v>7</v>
      </c>
      <c r="DR222" s="6">
        <v>198.1</v>
      </c>
      <c r="DS222" s="4">
        <v>1</v>
      </c>
      <c r="DT222" s="6">
        <v>28.3</v>
      </c>
      <c r="DU222" s="5">
        <v>6</v>
      </c>
      <c r="DV222" s="5">
        <v>6</v>
      </c>
      <c r="DW222" s="4"/>
      <c r="DX222" s="6"/>
      <c r="DY222" s="4"/>
      <c r="DZ222" s="6"/>
      <c r="EA222" s="5"/>
      <c r="EB222" s="5"/>
      <c r="EC222" s="4">
        <v>1</v>
      </c>
      <c r="ED222" s="6">
        <v>22.68</v>
      </c>
      <c r="EE222" s="4">
        <v>2</v>
      </c>
      <c r="EF222" s="6">
        <v>45.36</v>
      </c>
      <c r="EG222" s="5">
        <v>-0.5</v>
      </c>
      <c r="EH222" s="5">
        <v>-0.5</v>
      </c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>
        <v>2</v>
      </c>
      <c r="FV222" s="6">
        <v>49.88</v>
      </c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  <c r="IA222" s="4"/>
      <c r="IB222" s="6"/>
      <c r="IC222" s="4"/>
      <c r="ID222" s="6"/>
      <c r="IE222" s="5"/>
      <c r="IF222" s="5"/>
      <c r="IG222" s="4"/>
      <c r="IH222" s="6"/>
      <c r="II222" s="4"/>
      <c r="IJ222" s="6"/>
      <c r="IK222" s="5"/>
      <c r="IL222" s="5"/>
      <c r="IM222" s="4"/>
      <c r="IN222" s="6"/>
      <c r="IO222" s="4"/>
      <c r="IP222" s="6"/>
      <c r="IQ222" s="5"/>
      <c r="IR222" s="5"/>
      <c r="IS222" s="4"/>
      <c r="IT222" s="6"/>
      <c r="IU222" s="4"/>
      <c r="IV222" s="6"/>
      <c r="IW222" s="5"/>
      <c r="IX222" s="5"/>
      <c r="IY222" s="4"/>
      <c r="IZ222" s="6"/>
      <c r="JA222" s="4"/>
      <c r="JB222" s="6"/>
      <c r="JC222" s="5"/>
      <c r="JD222" s="5"/>
      <c r="JE222" s="4"/>
      <c r="JF222" s="6"/>
      <c r="JG222" s="4"/>
      <c r="JH222" s="6"/>
      <c r="JI222" s="5"/>
      <c r="JJ222" s="5"/>
      <c r="JK222" s="4">
        <v>22</v>
      </c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>
        <v>480</v>
      </c>
      <c r="KC222" s="4"/>
      <c r="KD222" s="4"/>
      <c r="KE222" s="4"/>
      <c r="KF222" s="4"/>
      <c r="KG222" s="4"/>
      <c r="KH222" s="4"/>
      <c r="KI222" s="4">
        <v>640</v>
      </c>
      <c r="KJ222" s="4"/>
      <c r="KK222" s="4">
        <v>430</v>
      </c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>
        <v>1200</v>
      </c>
      <c r="KZ222" s="4"/>
      <c r="LA222" s="4"/>
      <c r="LB222" s="4"/>
      <c r="LC222" s="4"/>
      <c r="LD222" s="4"/>
      <c r="LE222" s="4"/>
      <c r="LF222" s="4"/>
      <c r="LG222" s="4">
        <v>490</v>
      </c>
      <c r="LH222" s="4"/>
      <c r="LI222" s="4"/>
      <c r="LJ222" s="4"/>
      <c r="LK222" s="4"/>
      <c r="LL222" s="4">
        <v>900</v>
      </c>
      <c r="LM222" s="4"/>
    </row>
    <row r="223">
      <c r="A223" s="3" t="s">
        <v>136</v>
      </c>
      <c r="B223" s="3" t="s">
        <v>181</v>
      </c>
      <c r="C223" s="3" t="s">
        <v>138</v>
      </c>
      <c r="D223" s="3" t="s">
        <v>139</v>
      </c>
      <c r="E223" s="3" t="s">
        <v>182</v>
      </c>
      <c r="F223" s="3" t="s">
        <v>182</v>
      </c>
      <c r="G223" s="3" t="s">
        <v>182</v>
      </c>
      <c r="H223" s="3" t="s">
        <v>183</v>
      </c>
      <c r="I223" s="3" t="s">
        <v>233</v>
      </c>
      <c r="J223" s="3" t="s">
        <v>228</v>
      </c>
      <c r="K223" s="4">
        <v>430</v>
      </c>
      <c r="L223" s="4">
        <f>=ROUNDDOWN(5.05882352941177,0)</f>
      </c>
      <c r="M223" s="4">
        <v>2480</v>
      </c>
      <c r="N223" s="5">
        <v>0.8687</v>
      </c>
      <c r="O223" s="4"/>
      <c r="P223" s="4">
        <f>=ROUNDDOWN({0},0)</f>
      </c>
      <c r="Q223" s="4"/>
      <c r="R223" s="5"/>
      <c r="S223" s="4">
        <v>781</v>
      </c>
      <c r="T223" s="6">
        <v>20333.89</v>
      </c>
      <c r="U223" s="4">
        <v>506</v>
      </c>
      <c r="V223" s="6">
        <v>12632.84</v>
      </c>
      <c r="W223" s="5">
        <v>0.5435</v>
      </c>
      <c r="X223" s="5">
        <v>0.6096</v>
      </c>
      <c r="Y223" s="4">
        <v>23</v>
      </c>
      <c r="Z223" s="6">
        <v>620.39</v>
      </c>
      <c r="AA223" s="4">
        <v>37</v>
      </c>
      <c r="AB223" s="6">
        <v>994.38</v>
      </c>
      <c r="AC223" s="5">
        <v>-0.3784</v>
      </c>
      <c r="AD223" s="5">
        <v>-0.3761</v>
      </c>
      <c r="AE223" s="4">
        <v>32</v>
      </c>
      <c r="AF223" s="6">
        <v>916.83</v>
      </c>
      <c r="AG223" s="4">
        <v>10</v>
      </c>
      <c r="AH223" s="6">
        <v>285.52</v>
      </c>
      <c r="AI223" s="5">
        <v>2.2</v>
      </c>
      <c r="AJ223" s="5">
        <v>2.2111</v>
      </c>
      <c r="AK223" s="4"/>
      <c r="AL223" s="6"/>
      <c r="AM223" s="4"/>
      <c r="AN223" s="6"/>
      <c r="AO223" s="5"/>
      <c r="AP223" s="5"/>
      <c r="AQ223" s="4">
        <v>433</v>
      </c>
      <c r="AR223" s="6">
        <v>11539.38</v>
      </c>
      <c r="AS223" s="4">
        <v>164</v>
      </c>
      <c r="AT223" s="6">
        <v>4039.04</v>
      </c>
      <c r="AU223" s="5">
        <v>1.6402</v>
      </c>
      <c r="AV223" s="5">
        <v>1.857</v>
      </c>
      <c r="AW223" s="4">
        <v>17</v>
      </c>
      <c r="AX223" s="6">
        <v>395.77</v>
      </c>
      <c r="AY223" s="4">
        <v>56</v>
      </c>
      <c r="AZ223" s="6">
        <v>1364.5</v>
      </c>
      <c r="BA223" s="5">
        <v>-0.6964</v>
      </c>
      <c r="BB223" s="5">
        <v>-0.71</v>
      </c>
      <c r="BC223" s="4">
        <v>137</v>
      </c>
      <c r="BD223" s="6">
        <v>3514.09</v>
      </c>
      <c r="BE223" s="4">
        <v>132</v>
      </c>
      <c r="BF223" s="6">
        <v>3240.79</v>
      </c>
      <c r="BG223" s="5">
        <v>0.0379</v>
      </c>
      <c r="BH223" s="5">
        <v>0.0843</v>
      </c>
      <c r="BI223" s="4">
        <v>36</v>
      </c>
      <c r="BJ223" s="6">
        <v>945.08</v>
      </c>
      <c r="BK223" s="4">
        <v>20</v>
      </c>
      <c r="BL223" s="6">
        <v>557.74</v>
      </c>
      <c r="BM223" s="5">
        <v>0.8</v>
      </c>
      <c r="BN223" s="5">
        <v>0.6945</v>
      </c>
      <c r="BO223" s="4">
        <v>39</v>
      </c>
      <c r="BP223" s="6">
        <v>768.44</v>
      </c>
      <c r="BQ223" s="4">
        <v>24</v>
      </c>
      <c r="BR223" s="6">
        <v>546.74</v>
      </c>
      <c r="BS223" s="5">
        <v>0.625</v>
      </c>
      <c r="BT223" s="5">
        <v>0.4055</v>
      </c>
      <c r="BU223" s="4">
        <v>12</v>
      </c>
      <c r="BV223" s="6">
        <v>315.16</v>
      </c>
      <c r="BW223" s="4">
        <v>21</v>
      </c>
      <c r="BX223" s="6">
        <v>538.05</v>
      </c>
      <c r="BY223" s="5">
        <v>-0.4286</v>
      </c>
      <c r="BZ223" s="5">
        <v>-0.4143</v>
      </c>
      <c r="CA223" s="4">
        <v>2</v>
      </c>
      <c r="CB223" s="6">
        <v>53.36</v>
      </c>
      <c r="CC223" s="4">
        <v>10</v>
      </c>
      <c r="CD223" s="6">
        <v>263.21</v>
      </c>
      <c r="CE223" s="5">
        <v>-0.8</v>
      </c>
      <c r="CF223" s="5">
        <v>-0.7973</v>
      </c>
      <c r="CG223" s="4">
        <v>27</v>
      </c>
      <c r="CH223" s="6">
        <v>715.29</v>
      </c>
      <c r="CI223" s="4">
        <v>10</v>
      </c>
      <c r="CJ223" s="6">
        <v>214.82</v>
      </c>
      <c r="CK223" s="5">
        <v>1.7</v>
      </c>
      <c r="CL223" s="5">
        <v>2.3297</v>
      </c>
      <c r="CM223" s="4"/>
      <c r="CN223" s="6"/>
      <c r="CO223" s="4"/>
      <c r="CP223" s="6"/>
      <c r="CQ223" s="5"/>
      <c r="CR223" s="5"/>
      <c r="CS223" s="4">
        <v>8</v>
      </c>
      <c r="CT223" s="6">
        <v>182.83</v>
      </c>
      <c r="CU223" s="4"/>
      <c r="CV223" s="6"/>
      <c r="CW223" s="5"/>
      <c r="CX223" s="5"/>
      <c r="CY223" s="4">
        <v>7</v>
      </c>
      <c r="CZ223" s="6">
        <v>158.76</v>
      </c>
      <c r="DA223" s="4">
        <v>5</v>
      </c>
      <c r="DB223" s="6">
        <v>113.4</v>
      </c>
      <c r="DC223" s="5">
        <v>0.4</v>
      </c>
      <c r="DD223" s="5">
        <v>0.4</v>
      </c>
      <c r="DE223" s="4"/>
      <c r="DF223" s="6"/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>
        <v>8</v>
      </c>
      <c r="ED223" s="6">
        <v>208.51</v>
      </c>
      <c r="EE223" s="4">
        <v>5</v>
      </c>
      <c r="EF223" s="6">
        <v>133.31</v>
      </c>
      <c r="EG223" s="5">
        <v>0.6</v>
      </c>
      <c r="EH223" s="5">
        <v>0.5641</v>
      </c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>
        <v>10</v>
      </c>
      <c r="FV223" s="6">
        <v>290.36</v>
      </c>
      <c r="FW223" s="5"/>
      <c r="FX223" s="5"/>
      <c r="FY223" s="4"/>
      <c r="FZ223" s="6"/>
      <c r="GA223" s="4">
        <v>2</v>
      </c>
      <c r="GB223" s="6">
        <v>50.98</v>
      </c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  <c r="IA223" s="4"/>
      <c r="IB223" s="6"/>
      <c r="IC223" s="4"/>
      <c r="ID223" s="6"/>
      <c r="IE223" s="5"/>
      <c r="IF223" s="5"/>
      <c r="IG223" s="4"/>
      <c r="IH223" s="6"/>
      <c r="II223" s="4"/>
      <c r="IJ223" s="6"/>
      <c r="IK223" s="5"/>
      <c r="IL223" s="5"/>
      <c r="IM223" s="4"/>
      <c r="IN223" s="6"/>
      <c r="IO223" s="4"/>
      <c r="IP223" s="6"/>
      <c r="IQ223" s="5"/>
      <c r="IR223" s="5"/>
      <c r="IS223" s="4"/>
      <c r="IT223" s="6"/>
      <c r="IU223" s="4"/>
      <c r="IV223" s="6"/>
      <c r="IW223" s="5"/>
      <c r="IX223" s="5"/>
      <c r="IY223" s="4"/>
      <c r="IZ223" s="6"/>
      <c r="JA223" s="4"/>
      <c r="JB223" s="6"/>
      <c r="JC223" s="5"/>
      <c r="JD223" s="5"/>
      <c r="JE223" s="4"/>
      <c r="JF223" s="6"/>
      <c r="JG223" s="4"/>
      <c r="JH223" s="6"/>
      <c r="JI223" s="5"/>
      <c r="JJ223" s="5"/>
      <c r="JK223" s="4">
        <v>430</v>
      </c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>
        <v>70</v>
      </c>
      <c r="KC223" s="4"/>
      <c r="KD223" s="4"/>
      <c r="KE223" s="4"/>
      <c r="KF223" s="4"/>
      <c r="KG223" s="4"/>
      <c r="KH223" s="4"/>
      <c r="KI223" s="4">
        <v>500</v>
      </c>
      <c r="KJ223" s="4"/>
      <c r="KK223" s="4">
        <v>50</v>
      </c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>
        <v>930</v>
      </c>
      <c r="KZ223" s="4"/>
      <c r="LA223" s="4"/>
      <c r="LB223" s="4"/>
      <c r="LC223" s="4"/>
      <c r="LD223" s="4"/>
      <c r="LE223" s="4"/>
      <c r="LF223" s="4"/>
      <c r="LG223" s="4">
        <v>350</v>
      </c>
      <c r="LH223" s="4"/>
      <c r="LI223" s="4"/>
      <c r="LJ223" s="4"/>
      <c r="LK223" s="4"/>
      <c r="LL223" s="4">
        <v>580</v>
      </c>
      <c r="LM223" s="4"/>
    </row>
    <row r="224">
      <c r="A224" s="3" t="s">
        <v>136</v>
      </c>
      <c r="B224" s="3" t="s">
        <v>181</v>
      </c>
      <c r="C224" s="3" t="s">
        <v>138</v>
      </c>
      <c r="D224" s="3" t="s">
        <v>139</v>
      </c>
      <c r="E224" s="3" t="s">
        <v>182</v>
      </c>
      <c r="F224" s="3" t="s">
        <v>182</v>
      </c>
      <c r="G224" s="3" t="s">
        <v>182</v>
      </c>
      <c r="H224" s="3" t="s">
        <v>183</v>
      </c>
      <c r="I224" s="3" t="s">
        <v>227</v>
      </c>
      <c r="J224" s="3" t="s">
        <v>228</v>
      </c>
      <c r="K224" s="4">
        <v>539</v>
      </c>
      <c r="L224" s="4">
        <f>=ROUNDDOWN(8.16666666666667,0)</f>
      </c>
      <c r="M224" s="4">
        <v>1740</v>
      </c>
      <c r="N224" s="5">
        <v>0.9341</v>
      </c>
      <c r="O224" s="4"/>
      <c r="P224" s="4">
        <f>=ROUNDDOWN({0},0)</f>
      </c>
      <c r="Q224" s="4"/>
      <c r="R224" s="5"/>
      <c r="S224" s="4">
        <v>658</v>
      </c>
      <c r="T224" s="6">
        <v>16727.97</v>
      </c>
      <c r="U224" s="4">
        <v>367</v>
      </c>
      <c r="V224" s="6">
        <v>9182.96</v>
      </c>
      <c r="W224" s="5">
        <v>0.7929</v>
      </c>
      <c r="X224" s="5">
        <v>0.8216</v>
      </c>
      <c r="Y224" s="4">
        <v>23</v>
      </c>
      <c r="Z224" s="6">
        <v>627.17</v>
      </c>
      <c r="AA224" s="4">
        <v>58</v>
      </c>
      <c r="AB224" s="6">
        <v>1600.52</v>
      </c>
      <c r="AC224" s="5">
        <v>-0.6034</v>
      </c>
      <c r="AD224" s="5">
        <v>-0.6081</v>
      </c>
      <c r="AE224" s="4">
        <v>57</v>
      </c>
      <c r="AF224" s="6">
        <v>1593.88</v>
      </c>
      <c r="AG224" s="4">
        <v>3</v>
      </c>
      <c r="AH224" s="6">
        <v>90.85</v>
      </c>
      <c r="AI224" s="5">
        <v>18</v>
      </c>
      <c r="AJ224" s="5">
        <v>16.5441</v>
      </c>
      <c r="AK224" s="4"/>
      <c r="AL224" s="6"/>
      <c r="AM224" s="4"/>
      <c r="AN224" s="6"/>
      <c r="AO224" s="5"/>
      <c r="AP224" s="5"/>
      <c r="AQ224" s="4">
        <v>308</v>
      </c>
      <c r="AR224" s="6">
        <v>8021.99</v>
      </c>
      <c r="AS224" s="4">
        <v>77</v>
      </c>
      <c r="AT224" s="6">
        <v>2011.24</v>
      </c>
      <c r="AU224" s="5">
        <v>3</v>
      </c>
      <c r="AV224" s="5">
        <v>2.9886</v>
      </c>
      <c r="AW224" s="4">
        <v>26</v>
      </c>
      <c r="AX224" s="6">
        <v>652.92</v>
      </c>
      <c r="AY224" s="4">
        <v>50</v>
      </c>
      <c r="AZ224" s="6">
        <v>1216.2</v>
      </c>
      <c r="BA224" s="5">
        <v>-0.48</v>
      </c>
      <c r="BB224" s="5">
        <v>-0.4631</v>
      </c>
      <c r="BC224" s="4">
        <v>140</v>
      </c>
      <c r="BD224" s="6">
        <v>3375.37</v>
      </c>
      <c r="BE224" s="4">
        <v>52</v>
      </c>
      <c r="BF224" s="6">
        <v>1286.73</v>
      </c>
      <c r="BG224" s="5">
        <v>1.6923</v>
      </c>
      <c r="BH224" s="5">
        <v>1.6232</v>
      </c>
      <c r="BI224" s="4">
        <v>21</v>
      </c>
      <c r="BJ224" s="6">
        <v>541.24</v>
      </c>
      <c r="BK224" s="4">
        <v>12</v>
      </c>
      <c r="BL224" s="6">
        <v>297.64</v>
      </c>
      <c r="BM224" s="5">
        <v>0.75</v>
      </c>
      <c r="BN224" s="5">
        <v>0.8184</v>
      </c>
      <c r="BO224" s="4">
        <v>34</v>
      </c>
      <c r="BP224" s="6">
        <v>716.8</v>
      </c>
      <c r="BQ224" s="4">
        <v>72</v>
      </c>
      <c r="BR224" s="6">
        <v>1580.61</v>
      </c>
      <c r="BS224" s="5">
        <v>-0.5278</v>
      </c>
      <c r="BT224" s="5">
        <v>-0.5465</v>
      </c>
      <c r="BU224" s="4">
        <v>10</v>
      </c>
      <c r="BV224" s="6">
        <v>244.27</v>
      </c>
      <c r="BW224" s="4">
        <v>15</v>
      </c>
      <c r="BX224" s="6">
        <v>382.56</v>
      </c>
      <c r="BY224" s="5">
        <v>-0.3333</v>
      </c>
      <c r="BZ224" s="5">
        <v>-0.3615</v>
      </c>
      <c r="CA224" s="4">
        <v>4</v>
      </c>
      <c r="CB224" s="6">
        <v>114.14</v>
      </c>
      <c r="CC224" s="4">
        <v>5</v>
      </c>
      <c r="CD224" s="6">
        <v>122.5</v>
      </c>
      <c r="CE224" s="5">
        <v>-0.2</v>
      </c>
      <c r="CF224" s="5">
        <v>-0.0682</v>
      </c>
      <c r="CG224" s="4">
        <v>22</v>
      </c>
      <c r="CH224" s="6">
        <v>554.82</v>
      </c>
      <c r="CI224" s="4">
        <v>6</v>
      </c>
      <c r="CJ224" s="6">
        <v>172.42</v>
      </c>
      <c r="CK224" s="5">
        <v>2.6667</v>
      </c>
      <c r="CL224" s="5">
        <v>2.2178</v>
      </c>
      <c r="CM224" s="4"/>
      <c r="CN224" s="6"/>
      <c r="CO224" s="4"/>
      <c r="CP224" s="6"/>
      <c r="CQ224" s="5"/>
      <c r="CR224" s="5"/>
      <c r="CS224" s="4">
        <v>1</v>
      </c>
      <c r="CT224" s="6">
        <v>21.17</v>
      </c>
      <c r="CU224" s="4"/>
      <c r="CV224" s="6"/>
      <c r="CW224" s="5"/>
      <c r="CX224" s="5"/>
      <c r="CY224" s="4">
        <v>12</v>
      </c>
      <c r="CZ224" s="6">
        <v>264.2</v>
      </c>
      <c r="DA224" s="4">
        <v>8</v>
      </c>
      <c r="DB224" s="6">
        <v>168.94</v>
      </c>
      <c r="DC224" s="5">
        <v>0.5</v>
      </c>
      <c r="DD224" s="5">
        <v>0.5639</v>
      </c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>
        <v>2</v>
      </c>
      <c r="EF224" s="6">
        <v>51.46</v>
      </c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>
        <v>7</v>
      </c>
      <c r="FV224" s="6">
        <v>201.29</v>
      </c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  <c r="IA224" s="4"/>
      <c r="IB224" s="6"/>
      <c r="IC224" s="4"/>
      <c r="ID224" s="6"/>
      <c r="IE224" s="5"/>
      <c r="IF224" s="5"/>
      <c r="IG224" s="4"/>
      <c r="IH224" s="6"/>
      <c r="II224" s="4"/>
      <c r="IJ224" s="6"/>
      <c r="IK224" s="5"/>
      <c r="IL224" s="5"/>
      <c r="IM224" s="4"/>
      <c r="IN224" s="6"/>
      <c r="IO224" s="4"/>
      <c r="IP224" s="6"/>
      <c r="IQ224" s="5"/>
      <c r="IR224" s="5"/>
      <c r="IS224" s="4"/>
      <c r="IT224" s="6"/>
      <c r="IU224" s="4"/>
      <c r="IV224" s="6"/>
      <c r="IW224" s="5"/>
      <c r="IX224" s="5"/>
      <c r="IY224" s="4"/>
      <c r="IZ224" s="6"/>
      <c r="JA224" s="4"/>
      <c r="JB224" s="6"/>
      <c r="JC224" s="5"/>
      <c r="JD224" s="5"/>
      <c r="JE224" s="4"/>
      <c r="JF224" s="6"/>
      <c r="JG224" s="4"/>
      <c r="JH224" s="6"/>
      <c r="JI224" s="5"/>
      <c r="JJ224" s="5"/>
      <c r="JK224" s="4">
        <v>539</v>
      </c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>
        <v>310</v>
      </c>
      <c r="KC224" s="4"/>
      <c r="KD224" s="4"/>
      <c r="KE224" s="4"/>
      <c r="KF224" s="4"/>
      <c r="KG224" s="4"/>
      <c r="KH224" s="4"/>
      <c r="KI224" s="4">
        <v>240</v>
      </c>
      <c r="KJ224" s="4"/>
      <c r="KK224" s="4">
        <v>40</v>
      </c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>
        <v>690</v>
      </c>
      <c r="KZ224" s="4"/>
      <c r="LA224" s="4"/>
      <c r="LB224" s="4"/>
      <c r="LC224" s="4"/>
      <c r="LD224" s="4"/>
      <c r="LE224" s="4"/>
      <c r="LF224" s="4"/>
      <c r="LG224" s="4">
        <v>250</v>
      </c>
      <c r="LH224" s="4"/>
      <c r="LI224" s="4"/>
      <c r="LJ224" s="4"/>
      <c r="LK224" s="4"/>
      <c r="LL224" s="4">
        <v>210</v>
      </c>
      <c r="LM224" s="4"/>
    </row>
    <row r="225">
      <c r="A225" s="3" t="s">
        <v>136</v>
      </c>
      <c r="B225" s="3" t="s">
        <v>181</v>
      </c>
      <c r="C225" s="3" t="s">
        <v>138</v>
      </c>
      <c r="D225" s="3" t="s">
        <v>139</v>
      </c>
      <c r="E225" s="3" t="s">
        <v>182</v>
      </c>
      <c r="F225" s="3" t="s">
        <v>182</v>
      </c>
      <c r="G225" s="3" t="s">
        <v>182</v>
      </c>
      <c r="H225" s="3" t="s">
        <v>183</v>
      </c>
      <c r="I225" s="3" t="s">
        <v>322</v>
      </c>
      <c r="J225" s="3" t="s">
        <v>228</v>
      </c>
      <c r="K225" s="4">
        <v>650</v>
      </c>
      <c r="L225" s="4">
        <f>=ROUNDDOWN(10.655737704918,0)</f>
      </c>
      <c r="M225" s="4">
        <v>1620</v>
      </c>
      <c r="N225" s="5">
        <v>0.9794</v>
      </c>
      <c r="O225" s="4"/>
      <c r="P225" s="4">
        <f>=ROUNDDOWN({0},0)</f>
      </c>
      <c r="Q225" s="4"/>
      <c r="R225" s="5"/>
      <c r="S225" s="4">
        <v>640</v>
      </c>
      <c r="T225" s="6">
        <v>15846.52</v>
      </c>
      <c r="U225" s="4">
        <v>385</v>
      </c>
      <c r="V225" s="6">
        <v>9670.56</v>
      </c>
      <c r="W225" s="5">
        <v>0.6623</v>
      </c>
      <c r="X225" s="5">
        <v>0.6386</v>
      </c>
      <c r="Y225" s="4">
        <v>52</v>
      </c>
      <c r="Z225" s="6">
        <v>1418.35</v>
      </c>
      <c r="AA225" s="4">
        <v>65</v>
      </c>
      <c r="AB225" s="6">
        <v>1761.92</v>
      </c>
      <c r="AC225" s="5">
        <v>-0.2</v>
      </c>
      <c r="AD225" s="5">
        <v>-0.195</v>
      </c>
      <c r="AE225" s="4">
        <v>36</v>
      </c>
      <c r="AF225" s="6">
        <v>1053.14</v>
      </c>
      <c r="AG225" s="4">
        <v>4</v>
      </c>
      <c r="AH225" s="6">
        <v>103.79</v>
      </c>
      <c r="AI225" s="5">
        <v>8</v>
      </c>
      <c r="AJ225" s="5">
        <v>9.1468</v>
      </c>
      <c r="AK225" s="4"/>
      <c r="AL225" s="6"/>
      <c r="AM225" s="4"/>
      <c r="AN225" s="6"/>
      <c r="AO225" s="5"/>
      <c r="AP225" s="5"/>
      <c r="AQ225" s="4">
        <v>214</v>
      </c>
      <c r="AR225" s="6">
        <v>5172.45</v>
      </c>
      <c r="AS225" s="4">
        <v>51</v>
      </c>
      <c r="AT225" s="6">
        <v>1230.05</v>
      </c>
      <c r="AU225" s="5">
        <v>3.1961</v>
      </c>
      <c r="AV225" s="5">
        <v>3.2051</v>
      </c>
      <c r="AW225" s="4">
        <v>35</v>
      </c>
      <c r="AX225" s="6">
        <v>849.91</v>
      </c>
      <c r="AY225" s="4">
        <v>54</v>
      </c>
      <c r="AZ225" s="6">
        <v>1331.38</v>
      </c>
      <c r="BA225" s="5">
        <v>-0.3519</v>
      </c>
      <c r="BB225" s="5">
        <v>-0.3616</v>
      </c>
      <c r="BC225" s="4">
        <v>129</v>
      </c>
      <c r="BD225" s="6">
        <v>3211.85</v>
      </c>
      <c r="BE225" s="4">
        <v>62</v>
      </c>
      <c r="BF225" s="6">
        <v>1555.56</v>
      </c>
      <c r="BG225" s="5">
        <v>1.0806</v>
      </c>
      <c r="BH225" s="5">
        <v>1.0648</v>
      </c>
      <c r="BI225" s="4">
        <v>37</v>
      </c>
      <c r="BJ225" s="6">
        <v>940</v>
      </c>
      <c r="BK225" s="4">
        <v>25</v>
      </c>
      <c r="BL225" s="6">
        <v>609.88</v>
      </c>
      <c r="BM225" s="5">
        <v>0.48</v>
      </c>
      <c r="BN225" s="5">
        <v>0.5413</v>
      </c>
      <c r="BO225" s="4">
        <v>69</v>
      </c>
      <c r="BP225" s="6">
        <v>1434.88</v>
      </c>
      <c r="BQ225" s="4">
        <v>78</v>
      </c>
      <c r="BR225" s="6">
        <v>1737.13</v>
      </c>
      <c r="BS225" s="5">
        <v>-0.1154</v>
      </c>
      <c r="BT225" s="5">
        <v>-0.174</v>
      </c>
      <c r="BU225" s="4">
        <v>8</v>
      </c>
      <c r="BV225" s="6">
        <v>213.18</v>
      </c>
      <c r="BW225" s="4">
        <v>14</v>
      </c>
      <c r="BX225" s="6">
        <v>376.74</v>
      </c>
      <c r="BY225" s="5">
        <v>-0.4286</v>
      </c>
      <c r="BZ225" s="5">
        <v>-0.4341</v>
      </c>
      <c r="CA225" s="4">
        <v>1</v>
      </c>
      <c r="CB225" s="6">
        <v>25.72</v>
      </c>
      <c r="CC225" s="4">
        <v>5</v>
      </c>
      <c r="CD225" s="6">
        <v>141.42</v>
      </c>
      <c r="CE225" s="5">
        <v>-0.8</v>
      </c>
      <c r="CF225" s="5">
        <v>-0.8181</v>
      </c>
      <c r="CG225" s="4">
        <v>39</v>
      </c>
      <c r="CH225" s="6">
        <v>1010.99</v>
      </c>
      <c r="CI225" s="4">
        <v>17</v>
      </c>
      <c r="CJ225" s="6">
        <v>481.63</v>
      </c>
      <c r="CK225" s="5">
        <v>1.2941</v>
      </c>
      <c r="CL225" s="5">
        <v>1.0991</v>
      </c>
      <c r="CM225" s="4"/>
      <c r="CN225" s="6"/>
      <c r="CO225" s="4"/>
      <c r="CP225" s="6"/>
      <c r="CQ225" s="5"/>
      <c r="CR225" s="5"/>
      <c r="CS225" s="4">
        <v>17</v>
      </c>
      <c r="CT225" s="6">
        <v>439.6</v>
      </c>
      <c r="CU225" s="4"/>
      <c r="CV225" s="6"/>
      <c r="CW225" s="5"/>
      <c r="CX225" s="5"/>
      <c r="CY225" s="4">
        <v>1</v>
      </c>
      <c r="CZ225" s="6">
        <v>19.85</v>
      </c>
      <c r="DA225" s="4"/>
      <c r="DB225" s="6"/>
      <c r="DC225" s="5"/>
      <c r="DD225" s="5"/>
      <c r="DE225" s="4"/>
      <c r="DF225" s="6"/>
      <c r="DG225" s="4"/>
      <c r="DH225" s="6"/>
      <c r="DI225" s="5"/>
      <c r="DJ225" s="5"/>
      <c r="DK225" s="4"/>
      <c r="DL225" s="6"/>
      <c r="DM225" s="4">
        <v>2</v>
      </c>
      <c r="DN225" s="6">
        <v>99.98</v>
      </c>
      <c r="DO225" s="5"/>
      <c r="DP225" s="5"/>
      <c r="DQ225" s="4">
        <v>2</v>
      </c>
      <c r="DR225" s="6">
        <v>56.6</v>
      </c>
      <c r="DS225" s="4">
        <v>1</v>
      </c>
      <c r="DT225" s="6">
        <v>28.3</v>
      </c>
      <c r="DU225" s="5">
        <v>1</v>
      </c>
      <c r="DV225" s="5">
        <v>1</v>
      </c>
      <c r="DW225" s="4"/>
      <c r="DX225" s="6"/>
      <c r="DY225" s="4"/>
      <c r="DZ225" s="6"/>
      <c r="EA225" s="5"/>
      <c r="EB225" s="5"/>
      <c r="EC225" s="4"/>
      <c r="ED225" s="6"/>
      <c r="EE225" s="4">
        <v>1</v>
      </c>
      <c r="EF225" s="6">
        <v>25.73</v>
      </c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/>
      <c r="FP225" s="6"/>
      <c r="FQ225" s="5"/>
      <c r="FR225" s="5"/>
      <c r="FS225" s="4"/>
      <c r="FT225" s="6"/>
      <c r="FU225" s="4">
        <v>6</v>
      </c>
      <c r="FV225" s="6">
        <v>187.05</v>
      </c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  <c r="IA225" s="4"/>
      <c r="IB225" s="6"/>
      <c r="IC225" s="4"/>
      <c r="ID225" s="6"/>
      <c r="IE225" s="5"/>
      <c r="IF225" s="5"/>
      <c r="IG225" s="4"/>
      <c r="IH225" s="6"/>
      <c r="II225" s="4"/>
      <c r="IJ225" s="6"/>
      <c r="IK225" s="5"/>
      <c r="IL225" s="5"/>
      <c r="IM225" s="4"/>
      <c r="IN225" s="6"/>
      <c r="IO225" s="4"/>
      <c r="IP225" s="6"/>
      <c r="IQ225" s="5"/>
      <c r="IR225" s="5"/>
      <c r="IS225" s="4"/>
      <c r="IT225" s="6"/>
      <c r="IU225" s="4"/>
      <c r="IV225" s="6"/>
      <c r="IW225" s="5"/>
      <c r="IX225" s="5"/>
      <c r="IY225" s="4"/>
      <c r="IZ225" s="6"/>
      <c r="JA225" s="4"/>
      <c r="JB225" s="6"/>
      <c r="JC225" s="5"/>
      <c r="JD225" s="5"/>
      <c r="JE225" s="4"/>
      <c r="JF225" s="6"/>
      <c r="JG225" s="4"/>
      <c r="JH225" s="6"/>
      <c r="JI225" s="5"/>
      <c r="JJ225" s="5"/>
      <c r="JK225" s="4">
        <v>650</v>
      </c>
      <c r="JL225" s="4"/>
      <c r="JM225" s="4"/>
      <c r="JN225" s="4"/>
      <c r="JO225" s="4"/>
      <c r="JP225" s="4"/>
      <c r="JQ225" s="4"/>
      <c r="JR225" s="4"/>
      <c r="JS225" s="4"/>
      <c r="JT225" s="4"/>
      <c r="JU225" s="4"/>
      <c r="JV225" s="4"/>
      <c r="JW225" s="4"/>
      <c r="JX225" s="4"/>
      <c r="JY225" s="4"/>
      <c r="JZ225" s="4"/>
      <c r="KA225" s="4"/>
      <c r="KB225" s="4">
        <v>150</v>
      </c>
      <c r="KC225" s="4"/>
      <c r="KD225" s="4"/>
      <c r="KE225" s="4"/>
      <c r="KF225" s="4"/>
      <c r="KG225" s="4"/>
      <c r="KH225" s="4"/>
      <c r="KI225" s="4">
        <v>350</v>
      </c>
      <c r="KJ225" s="4"/>
      <c r="KK225" s="4">
        <v>60</v>
      </c>
      <c r="KL225" s="4"/>
      <c r="KM225" s="4"/>
      <c r="KN225" s="4"/>
      <c r="KO225" s="4"/>
      <c r="KP225" s="4"/>
      <c r="KQ225" s="4"/>
      <c r="KR225" s="4"/>
      <c r="KS225" s="4"/>
      <c r="KT225" s="4"/>
      <c r="KU225" s="4"/>
      <c r="KV225" s="4"/>
      <c r="KW225" s="4"/>
      <c r="KX225" s="4"/>
      <c r="KY225" s="4">
        <v>470</v>
      </c>
      <c r="KZ225" s="4"/>
      <c r="LA225" s="4"/>
      <c r="LB225" s="4"/>
      <c r="LC225" s="4"/>
      <c r="LD225" s="4"/>
      <c r="LE225" s="4"/>
      <c r="LF225" s="4"/>
      <c r="LG225" s="4">
        <v>360</v>
      </c>
      <c r="LH225" s="4"/>
      <c r="LI225" s="4"/>
      <c r="LJ225" s="4"/>
      <c r="LK225" s="4"/>
      <c r="LL225" s="4">
        <v>230</v>
      </c>
      <c r="LM225" s="4"/>
    </row>
    <row r="226">
      <c r="A226" s="3" t="s">
        <v>136</v>
      </c>
      <c r="B226" s="3" t="s">
        <v>181</v>
      </c>
      <c r="C226" s="3" t="s">
        <v>138</v>
      </c>
      <c r="D226" s="3" t="s">
        <v>139</v>
      </c>
      <c r="E226" s="3" t="s">
        <v>182</v>
      </c>
      <c r="F226" s="3" t="s">
        <v>182</v>
      </c>
      <c r="G226" s="3" t="s">
        <v>182</v>
      </c>
      <c r="H226" s="3" t="s">
        <v>183</v>
      </c>
      <c r="I226" s="3" t="s">
        <v>234</v>
      </c>
      <c r="J226" s="3" t="s">
        <v>228</v>
      </c>
      <c r="K226" s="4">
        <v>883</v>
      </c>
      <c r="L226" s="4">
        <f>=ROUNDDOWN(16.9807692307692,0)</f>
      </c>
      <c r="M226" s="4">
        <v>930</v>
      </c>
      <c r="N226" s="5">
        <v>1</v>
      </c>
      <c r="O226" s="4"/>
      <c r="P226" s="4">
        <f>=ROUNDDOWN({0},0)</f>
      </c>
      <c r="Q226" s="4"/>
      <c r="R226" s="5"/>
      <c r="S226" s="4">
        <v>466</v>
      </c>
      <c r="T226" s="6">
        <v>11133.02</v>
      </c>
      <c r="U226" s="4">
        <v>433</v>
      </c>
      <c r="V226" s="6">
        <v>10421.51</v>
      </c>
      <c r="W226" s="5">
        <v>0.0762</v>
      </c>
      <c r="X226" s="5">
        <v>0.0683</v>
      </c>
      <c r="Y226" s="4">
        <v>15</v>
      </c>
      <c r="Z226" s="6">
        <v>380.62</v>
      </c>
      <c r="AA226" s="4">
        <v>36</v>
      </c>
      <c r="AB226" s="6">
        <v>902.19</v>
      </c>
      <c r="AC226" s="5">
        <v>-0.5833</v>
      </c>
      <c r="AD226" s="5">
        <v>-0.5781</v>
      </c>
      <c r="AE226" s="4">
        <v>17</v>
      </c>
      <c r="AF226" s="6">
        <v>451.55</v>
      </c>
      <c r="AG226" s="4">
        <v>2</v>
      </c>
      <c r="AH226" s="6">
        <v>46.72</v>
      </c>
      <c r="AI226" s="5">
        <v>7.5</v>
      </c>
      <c r="AJ226" s="5">
        <v>8.665</v>
      </c>
      <c r="AK226" s="4"/>
      <c r="AL226" s="6"/>
      <c r="AM226" s="4"/>
      <c r="AN226" s="6"/>
      <c r="AO226" s="5"/>
      <c r="AP226" s="5"/>
      <c r="AQ226" s="4">
        <v>248</v>
      </c>
      <c r="AR226" s="6">
        <v>5921.42</v>
      </c>
      <c r="AS226" s="4">
        <v>124</v>
      </c>
      <c r="AT226" s="6">
        <v>3009.72</v>
      </c>
      <c r="AU226" s="5">
        <v>1</v>
      </c>
      <c r="AV226" s="5">
        <v>0.9674</v>
      </c>
      <c r="AW226" s="4">
        <v>20</v>
      </c>
      <c r="AX226" s="6">
        <v>495.68</v>
      </c>
      <c r="AY226" s="4">
        <v>56</v>
      </c>
      <c r="AZ226" s="6">
        <v>1390.46</v>
      </c>
      <c r="BA226" s="5">
        <v>-0.6429</v>
      </c>
      <c r="BB226" s="5">
        <v>-0.6435</v>
      </c>
      <c r="BC226" s="4">
        <v>95</v>
      </c>
      <c r="BD226" s="6">
        <v>2242.07</v>
      </c>
      <c r="BE226" s="4">
        <v>131</v>
      </c>
      <c r="BF226" s="6">
        <v>3116.18</v>
      </c>
      <c r="BG226" s="5">
        <v>-0.2748</v>
      </c>
      <c r="BH226" s="5">
        <v>-0.2805</v>
      </c>
      <c r="BI226" s="4">
        <v>25</v>
      </c>
      <c r="BJ226" s="6">
        <v>625.06</v>
      </c>
      <c r="BK226" s="4">
        <v>25</v>
      </c>
      <c r="BL226" s="6">
        <v>613.76</v>
      </c>
      <c r="BM226" s="5"/>
      <c r="BN226" s="5">
        <v>0.0184</v>
      </c>
      <c r="BO226" s="4">
        <v>17</v>
      </c>
      <c r="BP226" s="6">
        <v>326.75</v>
      </c>
      <c r="BQ226" s="4">
        <v>30</v>
      </c>
      <c r="BR226" s="6">
        <v>633.5</v>
      </c>
      <c r="BS226" s="5">
        <v>-0.4333</v>
      </c>
      <c r="BT226" s="5">
        <v>-0.4842</v>
      </c>
      <c r="BU226" s="4">
        <v>9</v>
      </c>
      <c r="BV226" s="6">
        <v>227.59</v>
      </c>
      <c r="BW226" s="4">
        <v>17</v>
      </c>
      <c r="BX226" s="6">
        <v>415.42</v>
      </c>
      <c r="BY226" s="5">
        <v>-0.4706</v>
      </c>
      <c r="BZ226" s="5">
        <v>-0.4521</v>
      </c>
      <c r="CA226" s="4"/>
      <c r="CB226" s="6"/>
      <c r="CC226" s="4">
        <v>5</v>
      </c>
      <c r="CD226" s="6">
        <v>116.62</v>
      </c>
      <c r="CE226" s="5"/>
      <c r="CF226" s="5"/>
      <c r="CG226" s="4">
        <v>7</v>
      </c>
      <c r="CH226" s="6">
        <v>161.57</v>
      </c>
      <c r="CI226" s="4">
        <v>1</v>
      </c>
      <c r="CJ226" s="6">
        <v>27.23</v>
      </c>
      <c r="CK226" s="5">
        <v>6</v>
      </c>
      <c r="CL226" s="5">
        <v>4.9335</v>
      </c>
      <c r="CM226" s="4"/>
      <c r="CN226" s="6"/>
      <c r="CO226" s="4"/>
      <c r="CP226" s="6"/>
      <c r="CQ226" s="5"/>
      <c r="CR226" s="5"/>
      <c r="CS226" s="4">
        <v>8</v>
      </c>
      <c r="CT226" s="6">
        <v>190.62</v>
      </c>
      <c r="CU226" s="4"/>
      <c r="CV226" s="6"/>
      <c r="CW226" s="5"/>
      <c r="CX226" s="5"/>
      <c r="CY226" s="4">
        <v>2</v>
      </c>
      <c r="CZ226" s="6">
        <v>41.94</v>
      </c>
      <c r="DA226" s="4">
        <v>2</v>
      </c>
      <c r="DB226" s="6">
        <v>41.94</v>
      </c>
      <c r="DC226" s="5"/>
      <c r="DD226" s="5"/>
      <c r="DE226" s="4"/>
      <c r="DF226" s="6"/>
      <c r="DG226" s="4"/>
      <c r="DH226" s="6"/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/>
      <c r="DX226" s="6"/>
      <c r="DY226" s="4"/>
      <c r="DZ226" s="6"/>
      <c r="EA226" s="5"/>
      <c r="EB226" s="5"/>
      <c r="EC226" s="4">
        <v>3</v>
      </c>
      <c r="ED226" s="6">
        <v>68.15</v>
      </c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/>
      <c r="FP226" s="6"/>
      <c r="FQ226" s="5"/>
      <c r="FR226" s="5"/>
      <c r="FS226" s="4"/>
      <c r="FT226" s="6"/>
      <c r="FU226" s="4">
        <v>4</v>
      </c>
      <c r="FV226" s="6">
        <v>107.77</v>
      </c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  <c r="IA226" s="4"/>
      <c r="IB226" s="6"/>
      <c r="IC226" s="4"/>
      <c r="ID226" s="6"/>
      <c r="IE226" s="5"/>
      <c r="IF226" s="5"/>
      <c r="IG226" s="4"/>
      <c r="IH226" s="6"/>
      <c r="II226" s="4"/>
      <c r="IJ226" s="6"/>
      <c r="IK226" s="5"/>
      <c r="IL226" s="5"/>
      <c r="IM226" s="4"/>
      <c r="IN226" s="6"/>
      <c r="IO226" s="4"/>
      <c r="IP226" s="6"/>
      <c r="IQ226" s="5"/>
      <c r="IR226" s="5"/>
      <c r="IS226" s="4"/>
      <c r="IT226" s="6"/>
      <c r="IU226" s="4"/>
      <c r="IV226" s="6"/>
      <c r="IW226" s="5"/>
      <c r="IX226" s="5"/>
      <c r="IY226" s="4"/>
      <c r="IZ226" s="6"/>
      <c r="JA226" s="4"/>
      <c r="JB226" s="6"/>
      <c r="JC226" s="5"/>
      <c r="JD226" s="5"/>
      <c r="JE226" s="4"/>
      <c r="JF226" s="6"/>
      <c r="JG226" s="4"/>
      <c r="JH226" s="6"/>
      <c r="JI226" s="5"/>
      <c r="JJ226" s="5"/>
      <c r="JK226" s="4">
        <v>883</v>
      </c>
      <c r="JL226" s="4"/>
      <c r="JM226" s="4"/>
      <c r="JN226" s="4"/>
      <c r="JO226" s="4"/>
      <c r="JP226" s="4"/>
      <c r="JQ226" s="4"/>
      <c r="JR226" s="4"/>
      <c r="JS226" s="4"/>
      <c r="JT226" s="4"/>
      <c r="JU226" s="4"/>
      <c r="JV226" s="4"/>
      <c r="JW226" s="4"/>
      <c r="JX226" s="4"/>
      <c r="JY226" s="4"/>
      <c r="JZ226" s="4"/>
      <c r="KA226" s="4"/>
      <c r="KB226" s="4"/>
      <c r="KC226" s="4"/>
      <c r="KD226" s="4"/>
      <c r="KE226" s="4"/>
      <c r="KF226" s="4"/>
      <c r="KG226" s="4"/>
      <c r="KH226" s="4"/>
      <c r="KI226" s="4"/>
      <c r="KJ226" s="4"/>
      <c r="KK226" s="4"/>
      <c r="KL226" s="4"/>
      <c r="KM226" s="4"/>
      <c r="KN226" s="4"/>
      <c r="KO226" s="4"/>
      <c r="KP226" s="4"/>
      <c r="KQ226" s="4"/>
      <c r="KR226" s="4"/>
      <c r="KS226" s="4"/>
      <c r="KT226" s="4"/>
      <c r="KU226" s="4"/>
      <c r="KV226" s="4"/>
      <c r="KW226" s="4"/>
      <c r="KX226" s="4"/>
      <c r="KY226" s="4">
        <v>260</v>
      </c>
      <c r="KZ226" s="4"/>
      <c r="LA226" s="4"/>
      <c r="LB226" s="4"/>
      <c r="LC226" s="4"/>
      <c r="LD226" s="4"/>
      <c r="LE226" s="4"/>
      <c r="LF226" s="4"/>
      <c r="LG226" s="4">
        <v>260</v>
      </c>
      <c r="LH226" s="4"/>
      <c r="LI226" s="4"/>
      <c r="LJ226" s="4"/>
      <c r="LK226" s="4"/>
      <c r="LL226" s="4">
        <v>410</v>
      </c>
      <c r="LM226" s="4"/>
    </row>
    <row r="227">
      <c r="A227" s="3" t="s">
        <v>136</v>
      </c>
      <c r="B227" s="3" t="s">
        <v>181</v>
      </c>
      <c r="C227" s="3" t="s">
        <v>138</v>
      </c>
      <c r="D227" s="3" t="s">
        <v>139</v>
      </c>
      <c r="E227" s="3" t="s">
        <v>182</v>
      </c>
      <c r="F227" s="3" t="s">
        <v>182</v>
      </c>
      <c r="G227" s="3" t="s">
        <v>182</v>
      </c>
      <c r="H227" s="3" t="s">
        <v>183</v>
      </c>
      <c r="I227" s="3" t="s">
        <v>238</v>
      </c>
      <c r="J227" s="3" t="s">
        <v>241</v>
      </c>
      <c r="K227" s="4"/>
      <c r="L227" s="4">
        <f>=ROUNDDOWN({0},0)</f>
      </c>
      <c r="M227" s="4"/>
      <c r="N227" s="5"/>
      <c r="O227" s="4"/>
      <c r="P227" s="4">
        <f>=ROUNDDOWN({0},0)</f>
      </c>
      <c r="Q227" s="4"/>
      <c r="R227" s="5"/>
      <c r="S227" s="4"/>
      <c r="T227" s="6"/>
      <c r="U227" s="4">
        <v>263</v>
      </c>
      <c r="V227" s="6">
        <v>6630.36</v>
      </c>
      <c r="W227" s="5"/>
      <c r="X227" s="5"/>
      <c r="Y227" s="4"/>
      <c r="Z227" s="6"/>
      <c r="AA227" s="4">
        <v>48</v>
      </c>
      <c r="AB227" s="6">
        <v>1300.73</v>
      </c>
      <c r="AC227" s="5"/>
      <c r="AD227" s="5"/>
      <c r="AE227" s="4"/>
      <c r="AF227" s="6"/>
      <c r="AG227" s="4">
        <v>1</v>
      </c>
      <c r="AH227" s="6">
        <v>29.2</v>
      </c>
      <c r="AI227" s="5"/>
      <c r="AJ227" s="5"/>
      <c r="AK227" s="4"/>
      <c r="AL227" s="6"/>
      <c r="AM227" s="4"/>
      <c r="AN227" s="6"/>
      <c r="AO227" s="5"/>
      <c r="AP227" s="5"/>
      <c r="AQ227" s="4"/>
      <c r="AR227" s="6"/>
      <c r="AS227" s="4"/>
      <c r="AT227" s="6"/>
      <c r="AU227" s="5"/>
      <c r="AV227" s="5"/>
      <c r="AW227" s="4"/>
      <c r="AX227" s="6"/>
      <c r="AY227" s="4">
        <v>71</v>
      </c>
      <c r="AZ227" s="6">
        <v>1739.75</v>
      </c>
      <c r="BA227" s="5"/>
      <c r="BB227" s="5"/>
      <c r="BC227" s="4"/>
      <c r="BD227" s="6"/>
      <c r="BE227" s="4">
        <v>57</v>
      </c>
      <c r="BF227" s="6">
        <v>1448.3</v>
      </c>
      <c r="BG227" s="5"/>
      <c r="BH227" s="5"/>
      <c r="BI227" s="4"/>
      <c r="BJ227" s="6"/>
      <c r="BK227" s="4">
        <v>30</v>
      </c>
      <c r="BL227" s="6">
        <v>764.98</v>
      </c>
      <c r="BM227" s="5"/>
      <c r="BN227" s="5"/>
      <c r="BO227" s="4"/>
      <c r="BP227" s="6"/>
      <c r="BQ227" s="4">
        <v>29</v>
      </c>
      <c r="BR227" s="6">
        <v>621.3</v>
      </c>
      <c r="BS227" s="5"/>
      <c r="BT227" s="5"/>
      <c r="BU227" s="4"/>
      <c r="BV227" s="6"/>
      <c r="BW227" s="4">
        <v>18</v>
      </c>
      <c r="BX227" s="6">
        <v>453.41</v>
      </c>
      <c r="BY227" s="5"/>
      <c r="BZ227" s="5"/>
      <c r="CA227" s="4"/>
      <c r="CB227" s="6"/>
      <c r="CC227" s="4"/>
      <c r="CD227" s="6"/>
      <c r="CE227" s="5"/>
      <c r="CF227" s="5"/>
      <c r="CG227" s="4"/>
      <c r="CH227" s="6"/>
      <c r="CI227" s="4"/>
      <c r="CJ227" s="6"/>
      <c r="CK227" s="5"/>
      <c r="CL227" s="5"/>
      <c r="CM227" s="4"/>
      <c r="CN227" s="6"/>
      <c r="CO227" s="4"/>
      <c r="CP227" s="6"/>
      <c r="CQ227" s="5"/>
      <c r="CR227" s="5"/>
      <c r="CS227" s="4"/>
      <c r="CT227" s="6"/>
      <c r="CU227" s="4"/>
      <c r="CV227" s="6"/>
      <c r="CW227" s="5"/>
      <c r="CX227" s="5"/>
      <c r="CY227" s="4"/>
      <c r="CZ227" s="6"/>
      <c r="DA227" s="4">
        <v>4</v>
      </c>
      <c r="DB227" s="6">
        <v>102.04</v>
      </c>
      <c r="DC227" s="5"/>
      <c r="DD227" s="5"/>
      <c r="DE227" s="4"/>
      <c r="DF227" s="6"/>
      <c r="DG227" s="4"/>
      <c r="DH227" s="6"/>
      <c r="DI227" s="5"/>
      <c r="DJ227" s="5"/>
      <c r="DK227" s="4"/>
      <c r="DL227" s="6"/>
      <c r="DM227" s="4">
        <v>1</v>
      </c>
      <c r="DN227" s="6">
        <v>49.99</v>
      </c>
      <c r="DO227" s="5"/>
      <c r="DP227" s="5"/>
      <c r="DQ227" s="4"/>
      <c r="DR227" s="6"/>
      <c r="DS227" s="4"/>
      <c r="DT227" s="6"/>
      <c r="DU227" s="5"/>
      <c r="DV227" s="5"/>
      <c r="DW227" s="4"/>
      <c r="DX227" s="6"/>
      <c r="DY227" s="4"/>
      <c r="DZ227" s="6"/>
      <c r="EA227" s="5"/>
      <c r="EB227" s="5"/>
      <c r="EC227" s="4"/>
      <c r="ED227" s="6"/>
      <c r="EE227" s="4">
        <v>1</v>
      </c>
      <c r="EF227" s="6">
        <v>22.68</v>
      </c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/>
      <c r="FN227" s="6"/>
      <c r="FO227" s="4"/>
      <c r="FP227" s="6"/>
      <c r="FQ227" s="5"/>
      <c r="FR227" s="5"/>
      <c r="FS227" s="4"/>
      <c r="FT227" s="6"/>
      <c r="FU227" s="4">
        <v>3</v>
      </c>
      <c r="FV227" s="6">
        <v>97.98</v>
      </c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  <c r="IA227" s="4"/>
      <c r="IB227" s="6"/>
      <c r="IC227" s="4"/>
      <c r="ID227" s="6"/>
      <c r="IE227" s="5"/>
      <c r="IF227" s="5"/>
      <c r="IG227" s="4"/>
      <c r="IH227" s="6"/>
      <c r="II227" s="4"/>
      <c r="IJ227" s="6"/>
      <c r="IK227" s="5"/>
      <c r="IL227" s="5"/>
      <c r="IM227" s="4"/>
      <c r="IN227" s="6"/>
      <c r="IO227" s="4"/>
      <c r="IP227" s="6"/>
      <c r="IQ227" s="5"/>
      <c r="IR227" s="5"/>
      <c r="IS227" s="4"/>
      <c r="IT227" s="6"/>
      <c r="IU227" s="4"/>
      <c r="IV227" s="6"/>
      <c r="IW227" s="5"/>
      <c r="IX227" s="5"/>
      <c r="IY227" s="4"/>
      <c r="IZ227" s="6"/>
      <c r="JA227" s="4"/>
      <c r="JB227" s="6"/>
      <c r="JC227" s="5"/>
      <c r="JD227" s="5"/>
      <c r="JE227" s="4"/>
      <c r="JF227" s="6"/>
      <c r="JG227" s="4"/>
      <c r="JH227" s="6"/>
      <c r="JI227" s="5"/>
      <c r="JJ227" s="5"/>
      <c r="JK227" s="4"/>
      <c r="JL227" s="4"/>
      <c r="JM227" s="4"/>
      <c r="JN227" s="4"/>
      <c r="JO227" s="4"/>
      <c r="JP227" s="4"/>
      <c r="JQ227" s="4"/>
      <c r="JR227" s="4"/>
      <c r="JS227" s="4"/>
      <c r="JT227" s="4"/>
      <c r="JU227" s="4"/>
      <c r="JV227" s="4"/>
      <c r="JW227" s="4"/>
      <c r="JX227" s="4"/>
      <c r="JY227" s="4"/>
      <c r="JZ227" s="4"/>
      <c r="KA227" s="4"/>
      <c r="KB227" s="4"/>
      <c r="KC227" s="4"/>
      <c r="KD227" s="4"/>
      <c r="KE227" s="4"/>
      <c r="KF227" s="4"/>
      <c r="KG227" s="4"/>
      <c r="KH227" s="4"/>
      <c r="KI227" s="4"/>
      <c r="KJ227" s="4"/>
      <c r="KK227" s="4"/>
      <c r="KL227" s="4"/>
      <c r="KM227" s="4"/>
      <c r="KN227" s="4"/>
      <c r="KO227" s="4"/>
      <c r="KP227" s="4"/>
      <c r="KQ227" s="4"/>
      <c r="KR227" s="4"/>
      <c r="KS227" s="4"/>
      <c r="KT227" s="4"/>
      <c r="KU227" s="4"/>
      <c r="KV227" s="4"/>
      <c r="KW227" s="4"/>
      <c r="KX227" s="4"/>
      <c r="KY227" s="4"/>
      <c r="KZ227" s="4"/>
      <c r="LA227" s="4"/>
      <c r="LB227" s="4"/>
      <c r="LC227" s="4"/>
      <c r="LD227" s="4"/>
      <c r="LE227" s="4"/>
      <c r="LF227" s="4"/>
      <c r="LG227" s="4"/>
      <c r="LH227" s="4"/>
      <c r="LI227" s="4"/>
      <c r="LJ227" s="4"/>
      <c r="LK227" s="4"/>
      <c r="LL227" s="4"/>
      <c r="LM227" s="4"/>
    </row>
    <row r="228">
      <c r="A228" s="3" t="s">
        <v>136</v>
      </c>
      <c r="B228" s="3" t="s">
        <v>181</v>
      </c>
      <c r="C228" s="3" t="s">
        <v>138</v>
      </c>
      <c r="D228" s="3" t="s">
        <v>139</v>
      </c>
      <c r="E228" s="3" t="s">
        <v>182</v>
      </c>
      <c r="F228" s="3" t="s">
        <v>182</v>
      </c>
      <c r="G228" s="3" t="s">
        <v>182</v>
      </c>
      <c r="H228" s="3" t="s">
        <v>183</v>
      </c>
      <c r="I228" s="3" t="s">
        <v>258</v>
      </c>
      <c r="J228" s="3" t="s">
        <v>241</v>
      </c>
      <c r="K228" s="4"/>
      <c r="L228" s="4">
        <f>=ROUNDDOWN({0},0)</f>
      </c>
      <c r="M228" s="4"/>
      <c r="N228" s="5"/>
      <c r="O228" s="4"/>
      <c r="P228" s="4">
        <f>=ROUNDDOWN({0},0)</f>
      </c>
      <c r="Q228" s="4"/>
      <c r="R228" s="5"/>
      <c r="S228" s="4"/>
      <c r="T228" s="6"/>
      <c r="U228" s="4">
        <v>237</v>
      </c>
      <c r="V228" s="6">
        <v>5632.7</v>
      </c>
      <c r="W228" s="5"/>
      <c r="X228" s="5"/>
      <c r="Y228" s="4"/>
      <c r="Z228" s="6"/>
      <c r="AA228" s="4">
        <v>24</v>
      </c>
      <c r="AB228" s="6">
        <v>596.71</v>
      </c>
      <c r="AC228" s="5"/>
      <c r="AD228" s="5"/>
      <c r="AE228" s="4"/>
      <c r="AF228" s="6"/>
      <c r="AG228" s="4">
        <v>6</v>
      </c>
      <c r="AH228" s="6">
        <v>145.98</v>
      </c>
      <c r="AI228" s="5"/>
      <c r="AJ228" s="5"/>
      <c r="AK228" s="4"/>
      <c r="AL228" s="6"/>
      <c r="AM228" s="4"/>
      <c r="AN228" s="6"/>
      <c r="AO228" s="5"/>
      <c r="AP228" s="5"/>
      <c r="AQ228" s="4"/>
      <c r="AR228" s="6"/>
      <c r="AS228" s="4"/>
      <c r="AT228" s="6"/>
      <c r="AU228" s="5"/>
      <c r="AV228" s="5"/>
      <c r="AW228" s="4"/>
      <c r="AX228" s="6"/>
      <c r="AY228" s="4">
        <v>44</v>
      </c>
      <c r="AZ228" s="6">
        <v>1053.86</v>
      </c>
      <c r="BA228" s="5"/>
      <c r="BB228" s="5"/>
      <c r="BC228" s="4"/>
      <c r="BD228" s="6"/>
      <c r="BE228" s="4">
        <v>96</v>
      </c>
      <c r="BF228" s="6">
        <v>2314.09</v>
      </c>
      <c r="BG228" s="5"/>
      <c r="BH228" s="5"/>
      <c r="BI228" s="4"/>
      <c r="BJ228" s="6"/>
      <c r="BK228" s="4">
        <v>18</v>
      </c>
      <c r="BL228" s="6">
        <v>438.4</v>
      </c>
      <c r="BM228" s="5"/>
      <c r="BN228" s="5"/>
      <c r="BO228" s="4"/>
      <c r="BP228" s="6"/>
      <c r="BQ228" s="4">
        <v>23</v>
      </c>
      <c r="BR228" s="6">
        <v>474.71</v>
      </c>
      <c r="BS228" s="5"/>
      <c r="BT228" s="5"/>
      <c r="BU228" s="4"/>
      <c r="BV228" s="6"/>
      <c r="BW228" s="4">
        <v>11</v>
      </c>
      <c r="BX228" s="6">
        <v>248.88</v>
      </c>
      <c r="BY228" s="5"/>
      <c r="BZ228" s="5"/>
      <c r="CA228" s="4"/>
      <c r="CB228" s="6"/>
      <c r="CC228" s="4">
        <v>4</v>
      </c>
      <c r="CD228" s="6">
        <v>93.73</v>
      </c>
      <c r="CE228" s="5"/>
      <c r="CF228" s="5"/>
      <c r="CG228" s="4"/>
      <c r="CH228" s="6"/>
      <c r="CI228" s="4"/>
      <c r="CJ228" s="6"/>
      <c r="CK228" s="5"/>
      <c r="CL228" s="5"/>
      <c r="CM228" s="4"/>
      <c r="CN228" s="6"/>
      <c r="CO228" s="4"/>
      <c r="CP228" s="6"/>
      <c r="CQ228" s="5"/>
      <c r="CR228" s="5"/>
      <c r="CS228" s="4"/>
      <c r="CT228" s="6"/>
      <c r="CU228" s="4"/>
      <c r="CV228" s="6"/>
      <c r="CW228" s="5"/>
      <c r="CX228" s="5"/>
      <c r="CY228" s="4"/>
      <c r="CZ228" s="6"/>
      <c r="DA228" s="4">
        <v>7</v>
      </c>
      <c r="DB228" s="6">
        <v>158.76</v>
      </c>
      <c r="DC228" s="5"/>
      <c r="DD228" s="5"/>
      <c r="DE228" s="4"/>
      <c r="DF228" s="6"/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>
        <v>3</v>
      </c>
      <c r="DT228" s="6">
        <v>84.9</v>
      </c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>
        <v>1</v>
      </c>
      <c r="EF228" s="6">
        <v>22.68</v>
      </c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  <c r="IA228" s="4"/>
      <c r="IB228" s="6"/>
      <c r="IC228" s="4"/>
      <c r="ID228" s="6"/>
      <c r="IE228" s="5"/>
      <c r="IF228" s="5"/>
      <c r="IG228" s="4"/>
      <c r="IH228" s="6"/>
      <c r="II228" s="4"/>
      <c r="IJ228" s="6"/>
      <c r="IK228" s="5"/>
      <c r="IL228" s="5"/>
      <c r="IM228" s="4"/>
      <c r="IN228" s="6"/>
      <c r="IO228" s="4"/>
      <c r="IP228" s="6"/>
      <c r="IQ228" s="5"/>
      <c r="IR228" s="5"/>
      <c r="IS228" s="4"/>
      <c r="IT228" s="6"/>
      <c r="IU228" s="4"/>
      <c r="IV228" s="6"/>
      <c r="IW228" s="5"/>
      <c r="IX228" s="5"/>
      <c r="IY228" s="4"/>
      <c r="IZ228" s="6"/>
      <c r="JA228" s="4"/>
      <c r="JB228" s="6"/>
      <c r="JC228" s="5"/>
      <c r="JD228" s="5"/>
      <c r="JE228" s="4"/>
      <c r="JF228" s="6"/>
      <c r="JG228" s="4"/>
      <c r="JH228" s="6"/>
      <c r="JI228" s="5"/>
      <c r="JJ228" s="5"/>
      <c r="JK228" s="4"/>
      <c r="JL228" s="4"/>
      <c r="JM228" s="4"/>
      <c r="JN228" s="4"/>
      <c r="JO228" s="4"/>
      <c r="JP228" s="4"/>
      <c r="JQ228" s="4"/>
      <c r="JR228" s="4"/>
      <c r="JS228" s="4"/>
      <c r="JT228" s="4"/>
      <c r="JU228" s="4"/>
      <c r="JV228" s="4"/>
      <c r="JW228" s="4"/>
      <c r="JX228" s="4"/>
      <c r="JY228" s="4"/>
      <c r="JZ228" s="4"/>
      <c r="KA228" s="4"/>
      <c r="KB228" s="4"/>
      <c r="KC228" s="4"/>
      <c r="KD228" s="4"/>
      <c r="KE228" s="4"/>
      <c r="KF228" s="4"/>
      <c r="KG228" s="4"/>
      <c r="KH228" s="4"/>
      <c r="KI228" s="4"/>
      <c r="KJ228" s="4"/>
      <c r="KK228" s="4"/>
      <c r="KL228" s="4"/>
      <c r="KM228" s="4"/>
      <c r="KN228" s="4"/>
      <c r="KO228" s="4"/>
      <c r="KP228" s="4"/>
      <c r="KQ228" s="4"/>
      <c r="KR228" s="4"/>
      <c r="KS228" s="4"/>
      <c r="KT228" s="4"/>
      <c r="KU228" s="4"/>
      <c r="KV228" s="4"/>
      <c r="KW228" s="4"/>
      <c r="KX228" s="4"/>
      <c r="KY228" s="4"/>
      <c r="KZ228" s="4"/>
      <c r="LA228" s="4"/>
      <c r="LB228" s="4"/>
      <c r="LC228" s="4"/>
      <c r="LD228" s="4"/>
      <c r="LE228" s="4"/>
      <c r="LF228" s="4"/>
      <c r="LG228" s="4"/>
      <c r="LH228" s="4"/>
      <c r="LI228" s="4"/>
      <c r="LJ228" s="4"/>
      <c r="LK228" s="4"/>
      <c r="LL228" s="4"/>
      <c r="LM228" s="4"/>
    </row>
    <row r="229">
      <c r="A229" s="3" t="s">
        <v>136</v>
      </c>
      <c r="B229" s="3" t="s">
        <v>181</v>
      </c>
      <c r="C229" s="3" t="s">
        <v>138</v>
      </c>
      <c r="D229" s="3" t="s">
        <v>139</v>
      </c>
      <c r="E229" s="3" t="s">
        <v>146</v>
      </c>
      <c r="F229" s="3" t="s">
        <v>146</v>
      </c>
      <c r="G229" s="3" t="s">
        <v>146</v>
      </c>
      <c r="H229" s="3" t="s">
        <v>146</v>
      </c>
      <c r="I229" s="3" t="s">
        <v>231</v>
      </c>
      <c r="J229" s="3" t="s">
        <v>228</v>
      </c>
      <c r="K229" s="4">
        <v>997</v>
      </c>
      <c r="L229" s="4">
        <f>=ROUNDDOWN(9.05540417801998,0)</f>
      </c>
      <c r="M229" s="4">
        <v>3130</v>
      </c>
      <c r="N229" s="5">
        <v>0.9459</v>
      </c>
      <c r="O229" s="4"/>
      <c r="P229" s="4">
        <f>=ROUNDDOWN({0},0)</f>
      </c>
      <c r="Q229" s="4"/>
      <c r="R229" s="5"/>
      <c r="S229" s="4">
        <v>1040</v>
      </c>
      <c r="T229" s="6">
        <v>15420.65</v>
      </c>
      <c r="U229" s="4">
        <v>1159</v>
      </c>
      <c r="V229" s="6">
        <v>17593.26</v>
      </c>
      <c r="W229" s="5">
        <v>-0.1027</v>
      </c>
      <c r="X229" s="5">
        <v>-0.1235</v>
      </c>
      <c r="Y229" s="4">
        <v>292</v>
      </c>
      <c r="Z229" s="6">
        <v>4029.33</v>
      </c>
      <c r="AA229" s="4">
        <v>220</v>
      </c>
      <c r="AB229" s="6">
        <v>3076.7</v>
      </c>
      <c r="AC229" s="5">
        <v>0.3273</v>
      </c>
      <c r="AD229" s="5">
        <v>0.3096</v>
      </c>
      <c r="AE229" s="4">
        <v>9</v>
      </c>
      <c r="AF229" s="6">
        <v>136.83</v>
      </c>
      <c r="AG229" s="4">
        <v>4</v>
      </c>
      <c r="AH229" s="6">
        <v>60.22</v>
      </c>
      <c r="AI229" s="5">
        <v>1.25</v>
      </c>
      <c r="AJ229" s="5">
        <v>1.2722</v>
      </c>
      <c r="AK229" s="4"/>
      <c r="AL229" s="6"/>
      <c r="AM229" s="4"/>
      <c r="AN229" s="6"/>
      <c r="AO229" s="5"/>
      <c r="AP229" s="5"/>
      <c r="AQ229" s="4">
        <v>68</v>
      </c>
      <c r="AR229" s="6">
        <v>1189.32</v>
      </c>
      <c r="AS229" s="4">
        <v>105</v>
      </c>
      <c r="AT229" s="6">
        <v>1842.5</v>
      </c>
      <c r="AU229" s="5">
        <v>-0.3524</v>
      </c>
      <c r="AV229" s="5">
        <v>-0.3545</v>
      </c>
      <c r="AW229" s="4">
        <v>53</v>
      </c>
      <c r="AX229" s="6">
        <v>801.03</v>
      </c>
      <c r="AY229" s="4">
        <v>90</v>
      </c>
      <c r="AZ229" s="6">
        <v>1400.22</v>
      </c>
      <c r="BA229" s="5">
        <v>-0.4111</v>
      </c>
      <c r="BB229" s="5">
        <v>-0.4279</v>
      </c>
      <c r="BC229" s="4">
        <v>256</v>
      </c>
      <c r="BD229" s="6">
        <v>3823.05</v>
      </c>
      <c r="BE229" s="4">
        <v>205</v>
      </c>
      <c r="BF229" s="6">
        <v>3129.65</v>
      </c>
      <c r="BG229" s="5">
        <v>0.2488</v>
      </c>
      <c r="BH229" s="5">
        <v>0.2216</v>
      </c>
      <c r="BI229" s="4">
        <v>35</v>
      </c>
      <c r="BJ229" s="6">
        <v>463.34</v>
      </c>
      <c r="BK229" s="4">
        <v>54</v>
      </c>
      <c r="BL229" s="6">
        <v>803.84</v>
      </c>
      <c r="BM229" s="5">
        <v>-0.3519</v>
      </c>
      <c r="BN229" s="5">
        <v>-0.4236</v>
      </c>
      <c r="BO229" s="4"/>
      <c r="BP229" s="6"/>
      <c r="BQ229" s="4">
        <v>4</v>
      </c>
      <c r="BR229" s="6">
        <v>54.47</v>
      </c>
      <c r="BS229" s="5"/>
      <c r="BT229" s="5"/>
      <c r="BU229" s="4">
        <v>14</v>
      </c>
      <c r="BV229" s="6">
        <v>211.65</v>
      </c>
      <c r="BW229" s="4">
        <v>30</v>
      </c>
      <c r="BX229" s="6">
        <v>473.81</v>
      </c>
      <c r="BY229" s="5">
        <v>-0.5333</v>
      </c>
      <c r="BZ229" s="5">
        <v>-0.5533</v>
      </c>
      <c r="CA229" s="4">
        <v>7</v>
      </c>
      <c r="CB229" s="6">
        <v>115.28</v>
      </c>
      <c r="CC229" s="4">
        <v>21</v>
      </c>
      <c r="CD229" s="6">
        <v>346.28</v>
      </c>
      <c r="CE229" s="5">
        <v>-0.6667</v>
      </c>
      <c r="CF229" s="5">
        <v>-0.6671</v>
      </c>
      <c r="CG229" s="4">
        <v>158</v>
      </c>
      <c r="CH229" s="6">
        <v>2318.28</v>
      </c>
      <c r="CI229" s="4">
        <v>129</v>
      </c>
      <c r="CJ229" s="6">
        <v>1963.71</v>
      </c>
      <c r="CK229" s="5">
        <v>0.2248</v>
      </c>
      <c r="CL229" s="5">
        <v>0.1806</v>
      </c>
      <c r="CM229" s="4"/>
      <c r="CN229" s="6"/>
      <c r="CO229" s="4"/>
      <c r="CP229" s="6"/>
      <c r="CQ229" s="5"/>
      <c r="CR229" s="5"/>
      <c r="CS229" s="4">
        <v>56</v>
      </c>
      <c r="CT229" s="6">
        <v>853.16</v>
      </c>
      <c r="CU229" s="4">
        <v>77</v>
      </c>
      <c r="CV229" s="6">
        <v>1259.62</v>
      </c>
      <c r="CW229" s="5">
        <v>-0.2727</v>
      </c>
      <c r="CX229" s="5">
        <v>-0.3227</v>
      </c>
      <c r="CY229" s="4">
        <v>17</v>
      </c>
      <c r="CZ229" s="6">
        <v>202.98</v>
      </c>
      <c r="DA229" s="4">
        <v>96</v>
      </c>
      <c r="DB229" s="6">
        <v>1160.43</v>
      </c>
      <c r="DC229" s="5">
        <v>-0.8229</v>
      </c>
      <c r="DD229" s="5">
        <v>-0.8251</v>
      </c>
      <c r="DE229" s="4">
        <v>3</v>
      </c>
      <c r="DF229" s="6">
        <v>44.91</v>
      </c>
      <c r="DG229" s="4">
        <v>2</v>
      </c>
      <c r="DH229" s="6">
        <v>29.06</v>
      </c>
      <c r="DI229" s="5">
        <v>0.5</v>
      </c>
      <c r="DJ229" s="5">
        <v>0.5454</v>
      </c>
      <c r="DK229" s="4">
        <v>2</v>
      </c>
      <c r="DL229" s="6">
        <v>60.98</v>
      </c>
      <c r="DM229" s="4">
        <v>1</v>
      </c>
      <c r="DN229" s="6">
        <v>29.69</v>
      </c>
      <c r="DO229" s="5">
        <v>1</v>
      </c>
      <c r="DP229" s="5">
        <v>1.0539</v>
      </c>
      <c r="DQ229" s="4">
        <v>70</v>
      </c>
      <c r="DR229" s="6">
        <v>1170.51</v>
      </c>
      <c r="DS229" s="4">
        <v>110</v>
      </c>
      <c r="DT229" s="6">
        <v>1784.5</v>
      </c>
      <c r="DU229" s="5">
        <v>-0.3636</v>
      </c>
      <c r="DV229" s="5">
        <v>-0.3441</v>
      </c>
      <c r="DW229" s="4"/>
      <c r="DX229" s="6"/>
      <c r="DY229" s="4"/>
      <c r="DZ229" s="6"/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>
        <v>10</v>
      </c>
      <c r="FV229" s="6">
        <v>164.99</v>
      </c>
      <c r="FW229" s="5"/>
      <c r="FX229" s="5"/>
      <c r="FY229" s="4"/>
      <c r="FZ229" s="6"/>
      <c r="GA229" s="4">
        <v>1</v>
      </c>
      <c r="GB229" s="6">
        <v>13.57</v>
      </c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  <c r="IA229" s="4"/>
      <c r="IB229" s="6"/>
      <c r="IC229" s="4"/>
      <c r="ID229" s="6"/>
      <c r="IE229" s="5"/>
      <c r="IF229" s="5"/>
      <c r="IG229" s="4"/>
      <c r="IH229" s="6"/>
      <c r="II229" s="4"/>
      <c r="IJ229" s="6"/>
      <c r="IK229" s="5"/>
      <c r="IL229" s="5"/>
      <c r="IM229" s="4"/>
      <c r="IN229" s="6"/>
      <c r="IO229" s="4"/>
      <c r="IP229" s="6"/>
      <c r="IQ229" s="5"/>
      <c r="IR229" s="5"/>
      <c r="IS229" s="4"/>
      <c r="IT229" s="6"/>
      <c r="IU229" s="4"/>
      <c r="IV229" s="6"/>
      <c r="IW229" s="5"/>
      <c r="IX229" s="5"/>
      <c r="IY229" s="4"/>
      <c r="IZ229" s="6"/>
      <c r="JA229" s="4"/>
      <c r="JB229" s="6"/>
      <c r="JC229" s="5"/>
      <c r="JD229" s="5"/>
      <c r="JE229" s="4"/>
      <c r="JF229" s="6"/>
      <c r="JG229" s="4"/>
      <c r="JH229" s="6"/>
      <c r="JI229" s="5"/>
      <c r="JJ229" s="5"/>
      <c r="JK229" s="4">
        <v>997</v>
      </c>
      <c r="JL229" s="4"/>
      <c r="JM229" s="4"/>
      <c r="JN229" s="4"/>
      <c r="JO229" s="4"/>
      <c r="JP229" s="4"/>
      <c r="JQ229" s="4"/>
      <c r="JR229" s="4"/>
      <c r="JS229" s="4"/>
      <c r="JT229" s="4"/>
      <c r="JU229" s="4"/>
      <c r="JV229" s="4"/>
      <c r="JW229" s="4"/>
      <c r="JX229" s="4"/>
      <c r="JY229" s="4"/>
      <c r="JZ229" s="4"/>
      <c r="KA229" s="4">
        <v>980</v>
      </c>
      <c r="KB229" s="4"/>
      <c r="KC229" s="4"/>
      <c r="KD229" s="4"/>
      <c r="KE229" s="4"/>
      <c r="KF229" s="4"/>
      <c r="KG229" s="4"/>
      <c r="KH229" s="4"/>
      <c r="KI229" s="4"/>
      <c r="KJ229" s="4"/>
      <c r="KK229" s="4"/>
      <c r="KL229" s="4"/>
      <c r="KM229" s="4"/>
      <c r="KN229" s="4"/>
      <c r="KO229" s="4"/>
      <c r="KP229" s="4"/>
      <c r="KQ229" s="4"/>
      <c r="KR229" s="4"/>
      <c r="KS229" s="4"/>
      <c r="KT229" s="4"/>
      <c r="KU229" s="4">
        <v>1280</v>
      </c>
      <c r="KV229" s="4"/>
      <c r="KW229" s="4"/>
      <c r="KX229" s="4"/>
      <c r="KY229" s="4"/>
      <c r="KZ229" s="4">
        <v>290</v>
      </c>
      <c r="LA229" s="4"/>
      <c r="LB229" s="4"/>
      <c r="LC229" s="4"/>
      <c r="LD229" s="4"/>
      <c r="LE229" s="4"/>
      <c r="LF229" s="4"/>
      <c r="LG229" s="4">
        <v>580</v>
      </c>
      <c r="LH229" s="4"/>
      <c r="LI229" s="4"/>
      <c r="LJ229" s="4"/>
      <c r="LK229" s="4"/>
      <c r="LL229" s="4"/>
      <c r="LM229" s="4"/>
    </row>
    <row r="230">
      <c r="A230" s="3" t="s">
        <v>136</v>
      </c>
      <c r="B230" s="3" t="s">
        <v>181</v>
      </c>
      <c r="C230" s="3" t="s">
        <v>138</v>
      </c>
      <c r="D230" s="3" t="s">
        <v>139</v>
      </c>
      <c r="E230" s="3" t="s">
        <v>146</v>
      </c>
      <c r="F230" s="3" t="s">
        <v>146</v>
      </c>
      <c r="G230" s="3" t="s">
        <v>146</v>
      </c>
      <c r="H230" s="3" t="s">
        <v>146</v>
      </c>
      <c r="I230" s="3" t="s">
        <v>227</v>
      </c>
      <c r="J230" s="3" t="s">
        <v>228</v>
      </c>
      <c r="K230" s="4">
        <v>1249</v>
      </c>
      <c r="L230" s="4">
        <f>=ROUNDDOWN(14.0337078651685,0)</f>
      </c>
      <c r="M230" s="4">
        <v>2285</v>
      </c>
      <c r="N230" s="5">
        <v>0.927</v>
      </c>
      <c r="O230" s="4"/>
      <c r="P230" s="4">
        <f>=ROUNDDOWN({0},0)</f>
      </c>
      <c r="Q230" s="4"/>
      <c r="R230" s="5"/>
      <c r="S230" s="4">
        <v>958</v>
      </c>
      <c r="T230" s="6">
        <v>14166.35</v>
      </c>
      <c r="U230" s="4">
        <v>935</v>
      </c>
      <c r="V230" s="6">
        <v>14049.83</v>
      </c>
      <c r="W230" s="5">
        <v>0.0246</v>
      </c>
      <c r="X230" s="5">
        <v>0.0083</v>
      </c>
      <c r="Y230" s="4">
        <v>209</v>
      </c>
      <c r="Z230" s="6">
        <v>2865.82</v>
      </c>
      <c r="AA230" s="4">
        <v>69</v>
      </c>
      <c r="AB230" s="6">
        <v>965.81</v>
      </c>
      <c r="AC230" s="5">
        <v>2.029</v>
      </c>
      <c r="AD230" s="5">
        <v>1.9673</v>
      </c>
      <c r="AE230" s="4">
        <v>10</v>
      </c>
      <c r="AF230" s="6">
        <v>154.66</v>
      </c>
      <c r="AG230" s="4">
        <v>12</v>
      </c>
      <c r="AH230" s="6">
        <v>185.97</v>
      </c>
      <c r="AI230" s="5">
        <v>-0.1667</v>
      </c>
      <c r="AJ230" s="5">
        <v>-0.1684</v>
      </c>
      <c r="AK230" s="4"/>
      <c r="AL230" s="6"/>
      <c r="AM230" s="4"/>
      <c r="AN230" s="6"/>
      <c r="AO230" s="5"/>
      <c r="AP230" s="5"/>
      <c r="AQ230" s="4">
        <v>171</v>
      </c>
      <c r="AR230" s="6">
        <v>2580.96</v>
      </c>
      <c r="AS230" s="4">
        <v>125</v>
      </c>
      <c r="AT230" s="6">
        <v>1905.72</v>
      </c>
      <c r="AU230" s="5">
        <v>0.368</v>
      </c>
      <c r="AV230" s="5">
        <v>0.3543</v>
      </c>
      <c r="AW230" s="4">
        <v>37</v>
      </c>
      <c r="AX230" s="6">
        <v>555.66</v>
      </c>
      <c r="AY230" s="4">
        <v>48</v>
      </c>
      <c r="AZ230" s="6">
        <v>752.7</v>
      </c>
      <c r="BA230" s="5">
        <v>-0.2292</v>
      </c>
      <c r="BB230" s="5">
        <v>-0.2618</v>
      </c>
      <c r="BC230" s="4">
        <v>124</v>
      </c>
      <c r="BD230" s="6">
        <v>1782.5</v>
      </c>
      <c r="BE230" s="4">
        <v>139</v>
      </c>
      <c r="BF230" s="6">
        <v>2033.34</v>
      </c>
      <c r="BG230" s="5">
        <v>-0.1079</v>
      </c>
      <c r="BH230" s="5">
        <v>-0.1234</v>
      </c>
      <c r="BI230" s="4">
        <v>21</v>
      </c>
      <c r="BJ230" s="6">
        <v>278.74</v>
      </c>
      <c r="BK230" s="4">
        <v>112</v>
      </c>
      <c r="BL230" s="6">
        <v>1470.29</v>
      </c>
      <c r="BM230" s="5">
        <v>-0.8125</v>
      </c>
      <c r="BN230" s="5">
        <v>-0.8104</v>
      </c>
      <c r="BO230" s="4">
        <v>1</v>
      </c>
      <c r="BP230" s="6">
        <v>10.86</v>
      </c>
      <c r="BQ230" s="4">
        <v>1</v>
      </c>
      <c r="BR230" s="6">
        <v>12.8</v>
      </c>
      <c r="BS230" s="5"/>
      <c r="BT230" s="5">
        <v>-0.1516</v>
      </c>
      <c r="BU230" s="4">
        <v>17</v>
      </c>
      <c r="BV230" s="6">
        <v>257.39</v>
      </c>
      <c r="BW230" s="4">
        <v>46</v>
      </c>
      <c r="BX230" s="6">
        <v>670.69</v>
      </c>
      <c r="BY230" s="5">
        <v>-0.6304</v>
      </c>
      <c r="BZ230" s="5">
        <v>-0.6162</v>
      </c>
      <c r="CA230" s="4">
        <v>244</v>
      </c>
      <c r="CB230" s="6">
        <v>3774.93</v>
      </c>
      <c r="CC230" s="4">
        <v>200</v>
      </c>
      <c r="CD230" s="6">
        <v>3310.84</v>
      </c>
      <c r="CE230" s="5">
        <v>0.22</v>
      </c>
      <c r="CF230" s="5">
        <v>0.1402</v>
      </c>
      <c r="CG230" s="4">
        <v>64</v>
      </c>
      <c r="CH230" s="6">
        <v>979.27</v>
      </c>
      <c r="CI230" s="4">
        <v>89</v>
      </c>
      <c r="CJ230" s="6">
        <v>1413.84</v>
      </c>
      <c r="CK230" s="5">
        <v>-0.2809</v>
      </c>
      <c r="CL230" s="5">
        <v>-0.3074</v>
      </c>
      <c r="CM230" s="4"/>
      <c r="CN230" s="6"/>
      <c r="CO230" s="4"/>
      <c r="CP230" s="6"/>
      <c r="CQ230" s="5"/>
      <c r="CR230" s="5"/>
      <c r="CS230" s="4">
        <v>33</v>
      </c>
      <c r="CT230" s="6">
        <v>531.11</v>
      </c>
      <c r="CU230" s="4">
        <v>18</v>
      </c>
      <c r="CV230" s="6">
        <v>283.18</v>
      </c>
      <c r="CW230" s="5">
        <v>0.8333</v>
      </c>
      <c r="CX230" s="5">
        <v>0.8755</v>
      </c>
      <c r="CY230" s="4">
        <v>8</v>
      </c>
      <c r="CZ230" s="6">
        <v>98.97</v>
      </c>
      <c r="DA230" s="4">
        <v>46</v>
      </c>
      <c r="DB230" s="6">
        <v>571.8</v>
      </c>
      <c r="DC230" s="5">
        <v>-0.8261</v>
      </c>
      <c r="DD230" s="5">
        <v>-0.8269</v>
      </c>
      <c r="DE230" s="4">
        <v>1</v>
      </c>
      <c r="DF230" s="6">
        <v>15.85</v>
      </c>
      <c r="DG230" s="4">
        <v>1</v>
      </c>
      <c r="DH230" s="6">
        <v>15.85</v>
      </c>
      <c r="DI230" s="5"/>
      <c r="DJ230" s="5"/>
      <c r="DK230" s="4"/>
      <c r="DL230" s="6"/>
      <c r="DM230" s="4"/>
      <c r="DN230" s="6"/>
      <c r="DO230" s="5"/>
      <c r="DP230" s="5"/>
      <c r="DQ230" s="4">
        <v>17</v>
      </c>
      <c r="DR230" s="6">
        <v>267.89</v>
      </c>
      <c r="DS230" s="4">
        <v>23</v>
      </c>
      <c r="DT230" s="6">
        <v>365.25</v>
      </c>
      <c r="DU230" s="5">
        <v>-0.2609</v>
      </c>
      <c r="DV230" s="5">
        <v>-0.2666</v>
      </c>
      <c r="DW230" s="4"/>
      <c r="DX230" s="6"/>
      <c r="DY230" s="4"/>
      <c r="DZ230" s="6"/>
      <c r="EA230" s="5"/>
      <c r="EB230" s="5"/>
      <c r="EC230" s="4">
        <v>1</v>
      </c>
      <c r="ED230" s="6">
        <v>11.74</v>
      </c>
      <c r="EE230" s="4">
        <v>3</v>
      </c>
      <c r="EF230" s="6">
        <v>44.76</v>
      </c>
      <c r="EG230" s="5">
        <v>-0.6667</v>
      </c>
      <c r="EH230" s="5">
        <v>-0.7377</v>
      </c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>
        <v>1</v>
      </c>
      <c r="FV230" s="6">
        <v>17.15</v>
      </c>
      <c r="FW230" s="5"/>
      <c r="FX230" s="5"/>
      <c r="FY230" s="4"/>
      <c r="FZ230" s="6"/>
      <c r="GA230" s="4">
        <v>2</v>
      </c>
      <c r="GB230" s="6">
        <v>29.84</v>
      </c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  <c r="IA230" s="4"/>
      <c r="IB230" s="6"/>
      <c r="IC230" s="4"/>
      <c r="ID230" s="6"/>
      <c r="IE230" s="5"/>
      <c r="IF230" s="5"/>
      <c r="IG230" s="4"/>
      <c r="IH230" s="6"/>
      <c r="II230" s="4"/>
      <c r="IJ230" s="6"/>
      <c r="IK230" s="5"/>
      <c r="IL230" s="5"/>
      <c r="IM230" s="4"/>
      <c r="IN230" s="6"/>
      <c r="IO230" s="4"/>
      <c r="IP230" s="6"/>
      <c r="IQ230" s="5"/>
      <c r="IR230" s="5"/>
      <c r="IS230" s="4"/>
      <c r="IT230" s="6"/>
      <c r="IU230" s="4"/>
      <c r="IV230" s="6"/>
      <c r="IW230" s="5"/>
      <c r="IX230" s="5"/>
      <c r="IY230" s="4"/>
      <c r="IZ230" s="6"/>
      <c r="JA230" s="4"/>
      <c r="JB230" s="6"/>
      <c r="JC230" s="5"/>
      <c r="JD230" s="5"/>
      <c r="JE230" s="4"/>
      <c r="JF230" s="6"/>
      <c r="JG230" s="4"/>
      <c r="JH230" s="6"/>
      <c r="JI230" s="5"/>
      <c r="JJ230" s="5"/>
      <c r="JK230" s="4">
        <v>1249</v>
      </c>
      <c r="JL230" s="4"/>
      <c r="JM230" s="4"/>
      <c r="JN230" s="4"/>
      <c r="JO230" s="4"/>
      <c r="JP230" s="4"/>
      <c r="JQ230" s="4"/>
      <c r="JR230" s="4"/>
      <c r="JS230" s="4"/>
      <c r="JT230" s="4"/>
      <c r="JU230" s="4"/>
      <c r="JV230" s="4"/>
      <c r="JW230" s="4"/>
      <c r="JX230" s="4"/>
      <c r="JY230" s="4"/>
      <c r="JZ230" s="4"/>
      <c r="KA230" s="4">
        <v>550</v>
      </c>
      <c r="KB230" s="4"/>
      <c r="KC230" s="4"/>
      <c r="KD230" s="4"/>
      <c r="KE230" s="4"/>
      <c r="KF230" s="4"/>
      <c r="KG230" s="4"/>
      <c r="KH230" s="4"/>
      <c r="KI230" s="4"/>
      <c r="KJ230" s="4">
        <v>150</v>
      </c>
      <c r="KK230" s="4"/>
      <c r="KL230" s="4"/>
      <c r="KM230" s="4"/>
      <c r="KN230" s="4"/>
      <c r="KO230" s="4"/>
      <c r="KP230" s="4"/>
      <c r="KQ230" s="4"/>
      <c r="KR230" s="4"/>
      <c r="KS230" s="4"/>
      <c r="KT230" s="4"/>
      <c r="KU230" s="4">
        <v>740</v>
      </c>
      <c r="KV230" s="4"/>
      <c r="KW230" s="4"/>
      <c r="KX230" s="4"/>
      <c r="KY230" s="4"/>
      <c r="KZ230" s="4">
        <v>335</v>
      </c>
      <c r="LA230" s="4"/>
      <c r="LB230" s="4"/>
      <c r="LC230" s="4"/>
      <c r="LD230" s="4"/>
      <c r="LE230" s="4"/>
      <c r="LF230" s="4"/>
      <c r="LG230" s="4">
        <v>510</v>
      </c>
      <c r="LH230" s="4"/>
      <c r="LI230" s="4"/>
      <c r="LJ230" s="4"/>
      <c r="LK230" s="4"/>
      <c r="LL230" s="4"/>
      <c r="LM230" s="4"/>
    </row>
    <row r="231">
      <c r="A231" s="3" t="s">
        <v>136</v>
      </c>
      <c r="B231" s="3" t="s">
        <v>181</v>
      </c>
      <c r="C231" s="3" t="s">
        <v>138</v>
      </c>
      <c r="D231" s="3" t="s">
        <v>139</v>
      </c>
      <c r="E231" s="3" t="s">
        <v>146</v>
      </c>
      <c r="F231" s="3" t="s">
        <v>146</v>
      </c>
      <c r="G231" s="3" t="s">
        <v>146</v>
      </c>
      <c r="H231" s="3" t="s">
        <v>146</v>
      </c>
      <c r="I231" s="3" t="s">
        <v>258</v>
      </c>
      <c r="J231" s="3" t="s">
        <v>228</v>
      </c>
      <c r="K231" s="4">
        <v>795</v>
      </c>
      <c r="L231" s="4">
        <f>=ROUNDDOWN(9.08571428571429,0)</f>
      </c>
      <c r="M231" s="4">
        <v>2568</v>
      </c>
      <c r="N231" s="5">
        <v>1</v>
      </c>
      <c r="O231" s="4"/>
      <c r="P231" s="4">
        <f>=ROUNDDOWN({0},0)</f>
      </c>
      <c r="Q231" s="4"/>
      <c r="R231" s="5"/>
      <c r="S231" s="4">
        <v>960</v>
      </c>
      <c r="T231" s="6">
        <v>13785.62</v>
      </c>
      <c r="U231" s="4">
        <v>646</v>
      </c>
      <c r="V231" s="6">
        <v>9558.61</v>
      </c>
      <c r="W231" s="5">
        <v>0.4861</v>
      </c>
      <c r="X231" s="5">
        <v>0.4422</v>
      </c>
      <c r="Y231" s="4">
        <v>383</v>
      </c>
      <c r="Z231" s="6">
        <v>5328.54</v>
      </c>
      <c r="AA231" s="4">
        <v>98</v>
      </c>
      <c r="AB231" s="6">
        <v>1446.02</v>
      </c>
      <c r="AC231" s="5">
        <v>2.9082</v>
      </c>
      <c r="AD231" s="5">
        <v>2.685</v>
      </c>
      <c r="AE231" s="4">
        <v>18</v>
      </c>
      <c r="AF231" s="6">
        <v>260.64</v>
      </c>
      <c r="AG231" s="4">
        <v>11</v>
      </c>
      <c r="AH231" s="6">
        <v>166.28</v>
      </c>
      <c r="AI231" s="5">
        <v>0.6364</v>
      </c>
      <c r="AJ231" s="5">
        <v>0.5675</v>
      </c>
      <c r="AK231" s="4">
        <v>2</v>
      </c>
      <c r="AL231" s="6">
        <v>73.23</v>
      </c>
      <c r="AM231" s="4"/>
      <c r="AN231" s="6"/>
      <c r="AO231" s="5"/>
      <c r="AP231" s="5"/>
      <c r="AQ231" s="4"/>
      <c r="AR231" s="6"/>
      <c r="AS231" s="4"/>
      <c r="AT231" s="6"/>
      <c r="AU231" s="5"/>
      <c r="AV231" s="5"/>
      <c r="AW231" s="4">
        <v>54</v>
      </c>
      <c r="AX231" s="6">
        <v>821.26</v>
      </c>
      <c r="AY231" s="4">
        <v>73</v>
      </c>
      <c r="AZ231" s="6">
        <v>1099.42</v>
      </c>
      <c r="BA231" s="5">
        <v>-0.2603</v>
      </c>
      <c r="BB231" s="5">
        <v>-0.253</v>
      </c>
      <c r="BC231" s="4">
        <v>229</v>
      </c>
      <c r="BD231" s="6">
        <v>3221.57</v>
      </c>
      <c r="BE231" s="4">
        <v>206</v>
      </c>
      <c r="BF231" s="6">
        <v>3053.5</v>
      </c>
      <c r="BG231" s="5">
        <v>0.1117</v>
      </c>
      <c r="BH231" s="5">
        <v>0.055</v>
      </c>
      <c r="BI231" s="4">
        <v>52</v>
      </c>
      <c r="BJ231" s="6">
        <v>685.21</v>
      </c>
      <c r="BK231" s="4">
        <v>23</v>
      </c>
      <c r="BL231" s="6">
        <v>321.21</v>
      </c>
      <c r="BM231" s="5">
        <v>1.2609</v>
      </c>
      <c r="BN231" s="5">
        <v>1.1332</v>
      </c>
      <c r="BO231" s="4"/>
      <c r="BP231" s="6"/>
      <c r="BQ231" s="4">
        <v>4</v>
      </c>
      <c r="BR231" s="6">
        <v>42.28</v>
      </c>
      <c r="BS231" s="5"/>
      <c r="BT231" s="5"/>
      <c r="BU231" s="4">
        <v>16</v>
      </c>
      <c r="BV231" s="6">
        <v>254.35</v>
      </c>
      <c r="BW231" s="4">
        <v>27</v>
      </c>
      <c r="BX231" s="6">
        <v>408.76</v>
      </c>
      <c r="BY231" s="5">
        <v>-0.4074</v>
      </c>
      <c r="BZ231" s="5">
        <v>-0.3778</v>
      </c>
      <c r="CA231" s="4">
        <v>2</v>
      </c>
      <c r="CB231" s="6">
        <v>38.04</v>
      </c>
      <c r="CC231" s="4">
        <v>9</v>
      </c>
      <c r="CD231" s="6">
        <v>156.37</v>
      </c>
      <c r="CE231" s="5">
        <v>-0.7778</v>
      </c>
      <c r="CF231" s="5">
        <v>-0.7567</v>
      </c>
      <c r="CG231" s="4"/>
      <c r="CH231" s="6"/>
      <c r="CI231" s="4"/>
      <c r="CJ231" s="6"/>
      <c r="CK231" s="5"/>
      <c r="CL231" s="5"/>
      <c r="CM231" s="4"/>
      <c r="CN231" s="6"/>
      <c r="CO231" s="4"/>
      <c r="CP231" s="6"/>
      <c r="CQ231" s="5"/>
      <c r="CR231" s="5"/>
      <c r="CS231" s="4">
        <v>133</v>
      </c>
      <c r="CT231" s="6">
        <v>2081.37</v>
      </c>
      <c r="CU231" s="4">
        <v>58</v>
      </c>
      <c r="CV231" s="6">
        <v>880.09</v>
      </c>
      <c r="CW231" s="5">
        <v>1.2931</v>
      </c>
      <c r="CX231" s="5">
        <v>1.365</v>
      </c>
      <c r="CY231" s="4">
        <v>21</v>
      </c>
      <c r="CZ231" s="6">
        <v>249.12</v>
      </c>
      <c r="DA231" s="4">
        <v>53</v>
      </c>
      <c r="DB231" s="6">
        <v>657.89</v>
      </c>
      <c r="DC231" s="5">
        <v>-0.6038</v>
      </c>
      <c r="DD231" s="5">
        <v>-0.6213</v>
      </c>
      <c r="DE231" s="4">
        <v>16</v>
      </c>
      <c r="DF231" s="6">
        <v>219.79</v>
      </c>
      <c r="DG231" s="4">
        <v>15</v>
      </c>
      <c r="DH231" s="6">
        <v>216.63</v>
      </c>
      <c r="DI231" s="5">
        <v>0.0667</v>
      </c>
      <c r="DJ231" s="5">
        <v>0.0146</v>
      </c>
      <c r="DK231" s="4">
        <v>1</v>
      </c>
      <c r="DL231" s="6">
        <v>30.99</v>
      </c>
      <c r="DM231" s="4"/>
      <c r="DN231" s="6"/>
      <c r="DO231" s="5"/>
      <c r="DP231" s="5"/>
      <c r="DQ231" s="4">
        <v>30</v>
      </c>
      <c r="DR231" s="6">
        <v>477.26</v>
      </c>
      <c r="DS231" s="4">
        <v>38</v>
      </c>
      <c r="DT231" s="6">
        <v>627.02</v>
      </c>
      <c r="DU231" s="5">
        <v>-0.2105</v>
      </c>
      <c r="DV231" s="5">
        <v>-0.2388</v>
      </c>
      <c r="DW231" s="4"/>
      <c r="DX231" s="6"/>
      <c r="DY231" s="4"/>
      <c r="DZ231" s="6"/>
      <c r="EA231" s="5"/>
      <c r="EB231" s="5"/>
      <c r="EC231" s="4">
        <v>3</v>
      </c>
      <c r="ED231" s="6">
        <v>44.25</v>
      </c>
      <c r="EE231" s="4">
        <v>9</v>
      </c>
      <c r="EF231" s="6">
        <v>134.23</v>
      </c>
      <c r="EG231" s="5">
        <v>-0.6667</v>
      </c>
      <c r="EH231" s="5">
        <v>-0.6703</v>
      </c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>
        <v>17</v>
      </c>
      <c r="FV231" s="6">
        <v>273.65</v>
      </c>
      <c r="FW231" s="5"/>
      <c r="FX231" s="5"/>
      <c r="FY231" s="4"/>
      <c r="FZ231" s="6"/>
      <c r="GA231" s="4">
        <v>5</v>
      </c>
      <c r="GB231" s="6">
        <v>75.26</v>
      </c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  <c r="IA231" s="4"/>
      <c r="IB231" s="6"/>
      <c r="IC231" s="4"/>
      <c r="ID231" s="6"/>
      <c r="IE231" s="5"/>
      <c r="IF231" s="5"/>
      <c r="IG231" s="4"/>
      <c r="IH231" s="6"/>
      <c r="II231" s="4"/>
      <c r="IJ231" s="6"/>
      <c r="IK231" s="5"/>
      <c r="IL231" s="5"/>
      <c r="IM231" s="4"/>
      <c r="IN231" s="6"/>
      <c r="IO231" s="4"/>
      <c r="IP231" s="6"/>
      <c r="IQ231" s="5"/>
      <c r="IR231" s="5"/>
      <c r="IS231" s="4"/>
      <c r="IT231" s="6"/>
      <c r="IU231" s="4"/>
      <c r="IV231" s="6"/>
      <c r="IW231" s="5"/>
      <c r="IX231" s="5"/>
      <c r="IY231" s="4"/>
      <c r="IZ231" s="6"/>
      <c r="JA231" s="4"/>
      <c r="JB231" s="6"/>
      <c r="JC231" s="5"/>
      <c r="JD231" s="5"/>
      <c r="JE231" s="4"/>
      <c r="JF231" s="6"/>
      <c r="JG231" s="4"/>
      <c r="JH231" s="6"/>
      <c r="JI231" s="5"/>
      <c r="JJ231" s="5"/>
      <c r="JK231" s="4">
        <v>745</v>
      </c>
      <c r="JL231" s="4"/>
      <c r="JM231" s="4"/>
      <c r="JN231" s="4"/>
      <c r="JO231" s="4"/>
      <c r="JP231" s="4"/>
      <c r="JQ231" s="4"/>
      <c r="JR231" s="4">
        <v>50</v>
      </c>
      <c r="JS231" s="4"/>
      <c r="JT231" s="4"/>
      <c r="JU231" s="4"/>
      <c r="JV231" s="4"/>
      <c r="JW231" s="4"/>
      <c r="JX231" s="4"/>
      <c r="JY231" s="4"/>
      <c r="JZ231" s="4"/>
      <c r="KA231" s="4">
        <v>700</v>
      </c>
      <c r="KB231" s="4"/>
      <c r="KC231" s="4"/>
      <c r="KD231" s="4"/>
      <c r="KE231" s="4"/>
      <c r="KF231" s="4"/>
      <c r="KG231" s="4"/>
      <c r="KH231" s="4"/>
      <c r="KI231" s="4"/>
      <c r="KJ231" s="4"/>
      <c r="KK231" s="4"/>
      <c r="KL231" s="4"/>
      <c r="KM231" s="4"/>
      <c r="KN231" s="4"/>
      <c r="KO231" s="4"/>
      <c r="KP231" s="4"/>
      <c r="KQ231" s="4"/>
      <c r="KR231" s="4"/>
      <c r="KS231" s="4"/>
      <c r="KT231" s="4"/>
      <c r="KU231" s="4">
        <v>850</v>
      </c>
      <c r="KV231" s="4"/>
      <c r="KW231" s="4"/>
      <c r="KX231" s="4"/>
      <c r="KY231" s="4"/>
      <c r="KZ231" s="4">
        <v>418</v>
      </c>
      <c r="LA231" s="4"/>
      <c r="LB231" s="4"/>
      <c r="LC231" s="4"/>
      <c r="LD231" s="4"/>
      <c r="LE231" s="4"/>
      <c r="LF231" s="4"/>
      <c r="LG231" s="4">
        <v>600</v>
      </c>
      <c r="LH231" s="4"/>
      <c r="LI231" s="4"/>
      <c r="LJ231" s="4"/>
      <c r="LK231" s="4"/>
      <c r="LL231" s="4"/>
      <c r="LM231" s="4"/>
    </row>
    <row r="232">
      <c r="A232" s="3" t="s">
        <v>136</v>
      </c>
      <c r="B232" s="3" t="s">
        <v>181</v>
      </c>
      <c r="C232" s="3" t="s">
        <v>138</v>
      </c>
      <c r="D232" s="3" t="s">
        <v>139</v>
      </c>
      <c r="E232" s="3" t="s">
        <v>146</v>
      </c>
      <c r="F232" s="3" t="s">
        <v>146</v>
      </c>
      <c r="G232" s="3" t="s">
        <v>146</v>
      </c>
      <c r="H232" s="3" t="s">
        <v>146</v>
      </c>
      <c r="I232" s="3" t="s">
        <v>230</v>
      </c>
      <c r="J232" s="3" t="s">
        <v>228</v>
      </c>
      <c r="K232" s="4">
        <v>1574</v>
      </c>
      <c r="L232" s="4">
        <f>=ROUNDDOWN(17.4307862679956,0)</f>
      </c>
      <c r="M232" s="4">
        <v>2980</v>
      </c>
      <c r="N232" s="5">
        <v>1</v>
      </c>
      <c r="O232" s="4"/>
      <c r="P232" s="4">
        <f>=ROUNDDOWN({0},0)</f>
      </c>
      <c r="Q232" s="4"/>
      <c r="R232" s="5"/>
      <c r="S232" s="4">
        <v>902</v>
      </c>
      <c r="T232" s="6">
        <v>13366.97</v>
      </c>
      <c r="U232" s="4">
        <v>957</v>
      </c>
      <c r="V232" s="6">
        <v>14419.26</v>
      </c>
      <c r="W232" s="5">
        <v>-0.0575</v>
      </c>
      <c r="X232" s="5">
        <v>-0.073</v>
      </c>
      <c r="Y232" s="4">
        <v>271</v>
      </c>
      <c r="Z232" s="6">
        <v>3669.4</v>
      </c>
      <c r="AA232" s="4">
        <v>84</v>
      </c>
      <c r="AB232" s="6">
        <v>1202.61</v>
      </c>
      <c r="AC232" s="5">
        <v>2.2262</v>
      </c>
      <c r="AD232" s="5">
        <v>2.0512</v>
      </c>
      <c r="AE232" s="4">
        <v>27</v>
      </c>
      <c r="AF232" s="6">
        <v>422.19</v>
      </c>
      <c r="AG232" s="4">
        <v>4</v>
      </c>
      <c r="AH232" s="6">
        <v>62.05</v>
      </c>
      <c r="AI232" s="5">
        <v>5.75</v>
      </c>
      <c r="AJ232" s="5">
        <v>5.804</v>
      </c>
      <c r="AK232" s="4"/>
      <c r="AL232" s="6"/>
      <c r="AM232" s="4"/>
      <c r="AN232" s="6"/>
      <c r="AO232" s="5"/>
      <c r="AP232" s="5"/>
      <c r="AQ232" s="4">
        <v>130</v>
      </c>
      <c r="AR232" s="6">
        <v>2353.14</v>
      </c>
      <c r="AS232" s="4">
        <v>97</v>
      </c>
      <c r="AT232" s="6">
        <v>1766.94</v>
      </c>
      <c r="AU232" s="5">
        <v>0.3402</v>
      </c>
      <c r="AV232" s="5">
        <v>0.3318</v>
      </c>
      <c r="AW232" s="4">
        <v>42</v>
      </c>
      <c r="AX232" s="6">
        <v>632.91</v>
      </c>
      <c r="AY232" s="4">
        <v>85</v>
      </c>
      <c r="AZ232" s="6">
        <v>1252.48</v>
      </c>
      <c r="BA232" s="5">
        <v>-0.5059</v>
      </c>
      <c r="BB232" s="5">
        <v>-0.4947</v>
      </c>
      <c r="BC232" s="4">
        <v>160</v>
      </c>
      <c r="BD232" s="6">
        <v>2185.43</v>
      </c>
      <c r="BE232" s="4">
        <v>193</v>
      </c>
      <c r="BF232" s="6">
        <v>2814.55</v>
      </c>
      <c r="BG232" s="5">
        <v>-0.171</v>
      </c>
      <c r="BH232" s="5">
        <v>-0.2235</v>
      </c>
      <c r="BI232" s="4">
        <v>33</v>
      </c>
      <c r="BJ232" s="6">
        <v>460.89</v>
      </c>
      <c r="BK232" s="4">
        <v>90</v>
      </c>
      <c r="BL232" s="6">
        <v>1340.24</v>
      </c>
      <c r="BM232" s="5">
        <v>-0.6333</v>
      </c>
      <c r="BN232" s="5">
        <v>-0.6561</v>
      </c>
      <c r="BO232" s="4">
        <v>1</v>
      </c>
      <c r="BP232" s="6">
        <v>10.86</v>
      </c>
      <c r="BQ232" s="4">
        <v>2</v>
      </c>
      <c r="BR232" s="6">
        <v>25.28</v>
      </c>
      <c r="BS232" s="5">
        <v>-0.5</v>
      </c>
      <c r="BT232" s="5">
        <v>-0.5704</v>
      </c>
      <c r="BU232" s="4">
        <v>12</v>
      </c>
      <c r="BV232" s="6">
        <v>173.98</v>
      </c>
      <c r="BW232" s="4">
        <v>25</v>
      </c>
      <c r="BX232" s="6">
        <v>412.48</v>
      </c>
      <c r="BY232" s="5">
        <v>-0.52</v>
      </c>
      <c r="BZ232" s="5">
        <v>-0.5782</v>
      </c>
      <c r="CA232" s="4">
        <v>6</v>
      </c>
      <c r="CB232" s="6">
        <v>114.51</v>
      </c>
      <c r="CC232" s="4">
        <v>55</v>
      </c>
      <c r="CD232" s="6">
        <v>675.37</v>
      </c>
      <c r="CE232" s="5">
        <v>-0.8909</v>
      </c>
      <c r="CF232" s="5">
        <v>-0.8304</v>
      </c>
      <c r="CG232" s="4">
        <v>83</v>
      </c>
      <c r="CH232" s="6">
        <v>1221.25</v>
      </c>
      <c r="CI232" s="4">
        <v>25</v>
      </c>
      <c r="CJ232" s="6">
        <v>412.59</v>
      </c>
      <c r="CK232" s="5">
        <v>2.32</v>
      </c>
      <c r="CL232" s="5">
        <v>1.96</v>
      </c>
      <c r="CM232" s="4"/>
      <c r="CN232" s="6"/>
      <c r="CO232" s="4"/>
      <c r="CP232" s="6"/>
      <c r="CQ232" s="5"/>
      <c r="CR232" s="5"/>
      <c r="CS232" s="4">
        <v>70</v>
      </c>
      <c r="CT232" s="6">
        <v>1117.24</v>
      </c>
      <c r="CU232" s="4">
        <v>82</v>
      </c>
      <c r="CV232" s="6">
        <v>1312.71</v>
      </c>
      <c r="CW232" s="5">
        <v>-0.1463</v>
      </c>
      <c r="CX232" s="5">
        <v>-0.1489</v>
      </c>
      <c r="CY232" s="4">
        <v>25</v>
      </c>
      <c r="CZ232" s="6">
        <v>338.48</v>
      </c>
      <c r="DA232" s="4">
        <v>136</v>
      </c>
      <c r="DB232" s="6">
        <v>1897.93</v>
      </c>
      <c r="DC232" s="5">
        <v>-0.8162</v>
      </c>
      <c r="DD232" s="5">
        <v>-0.8217</v>
      </c>
      <c r="DE232" s="4">
        <v>6</v>
      </c>
      <c r="DF232" s="6">
        <v>84.54</v>
      </c>
      <c r="DG232" s="4">
        <v>6</v>
      </c>
      <c r="DH232" s="6">
        <v>84.54</v>
      </c>
      <c r="DI232" s="5"/>
      <c r="DJ232" s="5"/>
      <c r="DK232" s="4"/>
      <c r="DL232" s="6"/>
      <c r="DM232" s="4">
        <v>1</v>
      </c>
      <c r="DN232" s="6">
        <v>32.99</v>
      </c>
      <c r="DO232" s="5"/>
      <c r="DP232" s="5"/>
      <c r="DQ232" s="4">
        <v>36</v>
      </c>
      <c r="DR232" s="6">
        <v>582.15</v>
      </c>
      <c r="DS232" s="4">
        <v>46</v>
      </c>
      <c r="DT232" s="6">
        <v>742.36</v>
      </c>
      <c r="DU232" s="5">
        <v>-0.2174</v>
      </c>
      <c r="DV232" s="5">
        <v>-0.2158</v>
      </c>
      <c r="DW232" s="4"/>
      <c r="DX232" s="6"/>
      <c r="DY232" s="4"/>
      <c r="DZ232" s="6"/>
      <c r="EA232" s="5"/>
      <c r="EB232" s="5"/>
      <c r="EC232" s="4"/>
      <c r="ED232" s="6"/>
      <c r="EE232" s="4">
        <v>5</v>
      </c>
      <c r="EF232" s="6">
        <v>70.91</v>
      </c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>
        <v>1</v>
      </c>
      <c r="EX232" s="6">
        <v>13.03</v>
      </c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>
        <v>20</v>
      </c>
      <c r="FV232" s="6">
        <v>300.2</v>
      </c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  <c r="IA232" s="4"/>
      <c r="IB232" s="6"/>
      <c r="IC232" s="4"/>
      <c r="ID232" s="6"/>
      <c r="IE232" s="5"/>
      <c r="IF232" s="5"/>
      <c r="IG232" s="4"/>
      <c r="IH232" s="6"/>
      <c r="II232" s="4"/>
      <c r="IJ232" s="6"/>
      <c r="IK232" s="5"/>
      <c r="IL232" s="5"/>
      <c r="IM232" s="4"/>
      <c r="IN232" s="6"/>
      <c r="IO232" s="4"/>
      <c r="IP232" s="6"/>
      <c r="IQ232" s="5"/>
      <c r="IR232" s="5"/>
      <c r="IS232" s="4"/>
      <c r="IT232" s="6"/>
      <c r="IU232" s="4"/>
      <c r="IV232" s="6"/>
      <c r="IW232" s="5"/>
      <c r="IX232" s="5"/>
      <c r="IY232" s="4"/>
      <c r="IZ232" s="6"/>
      <c r="JA232" s="4"/>
      <c r="JB232" s="6"/>
      <c r="JC232" s="5"/>
      <c r="JD232" s="5"/>
      <c r="JE232" s="4"/>
      <c r="JF232" s="6"/>
      <c r="JG232" s="4"/>
      <c r="JH232" s="6"/>
      <c r="JI232" s="5"/>
      <c r="JJ232" s="5"/>
      <c r="JK232" s="4">
        <v>1424</v>
      </c>
      <c r="JL232" s="4"/>
      <c r="JM232" s="4"/>
      <c r="JN232" s="4"/>
      <c r="JO232" s="4"/>
      <c r="JP232" s="4"/>
      <c r="JQ232" s="4"/>
      <c r="JR232" s="4">
        <v>150</v>
      </c>
      <c r="JS232" s="4"/>
      <c r="JT232" s="4"/>
      <c r="JU232" s="4"/>
      <c r="JV232" s="4"/>
      <c r="JW232" s="4"/>
      <c r="JX232" s="4"/>
      <c r="JY232" s="4"/>
      <c r="JZ232" s="4"/>
      <c r="KA232" s="4">
        <v>930</v>
      </c>
      <c r="KB232" s="4"/>
      <c r="KC232" s="4"/>
      <c r="KD232" s="4"/>
      <c r="KE232" s="4"/>
      <c r="KF232" s="4"/>
      <c r="KG232" s="4"/>
      <c r="KH232" s="4"/>
      <c r="KI232" s="4"/>
      <c r="KJ232" s="4">
        <v>350</v>
      </c>
      <c r="KK232" s="4"/>
      <c r="KL232" s="4"/>
      <c r="KM232" s="4"/>
      <c r="KN232" s="4"/>
      <c r="KO232" s="4"/>
      <c r="KP232" s="4"/>
      <c r="KQ232" s="4"/>
      <c r="KR232" s="4"/>
      <c r="KS232" s="4"/>
      <c r="KT232" s="4"/>
      <c r="KU232" s="4">
        <v>940</v>
      </c>
      <c r="KV232" s="4"/>
      <c r="KW232" s="4"/>
      <c r="KX232" s="4"/>
      <c r="KY232" s="4"/>
      <c r="KZ232" s="4">
        <v>560</v>
      </c>
      <c r="LA232" s="4"/>
      <c r="LB232" s="4"/>
      <c r="LC232" s="4"/>
      <c r="LD232" s="4"/>
      <c r="LE232" s="4"/>
      <c r="LF232" s="4"/>
      <c r="LG232" s="4">
        <v>200</v>
      </c>
      <c r="LH232" s="4"/>
      <c r="LI232" s="4"/>
      <c r="LJ232" s="4"/>
      <c r="LK232" s="4"/>
      <c r="LL232" s="4"/>
      <c r="LM232" s="4"/>
    </row>
    <row r="233">
      <c r="A233" s="3" t="s">
        <v>136</v>
      </c>
      <c r="B233" s="3" t="s">
        <v>181</v>
      </c>
      <c r="C233" s="3" t="s">
        <v>138</v>
      </c>
      <c r="D233" s="3" t="s">
        <v>139</v>
      </c>
      <c r="E233" s="3" t="s">
        <v>146</v>
      </c>
      <c r="F233" s="3" t="s">
        <v>146</v>
      </c>
      <c r="G233" s="3" t="s">
        <v>146</v>
      </c>
      <c r="H233" s="3" t="s">
        <v>146</v>
      </c>
      <c r="I233" s="3" t="s">
        <v>233</v>
      </c>
      <c r="J233" s="3" t="s">
        <v>228</v>
      </c>
      <c r="K233" s="4">
        <v>811</v>
      </c>
      <c r="L233" s="4">
        <f>=ROUNDDOWN(12.7917981072555,0)</f>
      </c>
      <c r="M233" s="4">
        <v>1839</v>
      </c>
      <c r="N233" s="5">
        <v>1</v>
      </c>
      <c r="O233" s="4"/>
      <c r="P233" s="4">
        <f>=ROUNDDOWN({0},0)</f>
      </c>
      <c r="Q233" s="4"/>
      <c r="R233" s="5"/>
      <c r="S233" s="4">
        <v>796</v>
      </c>
      <c r="T233" s="6">
        <v>11786.53</v>
      </c>
      <c r="U233" s="4">
        <v>691</v>
      </c>
      <c r="V233" s="6">
        <v>10553.34</v>
      </c>
      <c r="W233" s="5">
        <v>0.152</v>
      </c>
      <c r="X233" s="5">
        <v>0.1169</v>
      </c>
      <c r="Y233" s="4">
        <v>233</v>
      </c>
      <c r="Z233" s="6">
        <v>3159.42</v>
      </c>
      <c r="AA233" s="4">
        <v>47</v>
      </c>
      <c r="AB233" s="6">
        <v>653.21</v>
      </c>
      <c r="AC233" s="5">
        <v>3.9574</v>
      </c>
      <c r="AD233" s="5">
        <v>3.8368</v>
      </c>
      <c r="AE233" s="4">
        <v>5</v>
      </c>
      <c r="AF233" s="6">
        <v>81.38</v>
      </c>
      <c r="AG233" s="4">
        <v>2</v>
      </c>
      <c r="AH233" s="6">
        <v>26.06</v>
      </c>
      <c r="AI233" s="5">
        <v>1.5</v>
      </c>
      <c r="AJ233" s="5">
        <v>2.1228</v>
      </c>
      <c r="AK233" s="4"/>
      <c r="AL233" s="6"/>
      <c r="AM233" s="4"/>
      <c r="AN233" s="6"/>
      <c r="AO233" s="5"/>
      <c r="AP233" s="5"/>
      <c r="AQ233" s="4">
        <v>136</v>
      </c>
      <c r="AR233" s="6">
        <v>2336.36</v>
      </c>
      <c r="AS233" s="4">
        <v>110</v>
      </c>
      <c r="AT233" s="6">
        <v>1875.18</v>
      </c>
      <c r="AU233" s="5">
        <v>0.2364</v>
      </c>
      <c r="AV233" s="5">
        <v>0.2459</v>
      </c>
      <c r="AW233" s="4">
        <v>16</v>
      </c>
      <c r="AX233" s="6">
        <v>238.19</v>
      </c>
      <c r="AY233" s="4">
        <v>14</v>
      </c>
      <c r="AZ233" s="6">
        <v>210.19</v>
      </c>
      <c r="BA233" s="5">
        <v>0.1429</v>
      </c>
      <c r="BB233" s="5">
        <v>0.1332</v>
      </c>
      <c r="BC233" s="4">
        <v>167</v>
      </c>
      <c r="BD233" s="6">
        <v>2354.7</v>
      </c>
      <c r="BE233" s="4">
        <v>197</v>
      </c>
      <c r="BF233" s="6">
        <v>3033.04</v>
      </c>
      <c r="BG233" s="5">
        <v>-0.1523</v>
      </c>
      <c r="BH233" s="5">
        <v>-0.2237</v>
      </c>
      <c r="BI233" s="4">
        <v>28</v>
      </c>
      <c r="BJ233" s="6">
        <v>377.71</v>
      </c>
      <c r="BK233" s="4">
        <v>28</v>
      </c>
      <c r="BL233" s="6">
        <v>398.49</v>
      </c>
      <c r="BM233" s="5"/>
      <c r="BN233" s="5">
        <v>-0.0521</v>
      </c>
      <c r="BO233" s="4">
        <v>1</v>
      </c>
      <c r="BP233" s="6">
        <v>14.03</v>
      </c>
      <c r="BQ233" s="4">
        <v>2</v>
      </c>
      <c r="BR233" s="6">
        <v>23.62</v>
      </c>
      <c r="BS233" s="5">
        <v>-0.5</v>
      </c>
      <c r="BT233" s="5">
        <v>-0.406</v>
      </c>
      <c r="BU233" s="4">
        <v>16</v>
      </c>
      <c r="BV233" s="6">
        <v>241.34</v>
      </c>
      <c r="BW233" s="4">
        <v>27</v>
      </c>
      <c r="BX233" s="6">
        <v>394.34</v>
      </c>
      <c r="BY233" s="5">
        <v>-0.4074</v>
      </c>
      <c r="BZ233" s="5">
        <v>-0.388</v>
      </c>
      <c r="CA233" s="4">
        <v>1</v>
      </c>
      <c r="CB233" s="6">
        <v>17.59</v>
      </c>
      <c r="CC233" s="4">
        <v>4</v>
      </c>
      <c r="CD233" s="6">
        <v>59.17</v>
      </c>
      <c r="CE233" s="5">
        <v>-0.75</v>
      </c>
      <c r="CF233" s="5">
        <v>-0.7027</v>
      </c>
      <c r="CG233" s="4">
        <v>34</v>
      </c>
      <c r="CH233" s="6">
        <v>470.16</v>
      </c>
      <c r="CI233" s="4">
        <v>3</v>
      </c>
      <c r="CJ233" s="6">
        <v>42.24</v>
      </c>
      <c r="CK233" s="5">
        <v>10.3333</v>
      </c>
      <c r="CL233" s="5">
        <v>10.1307</v>
      </c>
      <c r="CM233" s="4"/>
      <c r="CN233" s="6"/>
      <c r="CO233" s="4"/>
      <c r="CP233" s="6"/>
      <c r="CQ233" s="5"/>
      <c r="CR233" s="5"/>
      <c r="CS233" s="4">
        <v>84</v>
      </c>
      <c r="CT233" s="6">
        <v>1310.98</v>
      </c>
      <c r="CU233" s="4">
        <v>104</v>
      </c>
      <c r="CV233" s="6">
        <v>1575.66</v>
      </c>
      <c r="CW233" s="5">
        <v>-0.1923</v>
      </c>
      <c r="CX233" s="5">
        <v>-0.168</v>
      </c>
      <c r="CY233" s="4">
        <v>12</v>
      </c>
      <c r="CZ233" s="6">
        <v>166.58</v>
      </c>
      <c r="DA233" s="4">
        <v>114</v>
      </c>
      <c r="DB233" s="6">
        <v>1651.61</v>
      </c>
      <c r="DC233" s="5">
        <v>-0.8947</v>
      </c>
      <c r="DD233" s="5">
        <v>-0.8991</v>
      </c>
      <c r="DE233" s="4"/>
      <c r="DF233" s="6"/>
      <c r="DG233" s="4"/>
      <c r="DH233" s="6"/>
      <c r="DI233" s="5"/>
      <c r="DJ233" s="5"/>
      <c r="DK233" s="4">
        <v>1</v>
      </c>
      <c r="DL233" s="6">
        <v>30.99</v>
      </c>
      <c r="DM233" s="4">
        <v>1</v>
      </c>
      <c r="DN233" s="6">
        <v>32.99</v>
      </c>
      <c r="DO233" s="5"/>
      <c r="DP233" s="5">
        <v>-0.0606</v>
      </c>
      <c r="DQ233" s="4">
        <v>57</v>
      </c>
      <c r="DR233" s="6">
        <v>911.7</v>
      </c>
      <c r="DS233" s="4">
        <v>27</v>
      </c>
      <c r="DT233" s="6">
        <v>411.78</v>
      </c>
      <c r="DU233" s="5">
        <v>1.1111</v>
      </c>
      <c r="DV233" s="5">
        <v>1.214</v>
      </c>
      <c r="DW233" s="4"/>
      <c r="DX233" s="6"/>
      <c r="DY233" s="4"/>
      <c r="DZ233" s="6"/>
      <c r="EA233" s="5"/>
      <c r="EB233" s="5"/>
      <c r="EC233" s="4">
        <v>5</v>
      </c>
      <c r="ED233" s="6">
        <v>75.4</v>
      </c>
      <c r="EE233" s="4">
        <v>7</v>
      </c>
      <c r="EF233" s="6">
        <v>97.18</v>
      </c>
      <c r="EG233" s="5">
        <v>-0.2857</v>
      </c>
      <c r="EH233" s="5">
        <v>-0.2241</v>
      </c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>
        <v>4</v>
      </c>
      <c r="FV233" s="6">
        <v>68.58</v>
      </c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  <c r="IA233" s="4"/>
      <c r="IB233" s="6"/>
      <c r="IC233" s="4"/>
      <c r="ID233" s="6"/>
      <c r="IE233" s="5"/>
      <c r="IF233" s="5"/>
      <c r="IG233" s="4"/>
      <c r="IH233" s="6"/>
      <c r="II233" s="4"/>
      <c r="IJ233" s="6"/>
      <c r="IK233" s="5"/>
      <c r="IL233" s="5"/>
      <c r="IM233" s="4"/>
      <c r="IN233" s="6"/>
      <c r="IO233" s="4"/>
      <c r="IP233" s="6"/>
      <c r="IQ233" s="5"/>
      <c r="IR233" s="5"/>
      <c r="IS233" s="4"/>
      <c r="IT233" s="6"/>
      <c r="IU233" s="4"/>
      <c r="IV233" s="6"/>
      <c r="IW233" s="5"/>
      <c r="IX233" s="5"/>
      <c r="IY233" s="4"/>
      <c r="IZ233" s="6"/>
      <c r="JA233" s="4"/>
      <c r="JB233" s="6"/>
      <c r="JC233" s="5"/>
      <c r="JD233" s="5"/>
      <c r="JE233" s="4"/>
      <c r="JF233" s="6"/>
      <c r="JG233" s="4"/>
      <c r="JH233" s="6"/>
      <c r="JI233" s="5"/>
      <c r="JJ233" s="5"/>
      <c r="JK233" s="4">
        <v>711</v>
      </c>
      <c r="JL233" s="4"/>
      <c r="JM233" s="4"/>
      <c r="JN233" s="4"/>
      <c r="JO233" s="4"/>
      <c r="JP233" s="4"/>
      <c r="JQ233" s="4"/>
      <c r="JR233" s="4">
        <v>100</v>
      </c>
      <c r="JS233" s="4"/>
      <c r="JT233" s="4"/>
      <c r="JU233" s="4"/>
      <c r="JV233" s="4"/>
      <c r="JW233" s="4"/>
      <c r="JX233" s="4"/>
      <c r="JY233" s="4"/>
      <c r="JZ233" s="4"/>
      <c r="KA233" s="4">
        <v>370</v>
      </c>
      <c r="KB233" s="4"/>
      <c r="KC233" s="4"/>
      <c r="KD233" s="4"/>
      <c r="KE233" s="4"/>
      <c r="KF233" s="4"/>
      <c r="KG233" s="4"/>
      <c r="KH233" s="4"/>
      <c r="KI233" s="4"/>
      <c r="KJ233" s="4">
        <v>430</v>
      </c>
      <c r="KK233" s="4"/>
      <c r="KL233" s="4"/>
      <c r="KM233" s="4"/>
      <c r="KN233" s="4"/>
      <c r="KO233" s="4"/>
      <c r="KP233" s="4"/>
      <c r="KQ233" s="4"/>
      <c r="KR233" s="4"/>
      <c r="KS233" s="4"/>
      <c r="KT233" s="4"/>
      <c r="KU233" s="4">
        <v>520</v>
      </c>
      <c r="KV233" s="4"/>
      <c r="KW233" s="4"/>
      <c r="KX233" s="4"/>
      <c r="KY233" s="4"/>
      <c r="KZ233" s="4">
        <v>239</v>
      </c>
      <c r="LA233" s="4"/>
      <c r="LB233" s="4"/>
      <c r="LC233" s="4"/>
      <c r="LD233" s="4"/>
      <c r="LE233" s="4"/>
      <c r="LF233" s="4"/>
      <c r="LG233" s="4">
        <v>280</v>
      </c>
      <c r="LH233" s="4"/>
      <c r="LI233" s="4"/>
      <c r="LJ233" s="4"/>
      <c r="LK233" s="4"/>
      <c r="LL233" s="4"/>
      <c r="LM233" s="4"/>
    </row>
    <row r="234">
      <c r="A234" s="3" t="s">
        <v>136</v>
      </c>
      <c r="B234" s="3" t="s">
        <v>181</v>
      </c>
      <c r="C234" s="3" t="s">
        <v>138</v>
      </c>
      <c r="D234" s="3" t="s">
        <v>139</v>
      </c>
      <c r="E234" s="3" t="s">
        <v>146</v>
      </c>
      <c r="F234" s="3" t="s">
        <v>146</v>
      </c>
      <c r="G234" s="3" t="s">
        <v>146</v>
      </c>
      <c r="H234" s="3" t="s">
        <v>146</v>
      </c>
      <c r="I234" s="3" t="s">
        <v>245</v>
      </c>
      <c r="J234" s="3" t="s">
        <v>228</v>
      </c>
      <c r="K234" s="4">
        <v>634</v>
      </c>
      <c r="L234" s="4">
        <f>=ROUNDDOWN(31.7,0)</f>
      </c>
      <c r="M234" s="4">
        <v>500</v>
      </c>
      <c r="N234" s="5">
        <v>0.9844</v>
      </c>
      <c r="O234" s="4"/>
      <c r="P234" s="4">
        <f>=ROUNDDOWN({0},0)</f>
      </c>
      <c r="Q234" s="4"/>
      <c r="R234" s="5"/>
      <c r="S234" s="4">
        <v>178</v>
      </c>
      <c r="T234" s="6">
        <v>2667.52</v>
      </c>
      <c r="U234" s="4"/>
      <c r="V234" s="6"/>
      <c r="W234" s="5"/>
      <c r="X234" s="5"/>
      <c r="Y234" s="4"/>
      <c r="Z234" s="6"/>
      <c r="AA234" s="4"/>
      <c r="AB234" s="6"/>
      <c r="AC234" s="5"/>
      <c r="AD234" s="5"/>
      <c r="AE234" s="4">
        <v>9</v>
      </c>
      <c r="AF234" s="6">
        <v>141.84</v>
      </c>
      <c r="AG234" s="4"/>
      <c r="AH234" s="6"/>
      <c r="AI234" s="5"/>
      <c r="AJ234" s="5"/>
      <c r="AK234" s="4"/>
      <c r="AL234" s="6"/>
      <c r="AM234" s="4"/>
      <c r="AN234" s="6"/>
      <c r="AO234" s="5"/>
      <c r="AP234" s="5"/>
      <c r="AQ234" s="4">
        <v>70</v>
      </c>
      <c r="AR234" s="6">
        <v>1076.88</v>
      </c>
      <c r="AS234" s="4"/>
      <c r="AT234" s="6"/>
      <c r="AU234" s="5"/>
      <c r="AV234" s="5"/>
      <c r="AW234" s="4">
        <v>5</v>
      </c>
      <c r="AX234" s="6">
        <v>66.9</v>
      </c>
      <c r="AY234" s="4"/>
      <c r="AZ234" s="6"/>
      <c r="BA234" s="5"/>
      <c r="BB234" s="5"/>
      <c r="BC234" s="4">
        <v>69</v>
      </c>
      <c r="BD234" s="6">
        <v>999.96</v>
      </c>
      <c r="BE234" s="4"/>
      <c r="BF234" s="6"/>
      <c r="BG234" s="5"/>
      <c r="BH234" s="5"/>
      <c r="BI234" s="4">
        <v>11</v>
      </c>
      <c r="BJ234" s="6">
        <v>162.08</v>
      </c>
      <c r="BK234" s="4"/>
      <c r="BL234" s="6"/>
      <c r="BM234" s="5"/>
      <c r="BN234" s="5"/>
      <c r="BO234" s="4"/>
      <c r="BP234" s="6"/>
      <c r="BQ234" s="4"/>
      <c r="BR234" s="6"/>
      <c r="BS234" s="5"/>
      <c r="BT234" s="5"/>
      <c r="BU234" s="4"/>
      <c r="BV234" s="6"/>
      <c r="BW234" s="4"/>
      <c r="BX234" s="6"/>
      <c r="BY234" s="5"/>
      <c r="BZ234" s="5"/>
      <c r="CA234" s="4">
        <v>5</v>
      </c>
      <c r="CB234" s="6">
        <v>70.07</v>
      </c>
      <c r="CC234" s="4"/>
      <c r="CD234" s="6"/>
      <c r="CE234" s="5"/>
      <c r="CF234" s="5"/>
      <c r="CG234" s="4">
        <v>8</v>
      </c>
      <c r="CH234" s="6">
        <v>118.8</v>
      </c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/>
      <c r="CZ234" s="6"/>
      <c r="DA234" s="4"/>
      <c r="DB234" s="6"/>
      <c r="DC234" s="5"/>
      <c r="DD234" s="5"/>
      <c r="DE234" s="4"/>
      <c r="DF234" s="6"/>
      <c r="DG234" s="4"/>
      <c r="DH234" s="6"/>
      <c r="DI234" s="5"/>
      <c r="DJ234" s="5"/>
      <c r="DK234" s="4">
        <v>1</v>
      </c>
      <c r="DL234" s="6">
        <v>30.99</v>
      </c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  <c r="IA234" s="4"/>
      <c r="IB234" s="6"/>
      <c r="IC234" s="4"/>
      <c r="ID234" s="6"/>
      <c r="IE234" s="5"/>
      <c r="IF234" s="5"/>
      <c r="IG234" s="4"/>
      <c r="IH234" s="6"/>
      <c r="II234" s="4"/>
      <c r="IJ234" s="6"/>
      <c r="IK234" s="5"/>
      <c r="IL234" s="5"/>
      <c r="IM234" s="4"/>
      <c r="IN234" s="6"/>
      <c r="IO234" s="4"/>
      <c r="IP234" s="6"/>
      <c r="IQ234" s="5"/>
      <c r="IR234" s="5"/>
      <c r="IS234" s="4"/>
      <c r="IT234" s="6"/>
      <c r="IU234" s="4"/>
      <c r="IV234" s="6"/>
      <c r="IW234" s="5"/>
      <c r="IX234" s="5"/>
      <c r="IY234" s="4"/>
      <c r="IZ234" s="6"/>
      <c r="JA234" s="4"/>
      <c r="JB234" s="6"/>
      <c r="JC234" s="5"/>
      <c r="JD234" s="5"/>
      <c r="JE234" s="4"/>
      <c r="JF234" s="6"/>
      <c r="JG234" s="4"/>
      <c r="JH234" s="6"/>
      <c r="JI234" s="5"/>
      <c r="JJ234" s="5"/>
      <c r="JK234" s="4">
        <v>634</v>
      </c>
      <c r="JL234" s="4"/>
      <c r="JM234" s="4"/>
      <c r="JN234" s="4"/>
      <c r="JO234" s="4"/>
      <c r="JP234" s="4"/>
      <c r="JQ234" s="4"/>
      <c r="JR234" s="4"/>
      <c r="JS234" s="4"/>
      <c r="JT234" s="4"/>
      <c r="JU234" s="4"/>
      <c r="JV234" s="4"/>
      <c r="JW234" s="4"/>
      <c r="JX234" s="4"/>
      <c r="JY234" s="4"/>
      <c r="JZ234" s="4"/>
      <c r="KA234" s="4">
        <v>70</v>
      </c>
      <c r="KB234" s="4"/>
      <c r="KC234" s="4"/>
      <c r="KD234" s="4"/>
      <c r="KE234" s="4"/>
      <c r="KF234" s="4"/>
      <c r="KG234" s="4"/>
      <c r="KH234" s="4"/>
      <c r="KI234" s="4"/>
      <c r="KJ234" s="4">
        <v>430</v>
      </c>
      <c r="KK234" s="4"/>
      <c r="KL234" s="4"/>
      <c r="KM234" s="4"/>
      <c r="KN234" s="4"/>
      <c r="KO234" s="4"/>
      <c r="KP234" s="4"/>
      <c r="KQ234" s="4"/>
      <c r="KR234" s="4"/>
      <c r="KS234" s="4"/>
      <c r="KT234" s="4"/>
      <c r="KU234" s="4"/>
      <c r="KV234" s="4"/>
      <c r="KW234" s="4"/>
      <c r="KX234" s="4"/>
      <c r="KY234" s="4"/>
      <c r="KZ234" s="4"/>
      <c r="LA234" s="4"/>
      <c r="LB234" s="4"/>
      <c r="LC234" s="4"/>
      <c r="LD234" s="4"/>
      <c r="LE234" s="4"/>
      <c r="LF234" s="4"/>
      <c r="LG234" s="4"/>
      <c r="LH234" s="4"/>
      <c r="LI234" s="4"/>
      <c r="LJ234" s="4"/>
      <c r="LK234" s="4"/>
      <c r="LL234" s="4"/>
      <c r="LM234" s="4"/>
    </row>
    <row r="235">
      <c r="A235" s="3" t="s">
        <v>136</v>
      </c>
      <c r="B235" s="3" t="s">
        <v>181</v>
      </c>
      <c r="C235" s="3" t="s">
        <v>138</v>
      </c>
      <c r="D235" s="3" t="s">
        <v>139</v>
      </c>
      <c r="E235" s="3" t="s">
        <v>146</v>
      </c>
      <c r="F235" s="3" t="s">
        <v>146</v>
      </c>
      <c r="G235" s="3" t="s">
        <v>146</v>
      </c>
      <c r="H235" s="3" t="s">
        <v>146</v>
      </c>
      <c r="I235" s="3" t="s">
        <v>312</v>
      </c>
      <c r="J235" s="3" t="s">
        <v>228</v>
      </c>
      <c r="K235" s="4">
        <v>528</v>
      </c>
      <c r="L235" s="4">
        <f>=ROUNDDOWN(21.12,0)</f>
      </c>
      <c r="M235" s="4">
        <v>1000</v>
      </c>
      <c r="N235" s="5">
        <v>0.9549</v>
      </c>
      <c r="O235" s="4"/>
      <c r="P235" s="4">
        <f>=ROUNDDOWN({0},0)</f>
      </c>
      <c r="Q235" s="4"/>
      <c r="R235" s="5"/>
      <c r="S235" s="4">
        <v>174</v>
      </c>
      <c r="T235" s="6">
        <v>2434.24</v>
      </c>
      <c r="U235" s="4"/>
      <c r="V235" s="6"/>
      <c r="W235" s="5"/>
      <c r="X235" s="5"/>
      <c r="Y235" s="4"/>
      <c r="Z235" s="6"/>
      <c r="AA235" s="4"/>
      <c r="AB235" s="6"/>
      <c r="AC235" s="5"/>
      <c r="AD235" s="5"/>
      <c r="AE235" s="4">
        <v>7</v>
      </c>
      <c r="AF235" s="6">
        <v>100.18</v>
      </c>
      <c r="AG235" s="4"/>
      <c r="AH235" s="6"/>
      <c r="AI235" s="5"/>
      <c r="AJ235" s="5"/>
      <c r="AK235" s="4"/>
      <c r="AL235" s="6"/>
      <c r="AM235" s="4"/>
      <c r="AN235" s="6"/>
      <c r="AO235" s="5"/>
      <c r="AP235" s="5"/>
      <c r="AQ235" s="4">
        <v>60</v>
      </c>
      <c r="AR235" s="6">
        <v>854.92</v>
      </c>
      <c r="AS235" s="4"/>
      <c r="AT235" s="6"/>
      <c r="AU235" s="5"/>
      <c r="AV235" s="5"/>
      <c r="AW235" s="4">
        <v>6</v>
      </c>
      <c r="AX235" s="6">
        <v>84</v>
      </c>
      <c r="AY235" s="4"/>
      <c r="AZ235" s="6"/>
      <c r="BA235" s="5"/>
      <c r="BB235" s="5"/>
      <c r="BC235" s="4">
        <v>67</v>
      </c>
      <c r="BD235" s="6">
        <v>926.27</v>
      </c>
      <c r="BE235" s="4"/>
      <c r="BF235" s="6"/>
      <c r="BG235" s="5"/>
      <c r="BH235" s="5"/>
      <c r="BI235" s="4">
        <v>24</v>
      </c>
      <c r="BJ235" s="6">
        <v>325.83</v>
      </c>
      <c r="BK235" s="4"/>
      <c r="BL235" s="6"/>
      <c r="BM235" s="5"/>
      <c r="BN235" s="5"/>
      <c r="BO235" s="4"/>
      <c r="BP235" s="6"/>
      <c r="BQ235" s="4"/>
      <c r="BR235" s="6"/>
      <c r="BS235" s="5"/>
      <c r="BT235" s="5"/>
      <c r="BU235" s="4"/>
      <c r="BV235" s="6"/>
      <c r="BW235" s="4"/>
      <c r="BX235" s="6"/>
      <c r="BY235" s="5"/>
      <c r="BZ235" s="5"/>
      <c r="CA235" s="4"/>
      <c r="CB235" s="6"/>
      <c r="CC235" s="4"/>
      <c r="CD235" s="6"/>
      <c r="CE235" s="5"/>
      <c r="CF235" s="5"/>
      <c r="CG235" s="4">
        <v>10</v>
      </c>
      <c r="CH235" s="6">
        <v>143.04</v>
      </c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  <c r="IA235" s="4"/>
      <c r="IB235" s="6"/>
      <c r="IC235" s="4"/>
      <c r="ID235" s="6"/>
      <c r="IE235" s="5"/>
      <c r="IF235" s="5"/>
      <c r="IG235" s="4"/>
      <c r="IH235" s="6"/>
      <c r="II235" s="4"/>
      <c r="IJ235" s="6"/>
      <c r="IK235" s="5"/>
      <c r="IL235" s="5"/>
      <c r="IM235" s="4"/>
      <c r="IN235" s="6"/>
      <c r="IO235" s="4"/>
      <c r="IP235" s="6"/>
      <c r="IQ235" s="5"/>
      <c r="IR235" s="5"/>
      <c r="IS235" s="4"/>
      <c r="IT235" s="6"/>
      <c r="IU235" s="4"/>
      <c r="IV235" s="6"/>
      <c r="IW235" s="5"/>
      <c r="IX235" s="5"/>
      <c r="IY235" s="4"/>
      <c r="IZ235" s="6"/>
      <c r="JA235" s="4"/>
      <c r="JB235" s="6"/>
      <c r="JC235" s="5"/>
      <c r="JD235" s="5"/>
      <c r="JE235" s="4"/>
      <c r="JF235" s="6"/>
      <c r="JG235" s="4"/>
      <c r="JH235" s="6"/>
      <c r="JI235" s="5"/>
      <c r="JJ235" s="5"/>
      <c r="JK235" s="4">
        <v>528</v>
      </c>
      <c r="JL235" s="4"/>
      <c r="JM235" s="4"/>
      <c r="JN235" s="4"/>
      <c r="JO235" s="4"/>
      <c r="JP235" s="4"/>
      <c r="JQ235" s="4"/>
      <c r="JR235" s="4"/>
      <c r="JS235" s="4"/>
      <c r="JT235" s="4"/>
      <c r="JU235" s="4"/>
      <c r="JV235" s="4"/>
      <c r="JW235" s="4"/>
      <c r="JX235" s="4"/>
      <c r="JY235" s="4"/>
      <c r="JZ235" s="4"/>
      <c r="KA235" s="4">
        <v>90</v>
      </c>
      <c r="KB235" s="4"/>
      <c r="KC235" s="4"/>
      <c r="KD235" s="4"/>
      <c r="KE235" s="4"/>
      <c r="KF235" s="4"/>
      <c r="KG235" s="4"/>
      <c r="KH235" s="4"/>
      <c r="KI235" s="4"/>
      <c r="KJ235" s="4">
        <v>310</v>
      </c>
      <c r="KK235" s="4"/>
      <c r="KL235" s="4"/>
      <c r="KM235" s="4"/>
      <c r="KN235" s="4"/>
      <c r="KO235" s="4"/>
      <c r="KP235" s="4"/>
      <c r="KQ235" s="4"/>
      <c r="KR235" s="4"/>
      <c r="KS235" s="4"/>
      <c r="KT235" s="4"/>
      <c r="KU235" s="4"/>
      <c r="KV235" s="4"/>
      <c r="KW235" s="4"/>
      <c r="KX235" s="4"/>
      <c r="KY235" s="4"/>
      <c r="KZ235" s="4"/>
      <c r="LA235" s="4"/>
      <c r="LB235" s="4"/>
      <c r="LC235" s="4"/>
      <c r="LD235" s="4">
        <v>260</v>
      </c>
      <c r="LE235" s="4"/>
      <c r="LF235" s="4"/>
      <c r="LG235" s="4"/>
      <c r="LH235" s="4"/>
      <c r="LI235" s="4"/>
      <c r="LJ235" s="4"/>
      <c r="LK235" s="4"/>
      <c r="LL235" s="4"/>
      <c r="LM235" s="4">
        <v>340</v>
      </c>
    </row>
    <row r="236">
      <c r="A236" s="3" t="s">
        <v>136</v>
      </c>
      <c r="B236" s="3" t="s">
        <v>181</v>
      </c>
      <c r="C236" s="3" t="s">
        <v>138</v>
      </c>
      <c r="D236" s="3" t="s">
        <v>139</v>
      </c>
      <c r="E236" s="3" t="s">
        <v>146</v>
      </c>
      <c r="F236" s="3" t="s">
        <v>146</v>
      </c>
      <c r="G236" s="3" t="s">
        <v>146</v>
      </c>
      <c r="H236" s="3" t="s">
        <v>146</v>
      </c>
      <c r="I236" s="3" t="s">
        <v>240</v>
      </c>
      <c r="J236" s="3" t="s">
        <v>228</v>
      </c>
      <c r="K236" s="4">
        <v>265</v>
      </c>
      <c r="L236" s="4">
        <f>=ROUNDDOWN(17.6666666666667,0)</f>
      </c>
      <c r="M236" s="4">
        <v>400</v>
      </c>
      <c r="N236" s="5">
        <v>1</v>
      </c>
      <c r="O236" s="4"/>
      <c r="P236" s="4">
        <f>=ROUNDDOWN({0},0)</f>
      </c>
      <c r="Q236" s="4"/>
      <c r="R236" s="5"/>
      <c r="S236" s="4">
        <v>134</v>
      </c>
      <c r="T236" s="6">
        <v>1993.92</v>
      </c>
      <c r="U236" s="4"/>
      <c r="V236" s="6"/>
      <c r="W236" s="5"/>
      <c r="X236" s="5"/>
      <c r="Y236" s="4"/>
      <c r="Z236" s="6"/>
      <c r="AA236" s="4"/>
      <c r="AB236" s="6"/>
      <c r="AC236" s="5"/>
      <c r="AD236" s="5"/>
      <c r="AE236" s="4">
        <v>2</v>
      </c>
      <c r="AF236" s="6">
        <v>29.27</v>
      </c>
      <c r="AG236" s="4"/>
      <c r="AH236" s="6"/>
      <c r="AI236" s="5"/>
      <c r="AJ236" s="5"/>
      <c r="AK236" s="4"/>
      <c r="AL236" s="6"/>
      <c r="AM236" s="4"/>
      <c r="AN236" s="6"/>
      <c r="AO236" s="5"/>
      <c r="AP236" s="5"/>
      <c r="AQ236" s="4">
        <v>78</v>
      </c>
      <c r="AR236" s="6">
        <v>1201.52</v>
      </c>
      <c r="AS236" s="4"/>
      <c r="AT236" s="6"/>
      <c r="AU236" s="5"/>
      <c r="AV236" s="5"/>
      <c r="AW236" s="4">
        <v>7</v>
      </c>
      <c r="AX236" s="6">
        <v>105.81</v>
      </c>
      <c r="AY236" s="4"/>
      <c r="AZ236" s="6"/>
      <c r="BA236" s="5"/>
      <c r="BB236" s="5"/>
      <c r="BC236" s="4">
        <v>18</v>
      </c>
      <c r="BD236" s="6">
        <v>241.99</v>
      </c>
      <c r="BE236" s="4"/>
      <c r="BF236" s="6"/>
      <c r="BG236" s="5"/>
      <c r="BH236" s="5"/>
      <c r="BI236" s="4">
        <v>11</v>
      </c>
      <c r="BJ236" s="6">
        <v>151.18</v>
      </c>
      <c r="BK236" s="4"/>
      <c r="BL236" s="6"/>
      <c r="BM236" s="5"/>
      <c r="BN236" s="5"/>
      <c r="BO236" s="4"/>
      <c r="BP236" s="6"/>
      <c r="BQ236" s="4"/>
      <c r="BR236" s="6"/>
      <c r="BS236" s="5"/>
      <c r="BT236" s="5"/>
      <c r="BU236" s="4"/>
      <c r="BV236" s="6"/>
      <c r="BW236" s="4"/>
      <c r="BX236" s="6"/>
      <c r="BY236" s="5"/>
      <c r="BZ236" s="5"/>
      <c r="CA236" s="4">
        <v>2</v>
      </c>
      <c r="CB236" s="6">
        <v>25.31</v>
      </c>
      <c r="CC236" s="4"/>
      <c r="CD236" s="6"/>
      <c r="CE236" s="5"/>
      <c r="CF236" s="5"/>
      <c r="CG236" s="4">
        <v>16</v>
      </c>
      <c r="CH236" s="6">
        <v>238.84</v>
      </c>
      <c r="CI236" s="4"/>
      <c r="CJ236" s="6"/>
      <c r="CK236" s="5"/>
      <c r="CL236" s="5"/>
      <c r="CM236" s="4"/>
      <c r="CN236" s="6"/>
      <c r="CO236" s="4"/>
      <c r="CP236" s="6"/>
      <c r="CQ236" s="5"/>
      <c r="CR236" s="5"/>
      <c r="CS236" s="4"/>
      <c r="CT236" s="6"/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  <c r="IA236" s="4"/>
      <c r="IB236" s="6"/>
      <c r="IC236" s="4"/>
      <c r="ID236" s="6"/>
      <c r="IE236" s="5"/>
      <c r="IF236" s="5"/>
      <c r="IG236" s="4"/>
      <c r="IH236" s="6"/>
      <c r="II236" s="4"/>
      <c r="IJ236" s="6"/>
      <c r="IK236" s="5"/>
      <c r="IL236" s="5"/>
      <c r="IM236" s="4"/>
      <c r="IN236" s="6"/>
      <c r="IO236" s="4"/>
      <c r="IP236" s="6"/>
      <c r="IQ236" s="5"/>
      <c r="IR236" s="5"/>
      <c r="IS236" s="4"/>
      <c r="IT236" s="6"/>
      <c r="IU236" s="4"/>
      <c r="IV236" s="6"/>
      <c r="IW236" s="5"/>
      <c r="IX236" s="5"/>
      <c r="IY236" s="4"/>
      <c r="IZ236" s="6"/>
      <c r="JA236" s="4"/>
      <c r="JB236" s="6"/>
      <c r="JC236" s="5"/>
      <c r="JD236" s="5"/>
      <c r="JE236" s="4"/>
      <c r="JF236" s="6"/>
      <c r="JG236" s="4"/>
      <c r="JH236" s="6"/>
      <c r="JI236" s="5"/>
      <c r="JJ236" s="5"/>
      <c r="JK236" s="4">
        <v>265</v>
      </c>
      <c r="JL236" s="4"/>
      <c r="JM236" s="4"/>
      <c r="JN236" s="4"/>
      <c r="JO236" s="4"/>
      <c r="JP236" s="4"/>
      <c r="JQ236" s="4"/>
      <c r="JR236" s="4"/>
      <c r="JS236" s="4"/>
      <c r="JT236" s="4"/>
      <c r="JU236" s="4"/>
      <c r="JV236" s="4"/>
      <c r="JW236" s="4"/>
      <c r="JX236" s="4"/>
      <c r="JY236" s="4"/>
      <c r="JZ236" s="4"/>
      <c r="KA236" s="4">
        <v>120</v>
      </c>
      <c r="KB236" s="4"/>
      <c r="KC236" s="4"/>
      <c r="KD236" s="4"/>
      <c r="KE236" s="4"/>
      <c r="KF236" s="4"/>
      <c r="KG236" s="4"/>
      <c r="KH236" s="4"/>
      <c r="KI236" s="4"/>
      <c r="KJ236" s="4">
        <v>280</v>
      </c>
      <c r="KK236" s="4"/>
      <c r="KL236" s="4"/>
      <c r="KM236" s="4"/>
      <c r="KN236" s="4"/>
      <c r="KO236" s="4"/>
      <c r="KP236" s="4"/>
      <c r="KQ236" s="4"/>
      <c r="KR236" s="4"/>
      <c r="KS236" s="4"/>
      <c r="KT236" s="4"/>
      <c r="KU236" s="4"/>
      <c r="KV236" s="4"/>
      <c r="KW236" s="4"/>
      <c r="KX236" s="4"/>
      <c r="KY236" s="4"/>
      <c r="KZ236" s="4"/>
      <c r="LA236" s="4"/>
      <c r="LB236" s="4"/>
      <c r="LC236" s="4"/>
      <c r="LD236" s="4"/>
      <c r="LE236" s="4"/>
      <c r="LF236" s="4"/>
      <c r="LG236" s="4"/>
      <c r="LH236" s="4"/>
      <c r="LI236" s="4"/>
      <c r="LJ236" s="4"/>
      <c r="LK236" s="4"/>
      <c r="LL236" s="4"/>
      <c r="LM236" s="4"/>
    </row>
    <row r="237">
      <c r="A237" s="3" t="s">
        <v>136</v>
      </c>
      <c r="B237" s="3" t="s">
        <v>181</v>
      </c>
      <c r="C237" s="3" t="s">
        <v>138</v>
      </c>
      <c r="D237" s="3" t="s">
        <v>139</v>
      </c>
      <c r="E237" s="3" t="s">
        <v>146</v>
      </c>
      <c r="F237" s="3" t="s">
        <v>146</v>
      </c>
      <c r="G237" s="3" t="s">
        <v>146</v>
      </c>
      <c r="H237" s="3" t="s">
        <v>146</v>
      </c>
      <c r="I237" s="3" t="s">
        <v>232</v>
      </c>
      <c r="J237" s="3" t="s">
        <v>241</v>
      </c>
      <c r="K237" s="4"/>
      <c r="L237" s="4">
        <f>=ROUNDDOWN({0},0)</f>
      </c>
      <c r="M237" s="4"/>
      <c r="N237" s="5"/>
      <c r="O237" s="4"/>
      <c r="P237" s="4">
        <f>=ROUNDDOWN({0},0)</f>
      </c>
      <c r="Q237" s="4"/>
      <c r="R237" s="5"/>
      <c r="S237" s="4">
        <v>1</v>
      </c>
      <c r="T237" s="6">
        <v>30.99</v>
      </c>
      <c r="U237" s="4">
        <v>267</v>
      </c>
      <c r="V237" s="6">
        <v>3650.52</v>
      </c>
      <c r="W237" s="5">
        <v>-0.9963</v>
      </c>
      <c r="X237" s="5">
        <v>-0.9915</v>
      </c>
      <c r="Y237" s="4"/>
      <c r="Z237" s="6"/>
      <c r="AA237" s="4">
        <v>126</v>
      </c>
      <c r="AB237" s="6">
        <v>1716.08</v>
      </c>
      <c r="AC237" s="5"/>
      <c r="AD237" s="5"/>
      <c r="AE237" s="4"/>
      <c r="AF237" s="6"/>
      <c r="AG237" s="4">
        <v>2</v>
      </c>
      <c r="AH237" s="6">
        <v>32.57</v>
      </c>
      <c r="AI237" s="5"/>
      <c r="AJ237" s="5"/>
      <c r="AK237" s="4"/>
      <c r="AL237" s="6"/>
      <c r="AM237" s="4"/>
      <c r="AN237" s="6"/>
      <c r="AO237" s="5"/>
      <c r="AP237" s="5"/>
      <c r="AQ237" s="4"/>
      <c r="AR237" s="6"/>
      <c r="AS237" s="4"/>
      <c r="AT237" s="6"/>
      <c r="AU237" s="5"/>
      <c r="AV237" s="5"/>
      <c r="AW237" s="4"/>
      <c r="AX237" s="6"/>
      <c r="AY237" s="4">
        <v>7</v>
      </c>
      <c r="AZ237" s="6">
        <v>92.99</v>
      </c>
      <c r="BA237" s="5"/>
      <c r="BB237" s="5"/>
      <c r="BC237" s="4"/>
      <c r="BD237" s="6"/>
      <c r="BE237" s="4">
        <v>24</v>
      </c>
      <c r="BF237" s="6">
        <v>327.84</v>
      </c>
      <c r="BG237" s="5"/>
      <c r="BH237" s="5"/>
      <c r="BI237" s="4"/>
      <c r="BJ237" s="6"/>
      <c r="BK237" s="4">
        <v>10</v>
      </c>
      <c r="BL237" s="6">
        <v>130.27</v>
      </c>
      <c r="BM237" s="5"/>
      <c r="BN237" s="5"/>
      <c r="BO237" s="4"/>
      <c r="BP237" s="6"/>
      <c r="BQ237" s="4"/>
      <c r="BR237" s="6"/>
      <c r="BS237" s="5"/>
      <c r="BT237" s="5"/>
      <c r="BU237" s="4"/>
      <c r="BV237" s="6"/>
      <c r="BW237" s="4">
        <v>10</v>
      </c>
      <c r="BX237" s="6">
        <v>158.42</v>
      </c>
      <c r="BY237" s="5"/>
      <c r="BZ237" s="5"/>
      <c r="CA237" s="4"/>
      <c r="CB237" s="6"/>
      <c r="CC237" s="4"/>
      <c r="CD237" s="6"/>
      <c r="CE237" s="5"/>
      <c r="CF237" s="5"/>
      <c r="CG237" s="4"/>
      <c r="CH237" s="6"/>
      <c r="CI237" s="4">
        <v>14</v>
      </c>
      <c r="CJ237" s="6">
        <v>189.44</v>
      </c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>
        <v>22</v>
      </c>
      <c r="CV237" s="6">
        <v>344.84</v>
      </c>
      <c r="CW237" s="5"/>
      <c r="CX237" s="5"/>
      <c r="CY237" s="4"/>
      <c r="CZ237" s="6"/>
      <c r="DA237" s="4">
        <v>45</v>
      </c>
      <c r="DB237" s="6">
        <v>549.89</v>
      </c>
      <c r="DC237" s="5"/>
      <c r="DD237" s="5"/>
      <c r="DE237" s="4"/>
      <c r="DF237" s="6"/>
      <c r="DG237" s="4"/>
      <c r="DH237" s="6"/>
      <c r="DI237" s="5"/>
      <c r="DJ237" s="5"/>
      <c r="DK237" s="4">
        <v>1</v>
      </c>
      <c r="DL237" s="6">
        <v>30.99</v>
      </c>
      <c r="DM237" s="4"/>
      <c r="DN237" s="6"/>
      <c r="DO237" s="5"/>
      <c r="DP237" s="5"/>
      <c r="DQ237" s="4"/>
      <c r="DR237" s="6"/>
      <c r="DS237" s="4">
        <v>5</v>
      </c>
      <c r="DT237" s="6">
        <v>81.52</v>
      </c>
      <c r="DU237" s="5"/>
      <c r="DV237" s="5"/>
      <c r="DW237" s="4"/>
      <c r="DX237" s="6"/>
      <c r="DY237" s="4"/>
      <c r="DZ237" s="6"/>
      <c r="EA237" s="5"/>
      <c r="EB237" s="5"/>
      <c r="EC237" s="4"/>
      <c r="ED237" s="6"/>
      <c r="EE237" s="4">
        <v>1</v>
      </c>
      <c r="EF237" s="6">
        <v>14.92</v>
      </c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/>
      <c r="FN237" s="6"/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>
        <v>1</v>
      </c>
      <c r="GB237" s="6">
        <v>11.74</v>
      </c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  <c r="IA237" s="4"/>
      <c r="IB237" s="6"/>
      <c r="IC237" s="4"/>
      <c r="ID237" s="6"/>
      <c r="IE237" s="5"/>
      <c r="IF237" s="5"/>
      <c r="IG237" s="4"/>
      <c r="IH237" s="6"/>
      <c r="II237" s="4"/>
      <c r="IJ237" s="6"/>
      <c r="IK237" s="5"/>
      <c r="IL237" s="5"/>
      <c r="IM237" s="4"/>
      <c r="IN237" s="6"/>
      <c r="IO237" s="4"/>
      <c r="IP237" s="6"/>
      <c r="IQ237" s="5"/>
      <c r="IR237" s="5"/>
      <c r="IS237" s="4"/>
      <c r="IT237" s="6"/>
      <c r="IU237" s="4"/>
      <c r="IV237" s="6"/>
      <c r="IW237" s="5"/>
      <c r="IX237" s="5"/>
      <c r="IY237" s="4"/>
      <c r="IZ237" s="6"/>
      <c r="JA237" s="4"/>
      <c r="JB237" s="6"/>
      <c r="JC237" s="5"/>
      <c r="JD237" s="5"/>
      <c r="JE237" s="4"/>
      <c r="JF237" s="6"/>
      <c r="JG237" s="4"/>
      <c r="JH237" s="6"/>
      <c r="JI237" s="5"/>
      <c r="JJ237" s="5"/>
      <c r="JK237" s="4"/>
      <c r="JL237" s="4"/>
      <c r="JM237" s="4"/>
      <c r="JN237" s="4"/>
      <c r="JO237" s="4"/>
      <c r="JP237" s="4"/>
      <c r="JQ237" s="4"/>
      <c r="JR237" s="4"/>
      <c r="JS237" s="4"/>
      <c r="JT237" s="4"/>
      <c r="JU237" s="4"/>
      <c r="JV237" s="4"/>
      <c r="JW237" s="4"/>
      <c r="JX237" s="4"/>
      <c r="JY237" s="4"/>
      <c r="JZ237" s="4"/>
      <c r="KA237" s="4"/>
      <c r="KB237" s="4"/>
      <c r="KC237" s="4"/>
      <c r="KD237" s="4"/>
      <c r="KE237" s="4"/>
      <c r="KF237" s="4"/>
      <c r="KG237" s="4"/>
      <c r="KH237" s="4"/>
      <c r="KI237" s="4"/>
      <c r="KJ237" s="4"/>
      <c r="KK237" s="4"/>
      <c r="KL237" s="4"/>
      <c r="KM237" s="4"/>
      <c r="KN237" s="4"/>
      <c r="KO237" s="4"/>
      <c r="KP237" s="4"/>
      <c r="KQ237" s="4"/>
      <c r="KR237" s="4"/>
      <c r="KS237" s="4"/>
      <c r="KT237" s="4"/>
      <c r="KU237" s="4"/>
      <c r="KV237" s="4"/>
      <c r="KW237" s="4"/>
      <c r="KX237" s="4"/>
      <c r="KY237" s="4"/>
      <c r="KZ237" s="4"/>
      <c r="LA237" s="4"/>
      <c r="LB237" s="4"/>
      <c r="LC237" s="4"/>
      <c r="LD237" s="4"/>
      <c r="LE237" s="4"/>
      <c r="LF237" s="4"/>
      <c r="LG237" s="4"/>
      <c r="LH237" s="4"/>
      <c r="LI237" s="4"/>
      <c r="LJ237" s="4"/>
      <c r="LK237" s="4"/>
      <c r="LL237" s="4"/>
      <c r="LM237" s="4"/>
    </row>
    <row r="238">
      <c r="A238" s="3" t="s">
        <v>136</v>
      </c>
      <c r="B238" s="3" t="s">
        <v>181</v>
      </c>
      <c r="C238" s="3" t="s">
        <v>138</v>
      </c>
      <c r="D238" s="3" t="s">
        <v>139</v>
      </c>
      <c r="E238" s="3" t="s">
        <v>146</v>
      </c>
      <c r="F238" s="3" t="s">
        <v>146</v>
      </c>
      <c r="G238" s="3" t="s">
        <v>146</v>
      </c>
      <c r="H238" s="3" t="s">
        <v>146</v>
      </c>
      <c r="I238" s="3" t="s">
        <v>234</v>
      </c>
      <c r="J238" s="3" t="s">
        <v>241</v>
      </c>
      <c r="K238" s="4"/>
      <c r="L238" s="4">
        <f>=ROUNDDOWN({0},0)</f>
      </c>
      <c r="M238" s="4"/>
      <c r="N238" s="5"/>
      <c r="O238" s="4"/>
      <c r="P238" s="4">
        <f>=ROUNDDOWN({0},0)</f>
      </c>
      <c r="Q238" s="4"/>
      <c r="R238" s="5"/>
      <c r="S238" s="4"/>
      <c r="T238" s="6"/>
      <c r="U238" s="4">
        <v>306</v>
      </c>
      <c r="V238" s="6">
        <v>3937.56</v>
      </c>
      <c r="W238" s="5"/>
      <c r="X238" s="5"/>
      <c r="Y238" s="4"/>
      <c r="Z238" s="6"/>
      <c r="AA238" s="4">
        <v>110</v>
      </c>
      <c r="AB238" s="6">
        <v>1343.62</v>
      </c>
      <c r="AC238" s="5"/>
      <c r="AD238" s="5"/>
      <c r="AE238" s="4"/>
      <c r="AF238" s="6"/>
      <c r="AG238" s="4"/>
      <c r="AH238" s="6"/>
      <c r="AI238" s="5"/>
      <c r="AJ238" s="5"/>
      <c r="AK238" s="4"/>
      <c r="AL238" s="6"/>
      <c r="AM238" s="4"/>
      <c r="AN238" s="6"/>
      <c r="AO238" s="5"/>
      <c r="AP238" s="5"/>
      <c r="AQ238" s="4"/>
      <c r="AR238" s="6"/>
      <c r="AS238" s="4">
        <v>5</v>
      </c>
      <c r="AT238" s="6">
        <v>94.7</v>
      </c>
      <c r="AU238" s="5"/>
      <c r="AV238" s="5"/>
      <c r="AW238" s="4"/>
      <c r="AX238" s="6"/>
      <c r="AY238" s="4">
        <v>10</v>
      </c>
      <c r="AZ238" s="6">
        <v>135.23</v>
      </c>
      <c r="BA238" s="5"/>
      <c r="BB238" s="5"/>
      <c r="BC238" s="4"/>
      <c r="BD238" s="6"/>
      <c r="BE238" s="4">
        <v>33</v>
      </c>
      <c r="BF238" s="6">
        <v>457.72</v>
      </c>
      <c r="BG238" s="5"/>
      <c r="BH238" s="5"/>
      <c r="BI238" s="4"/>
      <c r="BJ238" s="6"/>
      <c r="BK238" s="4">
        <v>30</v>
      </c>
      <c r="BL238" s="6">
        <v>380.26</v>
      </c>
      <c r="BM238" s="5"/>
      <c r="BN238" s="5"/>
      <c r="BO238" s="4"/>
      <c r="BP238" s="6"/>
      <c r="BQ238" s="4"/>
      <c r="BR238" s="6"/>
      <c r="BS238" s="5"/>
      <c r="BT238" s="5"/>
      <c r="BU238" s="4"/>
      <c r="BV238" s="6"/>
      <c r="BW238" s="4">
        <v>6</v>
      </c>
      <c r="BX238" s="6">
        <v>81.14</v>
      </c>
      <c r="BY238" s="5"/>
      <c r="BZ238" s="5"/>
      <c r="CA238" s="4"/>
      <c r="CB238" s="6"/>
      <c r="CC238" s="4"/>
      <c r="CD238" s="6"/>
      <c r="CE238" s="5"/>
      <c r="CF238" s="5"/>
      <c r="CG238" s="4"/>
      <c r="CH238" s="6"/>
      <c r="CI238" s="4">
        <v>17</v>
      </c>
      <c r="CJ238" s="6">
        <v>271.24</v>
      </c>
      <c r="CK238" s="5"/>
      <c r="CL238" s="5"/>
      <c r="CM238" s="4"/>
      <c r="CN238" s="6"/>
      <c r="CO238" s="4"/>
      <c r="CP238" s="6"/>
      <c r="CQ238" s="5"/>
      <c r="CR238" s="5"/>
      <c r="CS238" s="4"/>
      <c r="CT238" s="6"/>
      <c r="CU238" s="4">
        <v>25</v>
      </c>
      <c r="CV238" s="6">
        <v>352.98</v>
      </c>
      <c r="CW238" s="5"/>
      <c r="CX238" s="5"/>
      <c r="CY238" s="4"/>
      <c r="CZ238" s="6"/>
      <c r="DA238" s="4">
        <v>62</v>
      </c>
      <c r="DB238" s="6">
        <v>708.36</v>
      </c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>
        <v>7</v>
      </c>
      <c r="DT238" s="6">
        <v>97.39</v>
      </c>
      <c r="DU238" s="5"/>
      <c r="DV238" s="5"/>
      <c r="DW238" s="4"/>
      <c r="DX238" s="6"/>
      <c r="DY238" s="4"/>
      <c r="DZ238" s="6"/>
      <c r="EA238" s="5"/>
      <c r="EB238" s="5"/>
      <c r="EC238" s="4"/>
      <c r="ED238" s="6"/>
      <c r="EE238" s="4">
        <v>1</v>
      </c>
      <c r="EF238" s="6">
        <v>14.92</v>
      </c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  <c r="IA238" s="4"/>
      <c r="IB238" s="6"/>
      <c r="IC238" s="4"/>
      <c r="ID238" s="6"/>
      <c r="IE238" s="5"/>
      <c r="IF238" s="5"/>
      <c r="IG238" s="4"/>
      <c r="IH238" s="6"/>
      <c r="II238" s="4"/>
      <c r="IJ238" s="6"/>
      <c r="IK238" s="5"/>
      <c r="IL238" s="5"/>
      <c r="IM238" s="4"/>
      <c r="IN238" s="6"/>
      <c r="IO238" s="4"/>
      <c r="IP238" s="6"/>
      <c r="IQ238" s="5"/>
      <c r="IR238" s="5"/>
      <c r="IS238" s="4"/>
      <c r="IT238" s="6"/>
      <c r="IU238" s="4"/>
      <c r="IV238" s="6"/>
      <c r="IW238" s="5"/>
      <c r="IX238" s="5"/>
      <c r="IY238" s="4"/>
      <c r="IZ238" s="6"/>
      <c r="JA238" s="4"/>
      <c r="JB238" s="6"/>
      <c r="JC238" s="5"/>
      <c r="JD238" s="5"/>
      <c r="JE238" s="4"/>
      <c r="JF238" s="6"/>
      <c r="JG238" s="4"/>
      <c r="JH238" s="6"/>
      <c r="JI238" s="5"/>
      <c r="JJ238" s="5"/>
      <c r="JK238" s="4"/>
      <c r="JL238" s="4"/>
      <c r="JM238" s="4"/>
      <c r="JN238" s="4"/>
      <c r="JO238" s="4"/>
      <c r="JP238" s="4"/>
      <c r="JQ238" s="4"/>
      <c r="JR238" s="4"/>
      <c r="JS238" s="4"/>
      <c r="JT238" s="4"/>
      <c r="JU238" s="4"/>
      <c r="JV238" s="4"/>
      <c r="JW238" s="4"/>
      <c r="JX238" s="4"/>
      <c r="JY238" s="4"/>
      <c r="JZ238" s="4"/>
      <c r="KA238" s="4"/>
      <c r="KB238" s="4"/>
      <c r="KC238" s="4"/>
      <c r="KD238" s="4"/>
      <c r="KE238" s="4"/>
      <c r="KF238" s="4"/>
      <c r="KG238" s="4"/>
      <c r="KH238" s="4"/>
      <c r="KI238" s="4"/>
      <c r="KJ238" s="4"/>
      <c r="KK238" s="4"/>
      <c r="KL238" s="4"/>
      <c r="KM238" s="4"/>
      <c r="KN238" s="4"/>
      <c r="KO238" s="4"/>
      <c r="KP238" s="4"/>
      <c r="KQ238" s="4"/>
      <c r="KR238" s="4"/>
      <c r="KS238" s="4"/>
      <c r="KT238" s="4"/>
      <c r="KU238" s="4"/>
      <c r="KV238" s="4"/>
      <c r="KW238" s="4"/>
      <c r="KX238" s="4"/>
      <c r="KY238" s="4"/>
      <c r="KZ238" s="4"/>
      <c r="LA238" s="4"/>
      <c r="LB238" s="4"/>
      <c r="LC238" s="4"/>
      <c r="LD238" s="4"/>
      <c r="LE238" s="4"/>
      <c r="LF238" s="4"/>
      <c r="LG238" s="4"/>
      <c r="LH238" s="4"/>
      <c r="LI238" s="4"/>
      <c r="LJ238" s="4"/>
      <c r="LK238" s="4"/>
      <c r="LL238" s="4"/>
      <c r="LM238" s="4"/>
    </row>
    <row r="239">
      <c r="A239" s="3" t="s">
        <v>136</v>
      </c>
      <c r="B239" s="3" t="s">
        <v>181</v>
      </c>
      <c r="C239" s="3" t="s">
        <v>138</v>
      </c>
      <c r="D239" s="3" t="s">
        <v>139</v>
      </c>
      <c r="E239" s="3" t="s">
        <v>146</v>
      </c>
      <c r="F239" s="3" t="s">
        <v>146</v>
      </c>
      <c r="G239" s="3" t="s">
        <v>146</v>
      </c>
      <c r="H239" s="3" t="s">
        <v>146</v>
      </c>
      <c r="I239" s="3" t="s">
        <v>238</v>
      </c>
      <c r="J239" s="3" t="s">
        <v>241</v>
      </c>
      <c r="K239" s="4"/>
      <c r="L239" s="4">
        <f>=ROUNDDOWN({0},0)</f>
      </c>
      <c r="M239" s="4"/>
      <c r="N239" s="5"/>
      <c r="O239" s="4"/>
      <c r="P239" s="4">
        <f>=ROUNDDOWN({0},0)</f>
      </c>
      <c r="Q239" s="4"/>
      <c r="R239" s="5"/>
      <c r="S239" s="4"/>
      <c r="T239" s="6"/>
      <c r="U239" s="4">
        <v>428</v>
      </c>
      <c r="V239" s="6">
        <v>5998.13</v>
      </c>
      <c r="W239" s="5"/>
      <c r="X239" s="5"/>
      <c r="Y239" s="4"/>
      <c r="Z239" s="6"/>
      <c r="AA239" s="4">
        <v>167</v>
      </c>
      <c r="AB239" s="6">
        <v>2329.68</v>
      </c>
      <c r="AC239" s="5"/>
      <c r="AD239" s="5"/>
      <c r="AE239" s="4"/>
      <c r="AF239" s="6"/>
      <c r="AG239" s="4">
        <v>2</v>
      </c>
      <c r="AH239" s="6">
        <v>31.19</v>
      </c>
      <c r="AI239" s="5"/>
      <c r="AJ239" s="5"/>
      <c r="AK239" s="4"/>
      <c r="AL239" s="6"/>
      <c r="AM239" s="4"/>
      <c r="AN239" s="6"/>
      <c r="AO239" s="5"/>
      <c r="AP239" s="5"/>
      <c r="AQ239" s="4"/>
      <c r="AR239" s="6"/>
      <c r="AS239" s="4">
        <v>36</v>
      </c>
      <c r="AT239" s="6">
        <v>558.28</v>
      </c>
      <c r="AU239" s="5"/>
      <c r="AV239" s="5"/>
      <c r="AW239" s="4"/>
      <c r="AX239" s="6"/>
      <c r="AY239" s="4">
        <v>2</v>
      </c>
      <c r="AZ239" s="6">
        <v>34.14</v>
      </c>
      <c r="BA239" s="5"/>
      <c r="BB239" s="5"/>
      <c r="BC239" s="4"/>
      <c r="BD239" s="6"/>
      <c r="BE239" s="4">
        <v>13</v>
      </c>
      <c r="BF239" s="6">
        <v>179.45</v>
      </c>
      <c r="BG239" s="5"/>
      <c r="BH239" s="5"/>
      <c r="BI239" s="4"/>
      <c r="BJ239" s="6"/>
      <c r="BK239" s="4">
        <v>65</v>
      </c>
      <c r="BL239" s="6">
        <v>693.71</v>
      </c>
      <c r="BM239" s="5"/>
      <c r="BN239" s="5"/>
      <c r="BO239" s="4"/>
      <c r="BP239" s="6"/>
      <c r="BQ239" s="4"/>
      <c r="BR239" s="6"/>
      <c r="BS239" s="5"/>
      <c r="BT239" s="5"/>
      <c r="BU239" s="4"/>
      <c r="BV239" s="6"/>
      <c r="BW239" s="4">
        <v>10</v>
      </c>
      <c r="BX239" s="6">
        <v>156.45</v>
      </c>
      <c r="BY239" s="5"/>
      <c r="BZ239" s="5"/>
      <c r="CA239" s="4"/>
      <c r="CB239" s="6"/>
      <c r="CC239" s="4">
        <v>11</v>
      </c>
      <c r="CD239" s="6">
        <v>147.47</v>
      </c>
      <c r="CE239" s="5"/>
      <c r="CF239" s="5"/>
      <c r="CG239" s="4"/>
      <c r="CH239" s="6"/>
      <c r="CI239" s="4">
        <v>13</v>
      </c>
      <c r="CJ239" s="6">
        <v>224.77</v>
      </c>
      <c r="CK239" s="5"/>
      <c r="CL239" s="5"/>
      <c r="CM239" s="4"/>
      <c r="CN239" s="6"/>
      <c r="CO239" s="4"/>
      <c r="CP239" s="6"/>
      <c r="CQ239" s="5"/>
      <c r="CR239" s="5"/>
      <c r="CS239" s="4"/>
      <c r="CT239" s="6"/>
      <c r="CU239" s="4">
        <v>17</v>
      </c>
      <c r="CV239" s="6">
        <v>283.29</v>
      </c>
      <c r="CW239" s="5"/>
      <c r="CX239" s="5"/>
      <c r="CY239" s="4"/>
      <c r="CZ239" s="6"/>
      <c r="DA239" s="4">
        <v>33</v>
      </c>
      <c r="DB239" s="6">
        <v>385.47</v>
      </c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>
        <v>56</v>
      </c>
      <c r="DT239" s="6">
        <v>935.83</v>
      </c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>
        <v>3</v>
      </c>
      <c r="EF239" s="6">
        <v>38.4</v>
      </c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  <c r="IA239" s="4"/>
      <c r="IB239" s="6"/>
      <c r="IC239" s="4"/>
      <c r="ID239" s="6"/>
      <c r="IE239" s="5"/>
      <c r="IF239" s="5"/>
      <c r="IG239" s="4"/>
      <c r="IH239" s="6"/>
      <c r="II239" s="4"/>
      <c r="IJ239" s="6"/>
      <c r="IK239" s="5"/>
      <c r="IL239" s="5"/>
      <c r="IM239" s="4"/>
      <c r="IN239" s="6"/>
      <c r="IO239" s="4"/>
      <c r="IP239" s="6"/>
      <c r="IQ239" s="5"/>
      <c r="IR239" s="5"/>
      <c r="IS239" s="4"/>
      <c r="IT239" s="6"/>
      <c r="IU239" s="4"/>
      <c r="IV239" s="6"/>
      <c r="IW239" s="5"/>
      <c r="IX239" s="5"/>
      <c r="IY239" s="4"/>
      <c r="IZ239" s="6"/>
      <c r="JA239" s="4"/>
      <c r="JB239" s="6"/>
      <c r="JC239" s="5"/>
      <c r="JD239" s="5"/>
      <c r="JE239" s="4"/>
      <c r="JF239" s="6"/>
      <c r="JG239" s="4"/>
      <c r="JH239" s="6"/>
      <c r="JI239" s="5"/>
      <c r="JJ239" s="5"/>
      <c r="JK239" s="4"/>
      <c r="JL239" s="4"/>
      <c r="JM239" s="4"/>
      <c r="JN239" s="4"/>
      <c r="JO239" s="4"/>
      <c r="JP239" s="4"/>
      <c r="JQ239" s="4"/>
      <c r="JR239" s="4"/>
      <c r="JS239" s="4"/>
      <c r="JT239" s="4"/>
      <c r="JU239" s="4"/>
      <c r="JV239" s="4"/>
      <c r="JW239" s="4"/>
      <c r="JX239" s="4"/>
      <c r="JY239" s="4"/>
      <c r="JZ239" s="4"/>
      <c r="KA239" s="4"/>
      <c r="KB239" s="4"/>
      <c r="KC239" s="4"/>
      <c r="KD239" s="4"/>
      <c r="KE239" s="4"/>
      <c r="KF239" s="4"/>
      <c r="KG239" s="4"/>
      <c r="KH239" s="4"/>
      <c r="KI239" s="4"/>
      <c r="KJ239" s="4"/>
      <c r="KK239" s="4"/>
      <c r="KL239" s="4"/>
      <c r="KM239" s="4"/>
      <c r="KN239" s="4"/>
      <c r="KO239" s="4"/>
      <c r="KP239" s="4"/>
      <c r="KQ239" s="4"/>
      <c r="KR239" s="4"/>
      <c r="KS239" s="4"/>
      <c r="KT239" s="4"/>
      <c r="KU239" s="4"/>
      <c r="KV239" s="4"/>
      <c r="KW239" s="4"/>
      <c r="KX239" s="4"/>
      <c r="KY239" s="4"/>
      <c r="KZ239" s="4"/>
      <c r="LA239" s="4"/>
      <c r="LB239" s="4"/>
      <c r="LC239" s="4"/>
      <c r="LD239" s="4"/>
      <c r="LE239" s="4"/>
      <c r="LF239" s="4"/>
      <c r="LG239" s="4"/>
      <c r="LH239" s="4"/>
      <c r="LI239" s="4"/>
      <c r="LJ239" s="4"/>
      <c r="LK239" s="4"/>
      <c r="LL239" s="4"/>
      <c r="LM239" s="4"/>
    </row>
    <row r="240">
      <c r="A240" s="3" t="s">
        <v>136</v>
      </c>
      <c r="B240" s="3" t="s">
        <v>181</v>
      </c>
      <c r="C240" s="3" t="s">
        <v>138</v>
      </c>
      <c r="D240" s="3" t="s">
        <v>139</v>
      </c>
      <c r="E240" s="3" t="s">
        <v>184</v>
      </c>
      <c r="F240" s="3" t="s">
        <v>184</v>
      </c>
      <c r="G240" s="3" t="s">
        <v>184</v>
      </c>
      <c r="H240" s="3" t="s">
        <v>146</v>
      </c>
      <c r="I240" s="3" t="s">
        <v>323</v>
      </c>
      <c r="J240" s="3" t="s">
        <v>228</v>
      </c>
      <c r="K240" s="4">
        <v>923</v>
      </c>
      <c r="L240" s="4">
        <f>=ROUNDDOWN(16.1929824561404,0)</f>
      </c>
      <c r="M240" s="4">
        <v>1322</v>
      </c>
      <c r="N240" s="5">
        <v>1</v>
      </c>
      <c r="O240" s="4"/>
      <c r="P240" s="4">
        <f>=ROUNDDOWN({0},0)</f>
      </c>
      <c r="Q240" s="4"/>
      <c r="R240" s="5"/>
      <c r="S240" s="4">
        <v>561</v>
      </c>
      <c r="T240" s="6">
        <v>10983.27</v>
      </c>
      <c r="U240" s="4">
        <v>927</v>
      </c>
      <c r="V240" s="6">
        <v>18488.2</v>
      </c>
      <c r="W240" s="5">
        <v>-0.3948</v>
      </c>
      <c r="X240" s="5">
        <v>-0.4059</v>
      </c>
      <c r="Y240" s="4">
        <v>13</v>
      </c>
      <c r="Z240" s="6">
        <v>249.9</v>
      </c>
      <c r="AA240" s="4">
        <v>31</v>
      </c>
      <c r="AB240" s="6">
        <v>590.45</v>
      </c>
      <c r="AC240" s="5">
        <v>-0.5806</v>
      </c>
      <c r="AD240" s="5">
        <v>-0.5768</v>
      </c>
      <c r="AE240" s="4">
        <v>23</v>
      </c>
      <c r="AF240" s="6">
        <v>463.38</v>
      </c>
      <c r="AG240" s="4">
        <v>20</v>
      </c>
      <c r="AH240" s="6">
        <v>397.2</v>
      </c>
      <c r="AI240" s="5">
        <v>0.15</v>
      </c>
      <c r="AJ240" s="5">
        <v>0.1666</v>
      </c>
      <c r="AK240" s="4"/>
      <c r="AL240" s="6"/>
      <c r="AM240" s="4"/>
      <c r="AN240" s="6"/>
      <c r="AO240" s="5"/>
      <c r="AP240" s="5"/>
      <c r="AQ240" s="4">
        <v>336</v>
      </c>
      <c r="AR240" s="6">
        <v>6608.19</v>
      </c>
      <c r="AS240" s="4">
        <v>568</v>
      </c>
      <c r="AT240" s="6">
        <v>11424.18</v>
      </c>
      <c r="AU240" s="5">
        <v>-0.4085</v>
      </c>
      <c r="AV240" s="5">
        <v>-0.4216</v>
      </c>
      <c r="AW240" s="4"/>
      <c r="AX240" s="6"/>
      <c r="AY240" s="4"/>
      <c r="AZ240" s="6"/>
      <c r="BA240" s="5"/>
      <c r="BB240" s="5"/>
      <c r="BC240" s="4">
        <v>133</v>
      </c>
      <c r="BD240" s="6">
        <v>2671.98</v>
      </c>
      <c r="BE240" s="4">
        <v>208</v>
      </c>
      <c r="BF240" s="6">
        <v>4251.48</v>
      </c>
      <c r="BG240" s="5">
        <v>-0.3606</v>
      </c>
      <c r="BH240" s="5">
        <v>-0.3715</v>
      </c>
      <c r="BI240" s="4">
        <v>14</v>
      </c>
      <c r="BJ240" s="6">
        <v>249.57</v>
      </c>
      <c r="BK240" s="4">
        <v>20</v>
      </c>
      <c r="BL240" s="6">
        <v>346.76</v>
      </c>
      <c r="BM240" s="5">
        <v>-0.3</v>
      </c>
      <c r="BN240" s="5">
        <v>-0.2803</v>
      </c>
      <c r="BO240" s="4">
        <v>10</v>
      </c>
      <c r="BP240" s="6">
        <v>166.34</v>
      </c>
      <c r="BQ240" s="4">
        <v>19</v>
      </c>
      <c r="BR240" s="6">
        <v>335.81</v>
      </c>
      <c r="BS240" s="5">
        <v>-0.4737</v>
      </c>
      <c r="BT240" s="5">
        <v>-0.5047</v>
      </c>
      <c r="BU240" s="4">
        <v>3</v>
      </c>
      <c r="BV240" s="6">
        <v>56.88</v>
      </c>
      <c r="BW240" s="4">
        <v>4</v>
      </c>
      <c r="BX240" s="6">
        <v>75.84</v>
      </c>
      <c r="BY240" s="5">
        <v>-0.25</v>
      </c>
      <c r="BZ240" s="5">
        <v>-0.25</v>
      </c>
      <c r="CA240" s="4">
        <v>5</v>
      </c>
      <c r="CB240" s="6">
        <v>84.04</v>
      </c>
      <c r="CC240" s="4">
        <v>9</v>
      </c>
      <c r="CD240" s="6">
        <v>179.84</v>
      </c>
      <c r="CE240" s="5">
        <v>-0.4444</v>
      </c>
      <c r="CF240" s="5">
        <v>-0.5327</v>
      </c>
      <c r="CG240" s="4">
        <v>10</v>
      </c>
      <c r="CH240" s="6">
        <v>193.25</v>
      </c>
      <c r="CI240" s="4">
        <v>26</v>
      </c>
      <c r="CJ240" s="6">
        <v>495.4</v>
      </c>
      <c r="CK240" s="5">
        <v>-0.6154</v>
      </c>
      <c r="CL240" s="5">
        <v>-0.6099</v>
      </c>
      <c r="CM240" s="4"/>
      <c r="CN240" s="6"/>
      <c r="CO240" s="4"/>
      <c r="CP240" s="6"/>
      <c r="CQ240" s="5"/>
      <c r="CR240" s="5"/>
      <c r="CS240" s="4"/>
      <c r="CT240" s="6"/>
      <c r="CU240" s="4"/>
      <c r="CV240" s="6"/>
      <c r="CW240" s="5"/>
      <c r="CX240" s="5"/>
      <c r="CY240" s="4">
        <v>14</v>
      </c>
      <c r="CZ240" s="6">
        <v>239.74</v>
      </c>
      <c r="DA240" s="4">
        <v>16</v>
      </c>
      <c r="DB240" s="6">
        <v>279.71</v>
      </c>
      <c r="DC240" s="5">
        <v>-0.125</v>
      </c>
      <c r="DD240" s="5">
        <v>-0.1429</v>
      </c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/>
      <c r="ED240" s="6"/>
      <c r="EE240" s="4">
        <v>1</v>
      </c>
      <c r="EF240" s="6">
        <v>16.17</v>
      </c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>
        <v>5</v>
      </c>
      <c r="FV240" s="6">
        <v>95.36</v>
      </c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  <c r="IA240" s="4"/>
      <c r="IB240" s="6"/>
      <c r="IC240" s="4"/>
      <c r="ID240" s="6"/>
      <c r="IE240" s="5"/>
      <c r="IF240" s="5"/>
      <c r="IG240" s="4"/>
      <c r="IH240" s="6"/>
      <c r="II240" s="4"/>
      <c r="IJ240" s="6"/>
      <c r="IK240" s="5"/>
      <c r="IL240" s="5"/>
      <c r="IM240" s="4"/>
      <c r="IN240" s="6"/>
      <c r="IO240" s="4"/>
      <c r="IP240" s="6"/>
      <c r="IQ240" s="5"/>
      <c r="IR240" s="5"/>
      <c r="IS240" s="4"/>
      <c r="IT240" s="6"/>
      <c r="IU240" s="4"/>
      <c r="IV240" s="6"/>
      <c r="IW240" s="5"/>
      <c r="IX240" s="5"/>
      <c r="IY240" s="4"/>
      <c r="IZ240" s="6"/>
      <c r="JA240" s="4"/>
      <c r="JB240" s="6"/>
      <c r="JC240" s="5"/>
      <c r="JD240" s="5"/>
      <c r="JE240" s="4"/>
      <c r="JF240" s="6"/>
      <c r="JG240" s="4"/>
      <c r="JH240" s="6"/>
      <c r="JI240" s="5"/>
      <c r="JJ240" s="5"/>
      <c r="JK240" s="4">
        <v>923</v>
      </c>
      <c r="JL240" s="4"/>
      <c r="JM240" s="4"/>
      <c r="JN240" s="4"/>
      <c r="JO240" s="4"/>
      <c r="JP240" s="4"/>
      <c r="JQ240" s="4"/>
      <c r="JR240" s="4"/>
      <c r="JS240" s="4"/>
      <c r="JT240" s="4"/>
      <c r="JU240" s="4"/>
      <c r="JV240" s="4"/>
      <c r="JW240" s="4"/>
      <c r="JX240" s="4"/>
      <c r="JY240" s="4"/>
      <c r="JZ240" s="4"/>
      <c r="KA240" s="4">
        <v>340</v>
      </c>
      <c r="KB240" s="4"/>
      <c r="KC240" s="4"/>
      <c r="KD240" s="4"/>
      <c r="KE240" s="4"/>
      <c r="KF240" s="4"/>
      <c r="KG240" s="4"/>
      <c r="KH240" s="4"/>
      <c r="KI240" s="4"/>
      <c r="KJ240" s="4">
        <v>160</v>
      </c>
      <c r="KK240" s="4"/>
      <c r="KL240" s="4"/>
      <c r="KM240" s="4"/>
      <c r="KN240" s="4"/>
      <c r="KO240" s="4"/>
      <c r="KP240" s="4"/>
      <c r="KQ240" s="4"/>
      <c r="KR240" s="4"/>
      <c r="KS240" s="4"/>
      <c r="KT240" s="4"/>
      <c r="KU240" s="4">
        <v>310</v>
      </c>
      <c r="KV240" s="4"/>
      <c r="KW240" s="4"/>
      <c r="KX240" s="4"/>
      <c r="KY240" s="4"/>
      <c r="KZ240" s="4"/>
      <c r="LA240" s="4"/>
      <c r="LB240" s="4"/>
      <c r="LC240" s="4"/>
      <c r="LD240" s="4"/>
      <c r="LE240" s="4"/>
      <c r="LF240" s="4"/>
      <c r="LG240" s="4"/>
      <c r="LH240" s="4">
        <v>512</v>
      </c>
      <c r="LI240" s="4"/>
      <c r="LJ240" s="4"/>
      <c r="LK240" s="4"/>
      <c r="LL240" s="4"/>
      <c r="LM240" s="4"/>
    </row>
    <row r="241">
      <c r="A241" s="3" t="s">
        <v>136</v>
      </c>
      <c r="B241" s="3" t="s">
        <v>181</v>
      </c>
      <c r="C241" s="3" t="s">
        <v>138</v>
      </c>
      <c r="D241" s="3" t="s">
        <v>139</v>
      </c>
      <c r="E241" s="3" t="s">
        <v>184</v>
      </c>
      <c r="F241" s="3" t="s">
        <v>184</v>
      </c>
      <c r="G241" s="3" t="s">
        <v>184</v>
      </c>
      <c r="H241" s="3" t="s">
        <v>146</v>
      </c>
      <c r="I241" s="3" t="s">
        <v>324</v>
      </c>
      <c r="J241" s="3" t="s">
        <v>228</v>
      </c>
      <c r="K241" s="4">
        <v>237</v>
      </c>
      <c r="L241" s="4">
        <f>=ROUNDDOWN(6.40540540540541,0)</f>
      </c>
      <c r="M241" s="4">
        <v>1400</v>
      </c>
      <c r="N241" s="5">
        <v>0.8109</v>
      </c>
      <c r="O241" s="4"/>
      <c r="P241" s="4">
        <f>=ROUNDDOWN({0},0)</f>
      </c>
      <c r="Q241" s="4"/>
      <c r="R241" s="5"/>
      <c r="S241" s="4">
        <v>306</v>
      </c>
      <c r="T241" s="6">
        <v>5927.34</v>
      </c>
      <c r="U241" s="4">
        <v>529</v>
      </c>
      <c r="V241" s="6">
        <v>10169.82</v>
      </c>
      <c r="W241" s="5">
        <v>-0.4216</v>
      </c>
      <c r="X241" s="5">
        <v>-0.4172</v>
      </c>
      <c r="Y241" s="4">
        <v>13</v>
      </c>
      <c r="Z241" s="6">
        <v>247.45</v>
      </c>
      <c r="AA241" s="4">
        <v>30</v>
      </c>
      <c r="AB241" s="6">
        <v>568.4</v>
      </c>
      <c r="AC241" s="5">
        <v>-0.5667</v>
      </c>
      <c r="AD241" s="5">
        <v>-0.5647</v>
      </c>
      <c r="AE241" s="4">
        <v>17</v>
      </c>
      <c r="AF241" s="6">
        <v>355.02</v>
      </c>
      <c r="AG241" s="4">
        <v>21</v>
      </c>
      <c r="AH241" s="6">
        <v>427.26</v>
      </c>
      <c r="AI241" s="5">
        <v>-0.1905</v>
      </c>
      <c r="AJ241" s="5">
        <v>-0.1691</v>
      </c>
      <c r="AK241" s="4">
        <v>2</v>
      </c>
      <c r="AL241" s="6">
        <v>43.77</v>
      </c>
      <c r="AM241" s="4"/>
      <c r="AN241" s="6"/>
      <c r="AO241" s="5"/>
      <c r="AP241" s="5"/>
      <c r="AQ241" s="4">
        <v>173</v>
      </c>
      <c r="AR241" s="6">
        <v>3382.38</v>
      </c>
      <c r="AS241" s="4">
        <v>331</v>
      </c>
      <c r="AT241" s="6">
        <v>6340.2</v>
      </c>
      <c r="AU241" s="5">
        <v>-0.4773</v>
      </c>
      <c r="AV241" s="5">
        <v>-0.4665</v>
      </c>
      <c r="AW241" s="4"/>
      <c r="AX241" s="6"/>
      <c r="AY241" s="4"/>
      <c r="AZ241" s="6"/>
      <c r="BA241" s="5"/>
      <c r="BB241" s="5"/>
      <c r="BC241" s="4">
        <v>70</v>
      </c>
      <c r="BD241" s="6">
        <v>1378.2</v>
      </c>
      <c r="BE241" s="4">
        <v>105</v>
      </c>
      <c r="BF241" s="6">
        <v>2073.3</v>
      </c>
      <c r="BG241" s="5">
        <v>-0.3333</v>
      </c>
      <c r="BH241" s="5">
        <v>-0.3353</v>
      </c>
      <c r="BI241" s="4">
        <v>7</v>
      </c>
      <c r="BJ241" s="6">
        <v>123.47</v>
      </c>
      <c r="BK241" s="4">
        <v>14</v>
      </c>
      <c r="BL241" s="6">
        <v>241.68</v>
      </c>
      <c r="BM241" s="5">
        <v>-0.5</v>
      </c>
      <c r="BN241" s="5">
        <v>-0.4891</v>
      </c>
      <c r="BO241" s="4">
        <v>21</v>
      </c>
      <c r="BP241" s="6">
        <v>340.56</v>
      </c>
      <c r="BQ241" s="4">
        <v>7</v>
      </c>
      <c r="BR241" s="6">
        <v>119.54</v>
      </c>
      <c r="BS241" s="5">
        <v>2</v>
      </c>
      <c r="BT241" s="5">
        <v>1.8489</v>
      </c>
      <c r="BU241" s="4">
        <v>1</v>
      </c>
      <c r="BV241" s="6">
        <v>18.96</v>
      </c>
      <c r="BW241" s="4">
        <v>5</v>
      </c>
      <c r="BX241" s="6">
        <v>92.09</v>
      </c>
      <c r="BY241" s="5">
        <v>-0.8</v>
      </c>
      <c r="BZ241" s="5">
        <v>-0.7941</v>
      </c>
      <c r="CA241" s="4">
        <v>1</v>
      </c>
      <c r="CB241" s="6">
        <v>21.55</v>
      </c>
      <c r="CC241" s="4">
        <v>3</v>
      </c>
      <c r="CD241" s="6">
        <v>64.79</v>
      </c>
      <c r="CE241" s="5">
        <v>-0.6667</v>
      </c>
      <c r="CF241" s="5">
        <v>-0.6674</v>
      </c>
      <c r="CG241" s="4"/>
      <c r="CH241" s="6"/>
      <c r="CI241" s="4">
        <v>8</v>
      </c>
      <c r="CJ241" s="6">
        <v>157.2</v>
      </c>
      <c r="CK241" s="5"/>
      <c r="CL241" s="5"/>
      <c r="CM241" s="4"/>
      <c r="CN241" s="6"/>
      <c r="CO241" s="4"/>
      <c r="CP241" s="6"/>
      <c r="CQ241" s="5"/>
      <c r="CR241" s="5"/>
      <c r="CS241" s="4"/>
      <c r="CT241" s="6"/>
      <c r="CU241" s="4"/>
      <c r="CV241" s="6"/>
      <c r="CW241" s="5"/>
      <c r="CX241" s="5"/>
      <c r="CY241" s="4">
        <v>1</v>
      </c>
      <c r="CZ241" s="6">
        <v>15.98</v>
      </c>
      <c r="DA241" s="4">
        <v>2</v>
      </c>
      <c r="DB241" s="6">
        <v>31.96</v>
      </c>
      <c r="DC241" s="5">
        <v>-0.5</v>
      </c>
      <c r="DD241" s="5">
        <v>-0.5</v>
      </c>
      <c r="DE241" s="4"/>
      <c r="DF241" s="6"/>
      <c r="DG241" s="4"/>
      <c r="DH241" s="6"/>
      <c r="DI241" s="5"/>
      <c r="DJ241" s="5"/>
      <c r="DK241" s="4"/>
      <c r="DL241" s="6"/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/>
      <c r="DX241" s="6"/>
      <c r="DY241" s="4"/>
      <c r="DZ241" s="6"/>
      <c r="EA241" s="5"/>
      <c r="EB241" s="5"/>
      <c r="EC241" s="4"/>
      <c r="ED241" s="6"/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/>
      <c r="EV241" s="6"/>
      <c r="EW241" s="4">
        <v>1</v>
      </c>
      <c r="EX241" s="6">
        <v>21.06</v>
      </c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/>
      <c r="FV241" s="6"/>
      <c r="FW241" s="5"/>
      <c r="FX241" s="5"/>
      <c r="FY241" s="4"/>
      <c r="FZ241" s="6"/>
      <c r="GA241" s="4">
        <v>2</v>
      </c>
      <c r="GB241" s="6">
        <v>32.34</v>
      </c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  <c r="IA241" s="4"/>
      <c r="IB241" s="6"/>
      <c r="IC241" s="4"/>
      <c r="ID241" s="6"/>
      <c r="IE241" s="5"/>
      <c r="IF241" s="5"/>
      <c r="IG241" s="4"/>
      <c r="IH241" s="6"/>
      <c r="II241" s="4"/>
      <c r="IJ241" s="6"/>
      <c r="IK241" s="5"/>
      <c r="IL241" s="5"/>
      <c r="IM241" s="4"/>
      <c r="IN241" s="6"/>
      <c r="IO241" s="4"/>
      <c r="IP241" s="6"/>
      <c r="IQ241" s="5"/>
      <c r="IR241" s="5"/>
      <c r="IS241" s="4"/>
      <c r="IT241" s="6"/>
      <c r="IU241" s="4"/>
      <c r="IV241" s="6"/>
      <c r="IW241" s="5"/>
      <c r="IX241" s="5"/>
      <c r="IY241" s="4"/>
      <c r="IZ241" s="6"/>
      <c r="JA241" s="4"/>
      <c r="JB241" s="6"/>
      <c r="JC241" s="5"/>
      <c r="JD241" s="5"/>
      <c r="JE241" s="4"/>
      <c r="JF241" s="6"/>
      <c r="JG241" s="4"/>
      <c r="JH241" s="6"/>
      <c r="JI241" s="5"/>
      <c r="JJ241" s="5"/>
      <c r="JK241" s="4">
        <v>237</v>
      </c>
      <c r="JL241" s="4"/>
      <c r="JM241" s="4"/>
      <c r="JN241" s="4"/>
      <c r="JO241" s="4"/>
      <c r="JP241" s="4"/>
      <c r="JQ241" s="4"/>
      <c r="JR241" s="4"/>
      <c r="JS241" s="4"/>
      <c r="JT241" s="4"/>
      <c r="JU241" s="4"/>
      <c r="JV241" s="4"/>
      <c r="JW241" s="4"/>
      <c r="JX241" s="4"/>
      <c r="JY241" s="4"/>
      <c r="JZ241" s="4"/>
      <c r="KA241" s="4">
        <v>410</v>
      </c>
      <c r="KB241" s="4"/>
      <c r="KC241" s="4"/>
      <c r="KD241" s="4"/>
      <c r="KE241" s="4"/>
      <c r="KF241" s="4"/>
      <c r="KG241" s="4"/>
      <c r="KH241" s="4"/>
      <c r="KI241" s="4"/>
      <c r="KJ241" s="4">
        <v>290</v>
      </c>
      <c r="KK241" s="4"/>
      <c r="KL241" s="4"/>
      <c r="KM241" s="4"/>
      <c r="KN241" s="4"/>
      <c r="KO241" s="4"/>
      <c r="KP241" s="4"/>
      <c r="KQ241" s="4"/>
      <c r="KR241" s="4"/>
      <c r="KS241" s="4"/>
      <c r="KT241" s="4"/>
      <c r="KU241" s="4">
        <v>240</v>
      </c>
      <c r="KV241" s="4"/>
      <c r="KW241" s="4"/>
      <c r="KX241" s="4"/>
      <c r="KY241" s="4"/>
      <c r="KZ241" s="4"/>
      <c r="LA241" s="4"/>
      <c r="LB241" s="4"/>
      <c r="LC241" s="4"/>
      <c r="LD241" s="4"/>
      <c r="LE241" s="4"/>
      <c r="LF241" s="4"/>
      <c r="LG241" s="4"/>
      <c r="LH241" s="4">
        <v>460</v>
      </c>
      <c r="LI241" s="4"/>
      <c r="LJ241" s="4"/>
      <c r="LK241" s="4"/>
      <c r="LL241" s="4"/>
      <c r="LM241" s="4"/>
    </row>
    <row r="242">
      <c r="A242" s="3" t="s">
        <v>136</v>
      </c>
      <c r="B242" s="3" t="s">
        <v>181</v>
      </c>
      <c r="C242" s="3" t="s">
        <v>138</v>
      </c>
      <c r="D242" s="3" t="s">
        <v>139</v>
      </c>
      <c r="E242" s="3" t="s">
        <v>184</v>
      </c>
      <c r="F242" s="3" t="s">
        <v>184</v>
      </c>
      <c r="G242" s="3" t="s">
        <v>184</v>
      </c>
      <c r="H242" s="3" t="s">
        <v>146</v>
      </c>
      <c r="I242" s="3" t="s">
        <v>325</v>
      </c>
      <c r="J242" s="3" t="s">
        <v>228</v>
      </c>
      <c r="K242" s="4">
        <v>598</v>
      </c>
      <c r="L242" s="4">
        <f>=ROUNDDOWN(27.4311926605505,0)</f>
      </c>
      <c r="M242" s="4">
        <v>400</v>
      </c>
      <c r="N242" s="5">
        <v>1</v>
      </c>
      <c r="O242" s="4"/>
      <c r="P242" s="4">
        <f>=ROUNDDOWN({0},0)</f>
      </c>
      <c r="Q242" s="4"/>
      <c r="R242" s="5"/>
      <c r="S242" s="4">
        <v>219</v>
      </c>
      <c r="T242" s="6">
        <v>4149.86</v>
      </c>
      <c r="U242" s="4">
        <v>372</v>
      </c>
      <c r="V242" s="6">
        <v>7181.71</v>
      </c>
      <c r="W242" s="5">
        <v>-0.4113</v>
      </c>
      <c r="X242" s="5">
        <v>-0.4222</v>
      </c>
      <c r="Y242" s="4">
        <v>10</v>
      </c>
      <c r="Z242" s="6">
        <v>191.1</v>
      </c>
      <c r="AA242" s="4">
        <v>12</v>
      </c>
      <c r="AB242" s="6">
        <v>220.5</v>
      </c>
      <c r="AC242" s="5">
        <v>-0.1667</v>
      </c>
      <c r="AD242" s="5">
        <v>-0.1333</v>
      </c>
      <c r="AE242" s="4">
        <v>34</v>
      </c>
      <c r="AF242" s="6">
        <v>686.04</v>
      </c>
      <c r="AG242" s="4">
        <v>12</v>
      </c>
      <c r="AH242" s="6">
        <v>234.72</v>
      </c>
      <c r="AI242" s="5">
        <v>1.8333</v>
      </c>
      <c r="AJ242" s="5">
        <v>1.9228</v>
      </c>
      <c r="AK242" s="4">
        <v>1</v>
      </c>
      <c r="AL242" s="6">
        <v>36.99</v>
      </c>
      <c r="AM242" s="4"/>
      <c r="AN242" s="6"/>
      <c r="AO242" s="5"/>
      <c r="AP242" s="5"/>
      <c r="AQ242" s="4"/>
      <c r="AR242" s="6"/>
      <c r="AS242" s="4"/>
      <c r="AT242" s="6"/>
      <c r="AU242" s="5"/>
      <c r="AV242" s="5"/>
      <c r="AW242" s="4">
        <v>28</v>
      </c>
      <c r="AX242" s="6">
        <v>529.97</v>
      </c>
      <c r="AY242" s="4">
        <v>29</v>
      </c>
      <c r="AZ242" s="6">
        <v>544.08</v>
      </c>
      <c r="BA242" s="5">
        <v>-0.0345</v>
      </c>
      <c r="BB242" s="5">
        <v>-0.0259</v>
      </c>
      <c r="BC242" s="4">
        <v>42</v>
      </c>
      <c r="BD242" s="6">
        <v>830.52</v>
      </c>
      <c r="BE242" s="4">
        <v>111</v>
      </c>
      <c r="BF242" s="6">
        <v>2238.66</v>
      </c>
      <c r="BG242" s="5">
        <v>-0.6216</v>
      </c>
      <c r="BH242" s="5">
        <v>-0.629</v>
      </c>
      <c r="BI242" s="4">
        <v>7</v>
      </c>
      <c r="BJ242" s="6">
        <v>123.47</v>
      </c>
      <c r="BK242" s="4">
        <v>8</v>
      </c>
      <c r="BL242" s="6">
        <v>136.6</v>
      </c>
      <c r="BM242" s="5">
        <v>-0.125</v>
      </c>
      <c r="BN242" s="5">
        <v>-0.0961</v>
      </c>
      <c r="BO242" s="4">
        <v>9</v>
      </c>
      <c r="BP242" s="6">
        <v>136.7</v>
      </c>
      <c r="BQ242" s="4">
        <v>5</v>
      </c>
      <c r="BR242" s="6">
        <v>85.98</v>
      </c>
      <c r="BS242" s="5">
        <v>0.8</v>
      </c>
      <c r="BT242" s="5">
        <v>0.5899</v>
      </c>
      <c r="BU242" s="4">
        <v>3</v>
      </c>
      <c r="BV242" s="6">
        <v>51.46</v>
      </c>
      <c r="BW242" s="4">
        <v>3</v>
      </c>
      <c r="BX242" s="6">
        <v>56.88</v>
      </c>
      <c r="BY242" s="5"/>
      <c r="BZ242" s="5">
        <v>-0.0953</v>
      </c>
      <c r="CA242" s="4">
        <v>3</v>
      </c>
      <c r="CB242" s="6">
        <v>57.91</v>
      </c>
      <c r="CC242" s="4">
        <v>9</v>
      </c>
      <c r="CD242" s="6">
        <v>177.26</v>
      </c>
      <c r="CE242" s="5">
        <v>-0.6667</v>
      </c>
      <c r="CF242" s="5">
        <v>-0.6733</v>
      </c>
      <c r="CG242" s="4">
        <v>79</v>
      </c>
      <c r="CH242" s="6">
        <v>1455.09</v>
      </c>
      <c r="CI242" s="4">
        <v>167</v>
      </c>
      <c r="CJ242" s="6">
        <v>3194.08</v>
      </c>
      <c r="CK242" s="5">
        <v>-0.5269</v>
      </c>
      <c r="CL242" s="5">
        <v>-0.5444</v>
      </c>
      <c r="CM242" s="4"/>
      <c r="CN242" s="6"/>
      <c r="CO242" s="4"/>
      <c r="CP242" s="6"/>
      <c r="CQ242" s="5"/>
      <c r="CR242" s="5"/>
      <c r="CS242" s="4"/>
      <c r="CT242" s="6"/>
      <c r="CU242" s="4"/>
      <c r="CV242" s="6"/>
      <c r="CW242" s="5"/>
      <c r="CX242" s="5"/>
      <c r="CY242" s="4">
        <v>3</v>
      </c>
      <c r="CZ242" s="6">
        <v>50.61</v>
      </c>
      <c r="DA242" s="4">
        <v>10</v>
      </c>
      <c r="DB242" s="6">
        <v>178.49</v>
      </c>
      <c r="DC242" s="5">
        <v>-0.7</v>
      </c>
      <c r="DD242" s="5">
        <v>-0.7165</v>
      </c>
      <c r="DE242" s="4"/>
      <c r="DF242" s="6"/>
      <c r="DG242" s="4"/>
      <c r="DH242" s="6"/>
      <c r="DI242" s="5"/>
      <c r="DJ242" s="5"/>
      <c r="DK242" s="4"/>
      <c r="DL242" s="6"/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/>
      <c r="DX242" s="6"/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/>
      <c r="EP242" s="6"/>
      <c r="EQ242" s="4"/>
      <c r="ER242" s="6"/>
      <c r="ES242" s="5"/>
      <c r="ET242" s="5"/>
      <c r="EU242" s="4"/>
      <c r="EV242" s="6"/>
      <c r="EW242" s="4">
        <v>1</v>
      </c>
      <c r="EX242" s="6">
        <v>21.06</v>
      </c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>
        <v>4</v>
      </c>
      <c r="FV242" s="6">
        <v>74.5</v>
      </c>
      <c r="FW242" s="5"/>
      <c r="FX242" s="5"/>
      <c r="FY242" s="4"/>
      <c r="FZ242" s="6"/>
      <c r="GA242" s="4">
        <v>1</v>
      </c>
      <c r="GB242" s="6">
        <v>18.9</v>
      </c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  <c r="IA242" s="4"/>
      <c r="IB242" s="6"/>
      <c r="IC242" s="4"/>
      <c r="ID242" s="6"/>
      <c r="IE242" s="5"/>
      <c r="IF242" s="5"/>
      <c r="IG242" s="4"/>
      <c r="IH242" s="6"/>
      <c r="II242" s="4"/>
      <c r="IJ242" s="6"/>
      <c r="IK242" s="5"/>
      <c r="IL242" s="5"/>
      <c r="IM242" s="4"/>
      <c r="IN242" s="6"/>
      <c r="IO242" s="4"/>
      <c r="IP242" s="6"/>
      <c r="IQ242" s="5"/>
      <c r="IR242" s="5"/>
      <c r="IS242" s="4"/>
      <c r="IT242" s="6"/>
      <c r="IU242" s="4"/>
      <c r="IV242" s="6"/>
      <c r="IW242" s="5"/>
      <c r="IX242" s="5"/>
      <c r="IY242" s="4"/>
      <c r="IZ242" s="6"/>
      <c r="JA242" s="4"/>
      <c r="JB242" s="6"/>
      <c r="JC242" s="5"/>
      <c r="JD242" s="5"/>
      <c r="JE242" s="4"/>
      <c r="JF242" s="6"/>
      <c r="JG242" s="4"/>
      <c r="JH242" s="6"/>
      <c r="JI242" s="5"/>
      <c r="JJ242" s="5"/>
      <c r="JK242" s="4">
        <v>598</v>
      </c>
      <c r="JL242" s="4"/>
      <c r="JM242" s="4"/>
      <c r="JN242" s="4"/>
      <c r="JO242" s="4"/>
      <c r="JP242" s="4"/>
      <c r="JQ242" s="4"/>
      <c r="JR242" s="4"/>
      <c r="JS242" s="4"/>
      <c r="JT242" s="4"/>
      <c r="JU242" s="4"/>
      <c r="JV242" s="4"/>
      <c r="JW242" s="4"/>
      <c r="JX242" s="4"/>
      <c r="JY242" s="4"/>
      <c r="JZ242" s="4"/>
      <c r="KA242" s="4">
        <v>170</v>
      </c>
      <c r="KB242" s="4"/>
      <c r="KC242" s="4"/>
      <c r="KD242" s="4"/>
      <c r="KE242" s="4"/>
      <c r="KF242" s="4"/>
      <c r="KG242" s="4"/>
      <c r="KH242" s="4"/>
      <c r="KI242" s="4"/>
      <c r="KJ242" s="4">
        <v>230</v>
      </c>
      <c r="KK242" s="4"/>
      <c r="KL242" s="4"/>
      <c r="KM242" s="4"/>
      <c r="KN242" s="4"/>
      <c r="KO242" s="4"/>
      <c r="KP242" s="4"/>
      <c r="KQ242" s="4"/>
      <c r="KR242" s="4"/>
      <c r="KS242" s="4"/>
      <c r="KT242" s="4"/>
      <c r="KU242" s="4"/>
      <c r="KV242" s="4"/>
      <c r="KW242" s="4"/>
      <c r="KX242" s="4"/>
      <c r="KY242" s="4"/>
      <c r="KZ242" s="4"/>
      <c r="LA242" s="4"/>
      <c r="LB242" s="4"/>
      <c r="LC242" s="4"/>
      <c r="LD242" s="4"/>
      <c r="LE242" s="4"/>
      <c r="LF242" s="4"/>
      <c r="LG242" s="4"/>
      <c r="LH242" s="4"/>
      <c r="LI242" s="4"/>
      <c r="LJ242" s="4"/>
      <c r="LK242" s="4"/>
      <c r="LL242" s="4"/>
      <c r="LM242" s="4"/>
    </row>
    <row r="243">
      <c r="A243" s="3" t="s">
        <v>136</v>
      </c>
      <c r="B243" s="3" t="s">
        <v>181</v>
      </c>
      <c r="C243" s="3" t="s">
        <v>138</v>
      </c>
      <c r="D243" s="3" t="s">
        <v>139</v>
      </c>
      <c r="E243" s="3" t="s">
        <v>184</v>
      </c>
      <c r="F243" s="3" t="s">
        <v>184</v>
      </c>
      <c r="G243" s="3" t="s">
        <v>184</v>
      </c>
      <c r="H243" s="3" t="s">
        <v>146</v>
      </c>
      <c r="I243" s="3" t="s">
        <v>326</v>
      </c>
      <c r="J243" s="3" t="s">
        <v>228</v>
      </c>
      <c r="K243" s="4">
        <v>832</v>
      </c>
      <c r="L243" s="4">
        <f>=ROUNDDOWN(37.8181818181818,0)</f>
      </c>
      <c r="M243" s="4"/>
      <c r="N243" s="5">
        <v>1</v>
      </c>
      <c r="O243" s="4"/>
      <c r="P243" s="4">
        <f>=ROUNDDOWN({0},0)</f>
      </c>
      <c r="Q243" s="4"/>
      <c r="R243" s="5"/>
      <c r="S243" s="4">
        <v>170</v>
      </c>
      <c r="T243" s="6">
        <v>3196</v>
      </c>
      <c r="U243" s="4">
        <v>227</v>
      </c>
      <c r="V243" s="6">
        <v>4327.26</v>
      </c>
      <c r="W243" s="5">
        <v>-0.2511</v>
      </c>
      <c r="X243" s="5">
        <v>-0.2614</v>
      </c>
      <c r="Y243" s="4">
        <v>8</v>
      </c>
      <c r="Z243" s="6">
        <v>149.45</v>
      </c>
      <c r="AA243" s="4">
        <v>11</v>
      </c>
      <c r="AB243" s="6">
        <v>198.45</v>
      </c>
      <c r="AC243" s="5">
        <v>-0.2727</v>
      </c>
      <c r="AD243" s="5">
        <v>-0.2469</v>
      </c>
      <c r="AE243" s="4">
        <v>18</v>
      </c>
      <c r="AF243" s="6">
        <v>352.08</v>
      </c>
      <c r="AG243" s="4">
        <v>5</v>
      </c>
      <c r="AH243" s="6">
        <v>105.3</v>
      </c>
      <c r="AI243" s="5">
        <v>2.6</v>
      </c>
      <c r="AJ243" s="5">
        <v>2.3436</v>
      </c>
      <c r="AK243" s="4"/>
      <c r="AL243" s="6"/>
      <c r="AM243" s="4"/>
      <c r="AN243" s="6"/>
      <c r="AO243" s="5"/>
      <c r="AP243" s="5"/>
      <c r="AQ243" s="4">
        <v>12</v>
      </c>
      <c r="AR243" s="6">
        <v>242.88</v>
      </c>
      <c r="AS243" s="4">
        <v>23</v>
      </c>
      <c r="AT243" s="6">
        <v>465.52</v>
      </c>
      <c r="AU243" s="5">
        <v>-0.4783</v>
      </c>
      <c r="AV243" s="5">
        <v>-0.4783</v>
      </c>
      <c r="AW243" s="4">
        <v>37</v>
      </c>
      <c r="AX243" s="6">
        <v>700.01</v>
      </c>
      <c r="AY243" s="4">
        <v>37</v>
      </c>
      <c r="AZ243" s="6">
        <v>685.66</v>
      </c>
      <c r="BA243" s="5"/>
      <c r="BB243" s="5">
        <v>0.0209</v>
      </c>
      <c r="BC243" s="4">
        <v>32</v>
      </c>
      <c r="BD243" s="6">
        <v>625.92</v>
      </c>
      <c r="BE243" s="4">
        <v>75</v>
      </c>
      <c r="BF243" s="6">
        <v>1498.5</v>
      </c>
      <c r="BG243" s="5">
        <v>-0.5733</v>
      </c>
      <c r="BH243" s="5">
        <v>-0.5823</v>
      </c>
      <c r="BI243" s="4">
        <v>7</v>
      </c>
      <c r="BJ243" s="6">
        <v>120.84</v>
      </c>
      <c r="BK243" s="4">
        <v>15</v>
      </c>
      <c r="BL243" s="6">
        <v>260.07</v>
      </c>
      <c r="BM243" s="5">
        <v>-0.5333</v>
      </c>
      <c r="BN243" s="5">
        <v>-0.5354</v>
      </c>
      <c r="BO243" s="4">
        <v>9</v>
      </c>
      <c r="BP243" s="6">
        <v>120.97</v>
      </c>
      <c r="BQ243" s="4">
        <v>4</v>
      </c>
      <c r="BR243" s="6">
        <v>69.73</v>
      </c>
      <c r="BS243" s="5">
        <v>1.25</v>
      </c>
      <c r="BT243" s="5">
        <v>0.7348</v>
      </c>
      <c r="BU243" s="4"/>
      <c r="BV243" s="6"/>
      <c r="BW243" s="4"/>
      <c r="BX243" s="6"/>
      <c r="BY243" s="5"/>
      <c r="BZ243" s="5"/>
      <c r="CA243" s="4">
        <v>1</v>
      </c>
      <c r="CB243" s="6">
        <v>19.84</v>
      </c>
      <c r="CC243" s="4">
        <v>5</v>
      </c>
      <c r="CD243" s="6">
        <v>91.72</v>
      </c>
      <c r="CE243" s="5">
        <v>-0.8</v>
      </c>
      <c r="CF243" s="5">
        <v>-0.7837</v>
      </c>
      <c r="CG243" s="4">
        <v>46</v>
      </c>
      <c r="CH243" s="6">
        <v>864.01</v>
      </c>
      <c r="CI243" s="4">
        <v>47</v>
      </c>
      <c r="CJ243" s="6">
        <v>867.15</v>
      </c>
      <c r="CK243" s="5">
        <v>-0.0213</v>
      </c>
      <c r="CL243" s="5">
        <v>-0.0036</v>
      </c>
      <c r="CM243" s="4"/>
      <c r="CN243" s="6"/>
      <c r="CO243" s="4"/>
      <c r="CP243" s="6"/>
      <c r="CQ243" s="5"/>
      <c r="CR243" s="5"/>
      <c r="CS243" s="4"/>
      <c r="CT243" s="6"/>
      <c r="CU243" s="4"/>
      <c r="CV243" s="6"/>
      <c r="CW243" s="5"/>
      <c r="CX243" s="5"/>
      <c r="CY243" s="4"/>
      <c r="CZ243" s="6"/>
      <c r="DA243" s="4">
        <v>2</v>
      </c>
      <c r="DB243" s="6">
        <v>31.96</v>
      </c>
      <c r="DC243" s="5"/>
      <c r="DD243" s="5"/>
      <c r="DE243" s="4"/>
      <c r="DF243" s="6"/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/>
      <c r="DR243" s="6"/>
      <c r="DS243" s="4"/>
      <c r="DT243" s="6"/>
      <c r="DU243" s="5"/>
      <c r="DV243" s="5"/>
      <c r="DW243" s="4"/>
      <c r="DX243" s="6"/>
      <c r="DY243" s="4"/>
      <c r="DZ243" s="6"/>
      <c r="EA243" s="5"/>
      <c r="EB243" s="5"/>
      <c r="EC243" s="4"/>
      <c r="ED243" s="6"/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>
        <v>1</v>
      </c>
      <c r="FV243" s="6">
        <v>20.86</v>
      </c>
      <c r="FW243" s="5"/>
      <c r="FX243" s="5"/>
      <c r="FY243" s="4"/>
      <c r="FZ243" s="6"/>
      <c r="GA243" s="4">
        <v>2</v>
      </c>
      <c r="GB243" s="6">
        <v>32.34</v>
      </c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  <c r="IA243" s="4"/>
      <c r="IB243" s="6"/>
      <c r="IC243" s="4"/>
      <c r="ID243" s="6"/>
      <c r="IE243" s="5"/>
      <c r="IF243" s="5"/>
      <c r="IG243" s="4"/>
      <c r="IH243" s="6"/>
      <c r="II243" s="4"/>
      <c r="IJ243" s="6"/>
      <c r="IK243" s="5"/>
      <c r="IL243" s="5"/>
      <c r="IM243" s="4"/>
      <c r="IN243" s="6"/>
      <c r="IO243" s="4"/>
      <c r="IP243" s="6"/>
      <c r="IQ243" s="5"/>
      <c r="IR243" s="5"/>
      <c r="IS243" s="4"/>
      <c r="IT243" s="6"/>
      <c r="IU243" s="4"/>
      <c r="IV243" s="6"/>
      <c r="IW243" s="5"/>
      <c r="IX243" s="5"/>
      <c r="IY243" s="4"/>
      <c r="IZ243" s="6"/>
      <c r="JA243" s="4"/>
      <c r="JB243" s="6"/>
      <c r="JC243" s="5"/>
      <c r="JD243" s="5"/>
      <c r="JE243" s="4"/>
      <c r="JF243" s="6"/>
      <c r="JG243" s="4"/>
      <c r="JH243" s="6"/>
      <c r="JI243" s="5"/>
      <c r="JJ243" s="5"/>
      <c r="JK243" s="4">
        <v>832</v>
      </c>
      <c r="JL243" s="4"/>
      <c r="JM243" s="4"/>
      <c r="JN243" s="4"/>
      <c r="JO243" s="4"/>
      <c r="JP243" s="4"/>
      <c r="JQ243" s="4"/>
      <c r="JR243" s="4"/>
      <c r="JS243" s="4"/>
      <c r="JT243" s="4"/>
      <c r="JU243" s="4"/>
      <c r="JV243" s="4"/>
      <c r="JW243" s="4"/>
      <c r="JX243" s="4"/>
      <c r="JY243" s="4"/>
      <c r="JZ243" s="4"/>
      <c r="KA243" s="4"/>
      <c r="KB243" s="4"/>
      <c r="KC243" s="4"/>
      <c r="KD243" s="4"/>
      <c r="KE243" s="4"/>
      <c r="KF243" s="4"/>
      <c r="KG243" s="4"/>
      <c r="KH243" s="4"/>
      <c r="KI243" s="4"/>
      <c r="KJ243" s="4"/>
      <c r="KK243" s="4"/>
      <c r="KL243" s="4"/>
      <c r="KM243" s="4"/>
      <c r="KN243" s="4"/>
      <c r="KO243" s="4"/>
      <c r="KP243" s="4"/>
      <c r="KQ243" s="4"/>
      <c r="KR243" s="4"/>
      <c r="KS243" s="4"/>
      <c r="KT243" s="4"/>
      <c r="KU243" s="4"/>
      <c r="KV243" s="4"/>
      <c r="KW243" s="4"/>
      <c r="KX243" s="4"/>
      <c r="KY243" s="4"/>
      <c r="KZ243" s="4"/>
      <c r="LA243" s="4"/>
      <c r="LB243" s="4"/>
      <c r="LC243" s="4"/>
      <c r="LD243" s="4"/>
      <c r="LE243" s="4"/>
      <c r="LF243" s="4"/>
      <c r="LG243" s="4"/>
      <c r="LH243" s="4"/>
      <c r="LI243" s="4"/>
      <c r="LJ243" s="4"/>
      <c r="LK243" s="4"/>
      <c r="LL243" s="4"/>
      <c r="LM243" s="4"/>
    </row>
    <row r="244">
      <c r="A244" s="3" t="s">
        <v>136</v>
      </c>
      <c r="B244" s="3" t="s">
        <v>181</v>
      </c>
      <c r="C244" s="3" t="s">
        <v>138</v>
      </c>
      <c r="D244" s="3" t="s">
        <v>139</v>
      </c>
      <c r="E244" s="3" t="s">
        <v>185</v>
      </c>
      <c r="F244" s="3" t="s">
        <v>185</v>
      </c>
      <c r="G244" s="3" t="s">
        <v>185</v>
      </c>
      <c r="H244" s="3" t="s">
        <v>167</v>
      </c>
      <c r="I244" s="3" t="s">
        <v>327</v>
      </c>
      <c r="J244" s="3" t="s">
        <v>241</v>
      </c>
      <c r="K244" s="4"/>
      <c r="L244" s="4">
        <f>=ROUNDDOWN({0},0)</f>
      </c>
      <c r="M244" s="4"/>
      <c r="N244" s="5"/>
      <c r="O244" s="4"/>
      <c r="P244" s="4">
        <f>=ROUNDDOWN({0},0)</f>
      </c>
      <c r="Q244" s="4"/>
      <c r="R244" s="5"/>
      <c r="S244" s="4">
        <v>198</v>
      </c>
      <c r="T244" s="6">
        <v>4822.05</v>
      </c>
      <c r="U244" s="4">
        <v>190</v>
      </c>
      <c r="V244" s="6">
        <v>4084.51</v>
      </c>
      <c r="W244" s="5">
        <v>0.0421</v>
      </c>
      <c r="X244" s="5">
        <v>0.1806</v>
      </c>
      <c r="Y244" s="4">
        <v>66</v>
      </c>
      <c r="Z244" s="6">
        <v>1664.84</v>
      </c>
      <c r="AA244" s="4">
        <v>23</v>
      </c>
      <c r="AB244" s="6">
        <v>517.42</v>
      </c>
      <c r="AC244" s="5">
        <v>1.8696</v>
      </c>
      <c r="AD244" s="5">
        <v>2.2176</v>
      </c>
      <c r="AE244" s="4">
        <v>9</v>
      </c>
      <c r="AF244" s="6">
        <v>219.75</v>
      </c>
      <c r="AG244" s="4">
        <v>4</v>
      </c>
      <c r="AH244" s="6">
        <v>90.14</v>
      </c>
      <c r="AI244" s="5">
        <v>1.25</v>
      </c>
      <c r="AJ244" s="5">
        <v>1.4379</v>
      </c>
      <c r="AK244" s="4"/>
      <c r="AL244" s="6"/>
      <c r="AM244" s="4"/>
      <c r="AN244" s="6"/>
      <c r="AO244" s="5"/>
      <c r="AP244" s="5"/>
      <c r="AQ244" s="4"/>
      <c r="AR244" s="6"/>
      <c r="AS244" s="4"/>
      <c r="AT244" s="6"/>
      <c r="AU244" s="5"/>
      <c r="AV244" s="5"/>
      <c r="AW244" s="4">
        <v>4</v>
      </c>
      <c r="AX244" s="6">
        <v>93.8</v>
      </c>
      <c r="AY244" s="4">
        <v>17</v>
      </c>
      <c r="AZ244" s="6">
        <v>380.16</v>
      </c>
      <c r="BA244" s="5">
        <v>-0.7647</v>
      </c>
      <c r="BB244" s="5">
        <v>-0.7533</v>
      </c>
      <c r="BC244" s="4">
        <v>70</v>
      </c>
      <c r="BD244" s="6">
        <v>1701.04</v>
      </c>
      <c r="BE244" s="4">
        <v>74</v>
      </c>
      <c r="BF244" s="6">
        <v>1619.38</v>
      </c>
      <c r="BG244" s="5">
        <v>-0.0541</v>
      </c>
      <c r="BH244" s="5">
        <v>0.0504</v>
      </c>
      <c r="BI244" s="4">
        <v>8</v>
      </c>
      <c r="BJ244" s="6">
        <v>180</v>
      </c>
      <c r="BK244" s="4">
        <v>6</v>
      </c>
      <c r="BL244" s="6">
        <v>127.17</v>
      </c>
      <c r="BM244" s="5">
        <v>0.3333</v>
      </c>
      <c r="BN244" s="5">
        <v>0.4154</v>
      </c>
      <c r="BO244" s="4">
        <v>4</v>
      </c>
      <c r="BP244" s="6">
        <v>83.73</v>
      </c>
      <c r="BQ244" s="4">
        <v>13</v>
      </c>
      <c r="BR244" s="6">
        <v>263.54</v>
      </c>
      <c r="BS244" s="5">
        <v>-0.6923</v>
      </c>
      <c r="BT244" s="5">
        <v>-0.6823</v>
      </c>
      <c r="BU244" s="4">
        <v>10</v>
      </c>
      <c r="BV244" s="6">
        <v>232.14</v>
      </c>
      <c r="BW244" s="4"/>
      <c r="BX244" s="6"/>
      <c r="BY244" s="5"/>
      <c r="BZ244" s="5"/>
      <c r="CA244" s="4"/>
      <c r="CB244" s="6"/>
      <c r="CC244" s="4">
        <v>2</v>
      </c>
      <c r="CD244" s="6">
        <v>35.5</v>
      </c>
      <c r="CE244" s="5"/>
      <c r="CF244" s="5"/>
      <c r="CG244" s="4">
        <v>24</v>
      </c>
      <c r="CH244" s="6">
        <v>572.32</v>
      </c>
      <c r="CI244" s="4">
        <v>49</v>
      </c>
      <c r="CJ244" s="6">
        <v>1012.12</v>
      </c>
      <c r="CK244" s="5">
        <v>-0.5102</v>
      </c>
      <c r="CL244" s="5">
        <v>-0.4345</v>
      </c>
      <c r="CM244" s="4"/>
      <c r="CN244" s="6"/>
      <c r="CO244" s="4"/>
      <c r="CP244" s="6"/>
      <c r="CQ244" s="5"/>
      <c r="CR244" s="5"/>
      <c r="CS244" s="4">
        <v>3</v>
      </c>
      <c r="CT244" s="6">
        <v>74.43</v>
      </c>
      <c r="CU244" s="4"/>
      <c r="CV244" s="6"/>
      <c r="CW244" s="5"/>
      <c r="CX244" s="5"/>
      <c r="CY244" s="4"/>
      <c r="CZ244" s="6"/>
      <c r="DA244" s="4"/>
      <c r="DB244" s="6"/>
      <c r="DC244" s="5"/>
      <c r="DD244" s="5"/>
      <c r="DE244" s="4"/>
      <c r="DF244" s="6"/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/>
      <c r="DR244" s="6"/>
      <c r="DS244" s="4"/>
      <c r="DT244" s="6"/>
      <c r="DU244" s="5"/>
      <c r="DV244" s="5"/>
      <c r="DW244" s="4"/>
      <c r="DX244" s="6"/>
      <c r="DY244" s="4"/>
      <c r="DZ244" s="6"/>
      <c r="EA244" s="5"/>
      <c r="EB244" s="5"/>
      <c r="EC244" s="4"/>
      <c r="ED244" s="6"/>
      <c r="EE244" s="4"/>
      <c r="EF244" s="6"/>
      <c r="EG244" s="5"/>
      <c r="EH244" s="5"/>
      <c r="EI244" s="4"/>
      <c r="EJ244" s="6"/>
      <c r="EK244" s="4"/>
      <c r="EL244" s="6"/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/>
      <c r="FH244" s="6"/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>
        <v>2</v>
      </c>
      <c r="FV244" s="6">
        <v>39.08</v>
      </c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/>
      <c r="GH244" s="6"/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  <c r="IA244" s="4"/>
      <c r="IB244" s="6"/>
      <c r="IC244" s="4"/>
      <c r="ID244" s="6"/>
      <c r="IE244" s="5"/>
      <c r="IF244" s="5"/>
      <c r="IG244" s="4"/>
      <c r="IH244" s="6"/>
      <c r="II244" s="4"/>
      <c r="IJ244" s="6"/>
      <c r="IK244" s="5"/>
      <c r="IL244" s="5"/>
      <c r="IM244" s="4"/>
      <c r="IN244" s="6"/>
      <c r="IO244" s="4"/>
      <c r="IP244" s="6"/>
      <c r="IQ244" s="5"/>
      <c r="IR244" s="5"/>
      <c r="IS244" s="4"/>
      <c r="IT244" s="6"/>
      <c r="IU244" s="4"/>
      <c r="IV244" s="6"/>
      <c r="IW244" s="5"/>
      <c r="IX244" s="5"/>
      <c r="IY244" s="4"/>
      <c r="IZ244" s="6"/>
      <c r="JA244" s="4"/>
      <c r="JB244" s="6"/>
      <c r="JC244" s="5"/>
      <c r="JD244" s="5"/>
      <c r="JE244" s="4"/>
      <c r="JF244" s="6"/>
      <c r="JG244" s="4"/>
      <c r="JH244" s="6"/>
      <c r="JI244" s="5"/>
      <c r="JJ244" s="5"/>
      <c r="JK244" s="4"/>
      <c r="JL244" s="4"/>
      <c r="JM244" s="4"/>
      <c r="JN244" s="4"/>
      <c r="JO244" s="4"/>
      <c r="JP244" s="4"/>
      <c r="JQ244" s="4"/>
      <c r="JR244" s="4"/>
      <c r="JS244" s="4"/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/>
      <c r="KY244" s="4"/>
      <c r="KZ244" s="4"/>
      <c r="LA244" s="4"/>
      <c r="LB244" s="4"/>
      <c r="LC244" s="4"/>
      <c r="LD244" s="4"/>
      <c r="LE244" s="4"/>
      <c r="LF244" s="4"/>
      <c r="LG244" s="4"/>
      <c r="LH244" s="4"/>
      <c r="LI244" s="4"/>
      <c r="LJ244" s="4"/>
      <c r="LK244" s="4"/>
      <c r="LL244" s="4"/>
      <c r="LM244" s="4"/>
    </row>
    <row r="245">
      <c r="A245" s="3" t="s">
        <v>136</v>
      </c>
      <c r="B245" s="3" t="s">
        <v>181</v>
      </c>
      <c r="C245" s="3" t="s">
        <v>138</v>
      </c>
      <c r="D245" s="3" t="s">
        <v>139</v>
      </c>
      <c r="E245" s="3" t="s">
        <v>185</v>
      </c>
      <c r="F245" s="3" t="s">
        <v>185</v>
      </c>
      <c r="G245" s="3" t="s">
        <v>185</v>
      </c>
      <c r="H245" s="3" t="s">
        <v>167</v>
      </c>
      <c r="I245" s="3" t="s">
        <v>328</v>
      </c>
      <c r="J245" s="3" t="s">
        <v>226</v>
      </c>
      <c r="K245" s="4">
        <v>4</v>
      </c>
      <c r="L245" s="4">
        <f>=ROUNDDOWN(0.0327868852459016,0)</f>
      </c>
      <c r="M245" s="4">
        <v>1202</v>
      </c>
      <c r="N245" s="5">
        <v>0.1039</v>
      </c>
      <c r="O245" s="4"/>
      <c r="P245" s="4">
        <f>=ROUNDDOWN({0},0)</f>
      </c>
      <c r="Q245" s="4"/>
      <c r="R245" s="5"/>
      <c r="S245" s="4">
        <v>182</v>
      </c>
      <c r="T245" s="6">
        <v>3387.11</v>
      </c>
      <c r="U245" s="4">
        <v>153</v>
      </c>
      <c r="V245" s="6">
        <v>3636.66</v>
      </c>
      <c r="W245" s="5">
        <v>0.1895</v>
      </c>
      <c r="X245" s="5">
        <v>-0.0686</v>
      </c>
      <c r="Y245" s="4">
        <v>12</v>
      </c>
      <c r="Z245" s="6">
        <v>223.03</v>
      </c>
      <c r="AA245" s="4">
        <v>22</v>
      </c>
      <c r="AB245" s="6">
        <v>545.48</v>
      </c>
      <c r="AC245" s="5">
        <v>-0.4545</v>
      </c>
      <c r="AD245" s="5">
        <v>-0.5911</v>
      </c>
      <c r="AE245" s="4">
        <v>3</v>
      </c>
      <c r="AF245" s="6">
        <v>60.56</v>
      </c>
      <c r="AG245" s="4">
        <v>3</v>
      </c>
      <c r="AH245" s="6">
        <v>76.33</v>
      </c>
      <c r="AI245" s="5"/>
      <c r="AJ245" s="5">
        <v>-0.2066</v>
      </c>
      <c r="AK245" s="4"/>
      <c r="AL245" s="6"/>
      <c r="AM245" s="4"/>
      <c r="AN245" s="6"/>
      <c r="AO245" s="5"/>
      <c r="AP245" s="5"/>
      <c r="AQ245" s="4">
        <v>105</v>
      </c>
      <c r="AR245" s="6">
        <v>1911</v>
      </c>
      <c r="AS245" s="4">
        <v>1</v>
      </c>
      <c r="AT245" s="6">
        <v>17.72</v>
      </c>
      <c r="AU245" s="5">
        <v>104</v>
      </c>
      <c r="AV245" s="5">
        <v>106.8442</v>
      </c>
      <c r="AW245" s="4">
        <v>8</v>
      </c>
      <c r="AX245" s="6">
        <v>134.24</v>
      </c>
      <c r="AY245" s="4">
        <v>18</v>
      </c>
      <c r="AZ245" s="6">
        <v>463.68</v>
      </c>
      <c r="BA245" s="5">
        <v>-0.5556</v>
      </c>
      <c r="BB245" s="5">
        <v>-0.7105</v>
      </c>
      <c r="BC245" s="4"/>
      <c r="BD245" s="6"/>
      <c r="BE245" s="4"/>
      <c r="BF245" s="6"/>
      <c r="BG245" s="5"/>
      <c r="BH245" s="5"/>
      <c r="BI245" s="4">
        <v>2</v>
      </c>
      <c r="BJ245" s="6">
        <v>32.6</v>
      </c>
      <c r="BK245" s="4">
        <v>12</v>
      </c>
      <c r="BL245" s="6">
        <v>283.38</v>
      </c>
      <c r="BM245" s="5">
        <v>-0.8333</v>
      </c>
      <c r="BN245" s="5">
        <v>-0.885</v>
      </c>
      <c r="BO245" s="4">
        <v>8</v>
      </c>
      <c r="BP245" s="6">
        <v>131.95</v>
      </c>
      <c r="BQ245" s="4">
        <v>15</v>
      </c>
      <c r="BR245" s="6">
        <v>347.77</v>
      </c>
      <c r="BS245" s="5">
        <v>-0.4667</v>
      </c>
      <c r="BT245" s="5">
        <v>-0.6206</v>
      </c>
      <c r="BU245" s="4"/>
      <c r="BV245" s="6"/>
      <c r="BW245" s="4">
        <v>4</v>
      </c>
      <c r="BX245" s="6">
        <v>98.98</v>
      </c>
      <c r="BY245" s="5"/>
      <c r="BZ245" s="5"/>
      <c r="CA245" s="4">
        <v>1</v>
      </c>
      <c r="CB245" s="6">
        <v>31.47</v>
      </c>
      <c r="CC245" s="4">
        <v>4</v>
      </c>
      <c r="CD245" s="6">
        <v>96.75</v>
      </c>
      <c r="CE245" s="5">
        <v>-0.75</v>
      </c>
      <c r="CF245" s="5">
        <v>-0.6747</v>
      </c>
      <c r="CG245" s="4">
        <v>21</v>
      </c>
      <c r="CH245" s="6">
        <v>403.84</v>
      </c>
      <c r="CI245" s="4">
        <v>68</v>
      </c>
      <c r="CJ245" s="6">
        <v>1574.9</v>
      </c>
      <c r="CK245" s="5">
        <v>-0.6912</v>
      </c>
      <c r="CL245" s="5">
        <v>-0.7436</v>
      </c>
      <c r="CM245" s="4"/>
      <c r="CN245" s="6"/>
      <c r="CO245" s="4"/>
      <c r="CP245" s="6"/>
      <c r="CQ245" s="5"/>
      <c r="CR245" s="5"/>
      <c r="CS245" s="4"/>
      <c r="CT245" s="6"/>
      <c r="CU245" s="4"/>
      <c r="CV245" s="6"/>
      <c r="CW245" s="5"/>
      <c r="CX245" s="5"/>
      <c r="CY245" s="4">
        <v>18</v>
      </c>
      <c r="CZ245" s="6">
        <v>283.5</v>
      </c>
      <c r="DA245" s="4">
        <v>3</v>
      </c>
      <c r="DB245" s="6">
        <v>57.96</v>
      </c>
      <c r="DC245" s="5">
        <v>5</v>
      </c>
      <c r="DD245" s="5">
        <v>3.8913</v>
      </c>
      <c r="DE245" s="4"/>
      <c r="DF245" s="6"/>
      <c r="DG245" s="4"/>
      <c r="DH245" s="6"/>
      <c r="DI245" s="5"/>
      <c r="DJ245" s="5"/>
      <c r="DK245" s="4">
        <v>4</v>
      </c>
      <c r="DL245" s="6">
        <v>174.92</v>
      </c>
      <c r="DM245" s="4"/>
      <c r="DN245" s="6"/>
      <c r="DO245" s="5"/>
      <c r="DP245" s="5"/>
      <c r="DQ245" s="4"/>
      <c r="DR245" s="6"/>
      <c r="DS245" s="4"/>
      <c r="DT245" s="6"/>
      <c r="DU245" s="5"/>
      <c r="DV245" s="5"/>
      <c r="DW245" s="4"/>
      <c r="DX245" s="6"/>
      <c r="DY245" s="4"/>
      <c r="DZ245" s="6"/>
      <c r="EA245" s="5"/>
      <c r="EB245" s="5"/>
      <c r="EC245" s="4"/>
      <c r="ED245" s="6"/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>
        <v>3</v>
      </c>
      <c r="FV245" s="6">
        <v>73.71</v>
      </c>
      <c r="FW245" s="5"/>
      <c r="FX245" s="5"/>
      <c r="FY245" s="4"/>
      <c r="FZ245" s="6"/>
      <c r="GA245" s="4"/>
      <c r="GB245" s="6"/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  <c r="IA245" s="4"/>
      <c r="IB245" s="6"/>
      <c r="IC245" s="4"/>
      <c r="ID245" s="6"/>
      <c r="IE245" s="5"/>
      <c r="IF245" s="5"/>
      <c r="IG245" s="4"/>
      <c r="IH245" s="6"/>
      <c r="II245" s="4"/>
      <c r="IJ245" s="6"/>
      <c r="IK245" s="5"/>
      <c r="IL245" s="5"/>
      <c r="IM245" s="4"/>
      <c r="IN245" s="6"/>
      <c r="IO245" s="4"/>
      <c r="IP245" s="6"/>
      <c r="IQ245" s="5"/>
      <c r="IR245" s="5"/>
      <c r="IS245" s="4"/>
      <c r="IT245" s="6"/>
      <c r="IU245" s="4"/>
      <c r="IV245" s="6"/>
      <c r="IW245" s="5"/>
      <c r="IX245" s="5"/>
      <c r="IY245" s="4"/>
      <c r="IZ245" s="6"/>
      <c r="JA245" s="4"/>
      <c r="JB245" s="6"/>
      <c r="JC245" s="5"/>
      <c r="JD245" s="5"/>
      <c r="JE245" s="4"/>
      <c r="JF245" s="6"/>
      <c r="JG245" s="4"/>
      <c r="JH245" s="6"/>
      <c r="JI245" s="5"/>
      <c r="JJ245" s="5"/>
      <c r="JK245" s="4">
        <v>4</v>
      </c>
      <c r="JL245" s="4"/>
      <c r="JM245" s="4"/>
      <c r="JN245" s="4"/>
      <c r="JO245" s="4"/>
      <c r="JP245" s="4"/>
      <c r="JQ245" s="4"/>
      <c r="JR245" s="4"/>
      <c r="JS245" s="4"/>
      <c r="JT245" s="4"/>
      <c r="JU245" s="4"/>
      <c r="JV245" s="4"/>
      <c r="JW245" s="4"/>
      <c r="JX245" s="4"/>
      <c r="JY245" s="4"/>
      <c r="JZ245" s="4"/>
      <c r="KA245" s="4"/>
      <c r="KB245" s="4"/>
      <c r="KC245" s="4"/>
      <c r="KD245" s="4"/>
      <c r="KE245" s="4"/>
      <c r="KF245" s="4"/>
      <c r="KG245" s="4"/>
      <c r="KH245" s="4"/>
      <c r="KI245" s="4"/>
      <c r="KJ245" s="4"/>
      <c r="KK245" s="4"/>
      <c r="KL245" s="4"/>
      <c r="KM245" s="4"/>
      <c r="KN245" s="4"/>
      <c r="KO245" s="4"/>
      <c r="KP245" s="4"/>
      <c r="KQ245" s="4"/>
      <c r="KR245" s="4"/>
      <c r="KS245" s="4"/>
      <c r="KT245" s="4"/>
      <c r="KU245" s="4"/>
      <c r="KV245" s="4"/>
      <c r="KW245" s="4"/>
      <c r="KX245" s="4"/>
      <c r="KY245" s="4"/>
      <c r="KZ245" s="4"/>
      <c r="LA245" s="4"/>
      <c r="LB245" s="4"/>
      <c r="LC245" s="4"/>
      <c r="LD245" s="4"/>
      <c r="LE245" s="4">
        <v>1202</v>
      </c>
      <c r="LF245" s="4"/>
      <c r="LG245" s="4"/>
      <c r="LH245" s="4"/>
      <c r="LI245" s="4"/>
      <c r="LJ245" s="4"/>
      <c r="LK245" s="4"/>
      <c r="LL245" s="4"/>
      <c r="LM245" s="4"/>
    </row>
    <row r="246">
      <c r="A246" s="3" t="s">
        <v>136</v>
      </c>
      <c r="B246" s="3" t="s">
        <v>181</v>
      </c>
      <c r="C246" s="3" t="s">
        <v>138</v>
      </c>
      <c r="D246" s="3" t="s">
        <v>139</v>
      </c>
      <c r="E246" s="3" t="s">
        <v>185</v>
      </c>
      <c r="F246" s="3" t="s">
        <v>185</v>
      </c>
      <c r="G246" s="3" t="s">
        <v>185</v>
      </c>
      <c r="H246" s="3" t="s">
        <v>167</v>
      </c>
      <c r="I246" s="3" t="s">
        <v>329</v>
      </c>
      <c r="J246" s="3" t="s">
        <v>228</v>
      </c>
      <c r="K246" s="4">
        <v>223</v>
      </c>
      <c r="L246" s="4">
        <f>=ROUNDDOWN(4.12962962962963,0)</f>
      </c>
      <c r="M246" s="4">
        <v>494</v>
      </c>
      <c r="N246" s="5">
        <v>0.7644</v>
      </c>
      <c r="O246" s="4"/>
      <c r="P246" s="4">
        <f>=ROUNDDOWN({0},0)</f>
      </c>
      <c r="Q246" s="4"/>
      <c r="R246" s="5"/>
      <c r="S246" s="4">
        <v>117</v>
      </c>
      <c r="T246" s="6">
        <v>2202.11</v>
      </c>
      <c r="U246" s="4">
        <v>276</v>
      </c>
      <c r="V246" s="6">
        <v>5982.19</v>
      </c>
      <c r="W246" s="5">
        <v>-0.5761</v>
      </c>
      <c r="X246" s="5">
        <v>-0.6319</v>
      </c>
      <c r="Y246" s="4">
        <v>20</v>
      </c>
      <c r="Z246" s="6">
        <v>363.8</v>
      </c>
      <c r="AA246" s="4">
        <v>41</v>
      </c>
      <c r="AB246" s="6">
        <v>971.39</v>
      </c>
      <c r="AC246" s="5">
        <v>-0.5122</v>
      </c>
      <c r="AD246" s="5">
        <v>-0.6255</v>
      </c>
      <c r="AE246" s="4">
        <v>8</v>
      </c>
      <c r="AF246" s="6">
        <v>138.39</v>
      </c>
      <c r="AG246" s="4">
        <v>8</v>
      </c>
      <c r="AH246" s="6">
        <v>185.69</v>
      </c>
      <c r="AI246" s="5"/>
      <c r="AJ246" s="5">
        <v>-0.2547</v>
      </c>
      <c r="AK246" s="4"/>
      <c r="AL246" s="6"/>
      <c r="AM246" s="4"/>
      <c r="AN246" s="6"/>
      <c r="AO246" s="5"/>
      <c r="AP246" s="5"/>
      <c r="AQ246" s="4">
        <v>67</v>
      </c>
      <c r="AR246" s="6">
        <v>1193.09</v>
      </c>
      <c r="AS246" s="4">
        <v>139</v>
      </c>
      <c r="AT246" s="6">
        <v>2900.54</v>
      </c>
      <c r="AU246" s="5">
        <v>-0.518</v>
      </c>
      <c r="AV246" s="5">
        <v>-0.5887</v>
      </c>
      <c r="AW246" s="4">
        <v>4</v>
      </c>
      <c r="AX246" s="6">
        <v>66.04</v>
      </c>
      <c r="AY246" s="4">
        <v>22</v>
      </c>
      <c r="AZ246" s="6">
        <v>497.38</v>
      </c>
      <c r="BA246" s="5">
        <v>-0.8182</v>
      </c>
      <c r="BB246" s="5">
        <v>-0.8672</v>
      </c>
      <c r="BC246" s="4"/>
      <c r="BD246" s="6"/>
      <c r="BE246" s="4"/>
      <c r="BF246" s="6"/>
      <c r="BG246" s="5"/>
      <c r="BH246" s="5"/>
      <c r="BI246" s="4">
        <v>4</v>
      </c>
      <c r="BJ246" s="6">
        <v>63.25</v>
      </c>
      <c r="BK246" s="4">
        <v>20</v>
      </c>
      <c r="BL246" s="6">
        <v>455.08</v>
      </c>
      <c r="BM246" s="5">
        <v>-0.8</v>
      </c>
      <c r="BN246" s="5">
        <v>-0.861</v>
      </c>
      <c r="BO246" s="4">
        <v>6</v>
      </c>
      <c r="BP246" s="6">
        <v>91.44</v>
      </c>
      <c r="BQ246" s="4">
        <v>17</v>
      </c>
      <c r="BR246" s="6">
        <v>342.58</v>
      </c>
      <c r="BS246" s="5">
        <v>-0.6471</v>
      </c>
      <c r="BT246" s="5">
        <v>-0.7331</v>
      </c>
      <c r="BU246" s="4"/>
      <c r="BV246" s="6"/>
      <c r="BW246" s="4">
        <v>4</v>
      </c>
      <c r="BX246" s="6">
        <v>101.59</v>
      </c>
      <c r="BY246" s="5"/>
      <c r="BZ246" s="5"/>
      <c r="CA246" s="4"/>
      <c r="CB246" s="6"/>
      <c r="CC246" s="4">
        <v>2</v>
      </c>
      <c r="CD246" s="6">
        <v>47.13</v>
      </c>
      <c r="CE246" s="5"/>
      <c r="CF246" s="5"/>
      <c r="CG246" s="4"/>
      <c r="CH246" s="6"/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>
        <v>1</v>
      </c>
      <c r="CT246" s="6">
        <v>17.37</v>
      </c>
      <c r="CU246" s="4"/>
      <c r="CV246" s="6"/>
      <c r="CW246" s="5"/>
      <c r="CX246" s="5"/>
      <c r="CY246" s="4"/>
      <c r="CZ246" s="6"/>
      <c r="DA246" s="4"/>
      <c r="DB246" s="6"/>
      <c r="DC246" s="5"/>
      <c r="DD246" s="5"/>
      <c r="DE246" s="4"/>
      <c r="DF246" s="6"/>
      <c r="DG246" s="4"/>
      <c r="DH246" s="6"/>
      <c r="DI246" s="5"/>
      <c r="DJ246" s="5"/>
      <c r="DK246" s="4">
        <v>7</v>
      </c>
      <c r="DL246" s="6">
        <v>268.73</v>
      </c>
      <c r="DM246" s="4">
        <v>1</v>
      </c>
      <c r="DN246" s="6">
        <v>36.99</v>
      </c>
      <c r="DO246" s="5">
        <v>6</v>
      </c>
      <c r="DP246" s="5">
        <v>6.2649</v>
      </c>
      <c r="DQ246" s="4"/>
      <c r="DR246" s="6"/>
      <c r="DS246" s="4"/>
      <c r="DT246" s="6"/>
      <c r="DU246" s="5"/>
      <c r="DV246" s="5"/>
      <c r="DW246" s="4"/>
      <c r="DX246" s="6"/>
      <c r="DY246" s="4"/>
      <c r="DZ246" s="6"/>
      <c r="EA246" s="5"/>
      <c r="EB246" s="5"/>
      <c r="EC246" s="4"/>
      <c r="ED246" s="6"/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>
        <v>7</v>
      </c>
      <c r="FV246" s="6">
        <v>144.54</v>
      </c>
      <c r="FW246" s="5"/>
      <c r="FX246" s="5"/>
      <c r="FY246" s="4"/>
      <c r="FZ246" s="6"/>
      <c r="GA246" s="4">
        <v>15</v>
      </c>
      <c r="GB246" s="6">
        <v>299.28</v>
      </c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  <c r="IA246" s="4"/>
      <c r="IB246" s="6"/>
      <c r="IC246" s="4"/>
      <c r="ID246" s="6"/>
      <c r="IE246" s="5"/>
      <c r="IF246" s="5"/>
      <c r="IG246" s="4"/>
      <c r="IH246" s="6"/>
      <c r="II246" s="4"/>
      <c r="IJ246" s="6"/>
      <c r="IK246" s="5"/>
      <c r="IL246" s="5"/>
      <c r="IM246" s="4"/>
      <c r="IN246" s="6"/>
      <c r="IO246" s="4"/>
      <c r="IP246" s="6"/>
      <c r="IQ246" s="5"/>
      <c r="IR246" s="5"/>
      <c r="IS246" s="4"/>
      <c r="IT246" s="6"/>
      <c r="IU246" s="4"/>
      <c r="IV246" s="6"/>
      <c r="IW246" s="5"/>
      <c r="IX246" s="5"/>
      <c r="IY246" s="4"/>
      <c r="IZ246" s="6"/>
      <c r="JA246" s="4"/>
      <c r="JB246" s="6"/>
      <c r="JC246" s="5"/>
      <c r="JD246" s="5"/>
      <c r="JE246" s="4"/>
      <c r="JF246" s="6"/>
      <c r="JG246" s="4"/>
      <c r="JH246" s="6"/>
      <c r="JI246" s="5"/>
      <c r="JJ246" s="5"/>
      <c r="JK246" s="4">
        <v>223</v>
      </c>
      <c r="JL246" s="4"/>
      <c r="JM246" s="4"/>
      <c r="JN246" s="4"/>
      <c r="JO246" s="4"/>
      <c r="JP246" s="4"/>
      <c r="JQ246" s="4"/>
      <c r="JR246" s="4"/>
      <c r="JS246" s="4"/>
      <c r="JT246" s="4"/>
      <c r="JU246" s="4"/>
      <c r="JV246" s="4"/>
      <c r="JW246" s="4"/>
      <c r="JX246" s="4"/>
      <c r="JY246" s="4"/>
      <c r="JZ246" s="4"/>
      <c r="KA246" s="4"/>
      <c r="KB246" s="4"/>
      <c r="KC246" s="4"/>
      <c r="KD246" s="4"/>
      <c r="KE246" s="4"/>
      <c r="KF246" s="4"/>
      <c r="KG246" s="4"/>
      <c r="KH246" s="4"/>
      <c r="KI246" s="4"/>
      <c r="KJ246" s="4"/>
      <c r="KK246" s="4"/>
      <c r="KL246" s="4"/>
      <c r="KM246" s="4"/>
      <c r="KN246" s="4"/>
      <c r="KO246" s="4"/>
      <c r="KP246" s="4"/>
      <c r="KQ246" s="4"/>
      <c r="KR246" s="4"/>
      <c r="KS246" s="4"/>
      <c r="KT246" s="4"/>
      <c r="KU246" s="4"/>
      <c r="KV246" s="4"/>
      <c r="KW246" s="4"/>
      <c r="KX246" s="4"/>
      <c r="KY246" s="4"/>
      <c r="KZ246" s="4"/>
      <c r="LA246" s="4"/>
      <c r="LB246" s="4"/>
      <c r="LC246" s="4"/>
      <c r="LD246" s="4"/>
      <c r="LE246" s="4">
        <v>494</v>
      </c>
      <c r="LF246" s="4"/>
      <c r="LG246" s="4"/>
      <c r="LH246" s="4"/>
      <c r="LI246" s="4"/>
      <c r="LJ246" s="4"/>
      <c r="LK246" s="4"/>
      <c r="LL246" s="4"/>
      <c r="LM246" s="4"/>
    </row>
    <row r="247">
      <c r="A247" s="3" t="s">
        <v>136</v>
      </c>
      <c r="B247" s="3" t="s">
        <v>181</v>
      </c>
      <c r="C247" s="3" t="s">
        <v>138</v>
      </c>
      <c r="D247" s="3" t="s">
        <v>139</v>
      </c>
      <c r="E247" s="3" t="s">
        <v>185</v>
      </c>
      <c r="F247" s="3" t="s">
        <v>185</v>
      </c>
      <c r="G247" s="3" t="s">
        <v>185</v>
      </c>
      <c r="H247" s="3" t="s">
        <v>167</v>
      </c>
      <c r="I247" s="3" t="s">
        <v>330</v>
      </c>
      <c r="J247" s="3" t="s">
        <v>241</v>
      </c>
      <c r="K247" s="4">
        <v>357</v>
      </c>
      <c r="L247" s="4">
        <f>=ROUNDDOWN(5.73033707865169,0)</f>
      </c>
      <c r="M247" s="4"/>
      <c r="N247" s="5"/>
      <c r="O247" s="4"/>
      <c r="P247" s="4">
        <f>=ROUNDDOWN({0},0)</f>
      </c>
      <c r="Q247" s="4"/>
      <c r="R247" s="5"/>
      <c r="S247" s="4">
        <v>116</v>
      </c>
      <c r="T247" s="6">
        <v>2034.84</v>
      </c>
      <c r="U247" s="4">
        <v>196</v>
      </c>
      <c r="V247" s="6">
        <v>4539.88</v>
      </c>
      <c r="W247" s="5">
        <v>-0.4082</v>
      </c>
      <c r="X247" s="5">
        <v>-0.5518</v>
      </c>
      <c r="Y247" s="4">
        <v>48</v>
      </c>
      <c r="Z247" s="6">
        <v>856.32</v>
      </c>
      <c r="AA247" s="4">
        <v>26</v>
      </c>
      <c r="AB247" s="6">
        <v>604.44</v>
      </c>
      <c r="AC247" s="5">
        <v>0.8462</v>
      </c>
      <c r="AD247" s="5">
        <v>0.4167</v>
      </c>
      <c r="AE247" s="4">
        <v>3</v>
      </c>
      <c r="AF247" s="6">
        <v>51.63</v>
      </c>
      <c r="AG247" s="4">
        <v>1</v>
      </c>
      <c r="AH247" s="6">
        <v>19.12</v>
      </c>
      <c r="AI247" s="5">
        <v>2</v>
      </c>
      <c r="AJ247" s="5">
        <v>1.7003</v>
      </c>
      <c r="AK247" s="4"/>
      <c r="AL247" s="6"/>
      <c r="AM247" s="4"/>
      <c r="AN247" s="6"/>
      <c r="AO247" s="5"/>
      <c r="AP247" s="5"/>
      <c r="AQ247" s="4"/>
      <c r="AR247" s="6"/>
      <c r="AS247" s="4"/>
      <c r="AT247" s="6"/>
      <c r="AU247" s="5"/>
      <c r="AV247" s="5"/>
      <c r="AW247" s="4">
        <v>4</v>
      </c>
      <c r="AX247" s="6">
        <v>65.68</v>
      </c>
      <c r="AY247" s="4">
        <v>19</v>
      </c>
      <c r="AZ247" s="6">
        <v>432.85</v>
      </c>
      <c r="BA247" s="5">
        <v>-0.7895</v>
      </c>
      <c r="BB247" s="5">
        <v>-0.8483</v>
      </c>
      <c r="BC247" s="4">
        <v>25</v>
      </c>
      <c r="BD247" s="6">
        <v>431</v>
      </c>
      <c r="BE247" s="4">
        <v>66</v>
      </c>
      <c r="BF247" s="6">
        <v>1597.11</v>
      </c>
      <c r="BG247" s="5">
        <v>-0.6212</v>
      </c>
      <c r="BH247" s="5">
        <v>-0.7301</v>
      </c>
      <c r="BI247" s="4">
        <v>2</v>
      </c>
      <c r="BJ247" s="6">
        <v>31.3</v>
      </c>
      <c r="BK247" s="4">
        <v>29</v>
      </c>
      <c r="BL247" s="6">
        <v>654.41</v>
      </c>
      <c r="BM247" s="5">
        <v>-0.931</v>
      </c>
      <c r="BN247" s="5">
        <v>-0.9522</v>
      </c>
      <c r="BO247" s="4">
        <v>3</v>
      </c>
      <c r="BP247" s="6">
        <v>37.5</v>
      </c>
      <c r="BQ247" s="4">
        <v>2</v>
      </c>
      <c r="BR247" s="6">
        <v>42.18</v>
      </c>
      <c r="BS247" s="5">
        <v>0.5</v>
      </c>
      <c r="BT247" s="5">
        <v>-0.111</v>
      </c>
      <c r="BU247" s="4"/>
      <c r="BV247" s="6"/>
      <c r="BW247" s="4"/>
      <c r="BX247" s="6"/>
      <c r="BY247" s="5"/>
      <c r="BZ247" s="5"/>
      <c r="CA247" s="4"/>
      <c r="CB247" s="6"/>
      <c r="CC247" s="4">
        <v>3</v>
      </c>
      <c r="CD247" s="6">
        <v>59.43</v>
      </c>
      <c r="CE247" s="5"/>
      <c r="CF247" s="5"/>
      <c r="CG247" s="4">
        <v>31</v>
      </c>
      <c r="CH247" s="6">
        <v>561.41</v>
      </c>
      <c r="CI247" s="4">
        <v>48</v>
      </c>
      <c r="CJ247" s="6">
        <v>1063.53</v>
      </c>
      <c r="CK247" s="5">
        <v>-0.3542</v>
      </c>
      <c r="CL247" s="5">
        <v>-0.4721</v>
      </c>
      <c r="CM247" s="4"/>
      <c r="CN247" s="6"/>
      <c r="CO247" s="4"/>
      <c r="CP247" s="6"/>
      <c r="CQ247" s="5"/>
      <c r="CR247" s="5"/>
      <c r="CS247" s="4"/>
      <c r="CT247" s="6"/>
      <c r="CU247" s="4"/>
      <c r="CV247" s="6"/>
      <c r="CW247" s="5"/>
      <c r="CX247" s="5"/>
      <c r="CY247" s="4"/>
      <c r="CZ247" s="6"/>
      <c r="DA247" s="4"/>
      <c r="DB247" s="6"/>
      <c r="DC247" s="5"/>
      <c r="DD247" s="5"/>
      <c r="DE247" s="4"/>
      <c r="DF247" s="6"/>
      <c r="DG247" s="4"/>
      <c r="DH247" s="6"/>
      <c r="DI247" s="5"/>
      <c r="DJ247" s="5"/>
      <c r="DK247" s="4"/>
      <c r="DL247" s="6"/>
      <c r="DM247" s="4">
        <v>1</v>
      </c>
      <c r="DN247" s="6">
        <v>47.69</v>
      </c>
      <c r="DO247" s="5"/>
      <c r="DP247" s="5"/>
      <c r="DQ247" s="4"/>
      <c r="DR247" s="6"/>
      <c r="DS247" s="4"/>
      <c r="DT247" s="6"/>
      <c r="DU247" s="5"/>
      <c r="DV247" s="5"/>
      <c r="DW247" s="4"/>
      <c r="DX247" s="6"/>
      <c r="DY247" s="4"/>
      <c r="DZ247" s="6"/>
      <c r="EA247" s="5"/>
      <c r="EB247" s="5"/>
      <c r="EC247" s="4"/>
      <c r="ED247" s="6"/>
      <c r="EE247" s="4"/>
      <c r="EF247" s="6"/>
      <c r="EG247" s="5"/>
      <c r="EH247" s="5"/>
      <c r="EI247" s="4"/>
      <c r="EJ247" s="6"/>
      <c r="EK247" s="4"/>
      <c r="EL247" s="6"/>
      <c r="EM247" s="5"/>
      <c r="EN247" s="5"/>
      <c r="EO247" s="4"/>
      <c r="EP247" s="6"/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>
        <v>1</v>
      </c>
      <c r="FV247" s="6">
        <v>19.12</v>
      </c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  <c r="IA247" s="4"/>
      <c r="IB247" s="6"/>
      <c r="IC247" s="4"/>
      <c r="ID247" s="6"/>
      <c r="IE247" s="5"/>
      <c r="IF247" s="5"/>
      <c r="IG247" s="4"/>
      <c r="IH247" s="6"/>
      <c r="II247" s="4"/>
      <c r="IJ247" s="6"/>
      <c r="IK247" s="5"/>
      <c r="IL247" s="5"/>
      <c r="IM247" s="4"/>
      <c r="IN247" s="6"/>
      <c r="IO247" s="4"/>
      <c r="IP247" s="6"/>
      <c r="IQ247" s="5"/>
      <c r="IR247" s="5"/>
      <c r="IS247" s="4"/>
      <c r="IT247" s="6"/>
      <c r="IU247" s="4"/>
      <c r="IV247" s="6"/>
      <c r="IW247" s="5"/>
      <c r="IX247" s="5"/>
      <c r="IY247" s="4"/>
      <c r="IZ247" s="6"/>
      <c r="JA247" s="4"/>
      <c r="JB247" s="6"/>
      <c r="JC247" s="5"/>
      <c r="JD247" s="5"/>
      <c r="JE247" s="4"/>
      <c r="JF247" s="6"/>
      <c r="JG247" s="4"/>
      <c r="JH247" s="6"/>
      <c r="JI247" s="5"/>
      <c r="JJ247" s="5"/>
      <c r="JK247" s="4">
        <v>357</v>
      </c>
      <c r="JL247" s="4"/>
      <c r="JM247" s="4"/>
      <c r="JN247" s="4"/>
      <c r="JO247" s="4"/>
      <c r="JP247" s="4"/>
      <c r="JQ247" s="4"/>
      <c r="JR247" s="4"/>
      <c r="JS247" s="4"/>
      <c r="JT247" s="4"/>
      <c r="JU247" s="4"/>
      <c r="JV247" s="4"/>
      <c r="JW247" s="4"/>
      <c r="JX247" s="4"/>
      <c r="JY247" s="4"/>
      <c r="JZ247" s="4"/>
      <c r="KA247" s="4"/>
      <c r="KB247" s="4"/>
      <c r="KC247" s="4"/>
      <c r="KD247" s="4"/>
      <c r="KE247" s="4"/>
      <c r="KF247" s="4"/>
      <c r="KG247" s="4"/>
      <c r="KH247" s="4"/>
      <c r="KI247" s="4"/>
      <c r="KJ247" s="4"/>
      <c r="KK247" s="4"/>
      <c r="KL247" s="4"/>
      <c r="KM247" s="4"/>
      <c r="KN247" s="4"/>
      <c r="KO247" s="4"/>
      <c r="KP247" s="4"/>
      <c r="KQ247" s="4"/>
      <c r="KR247" s="4"/>
      <c r="KS247" s="4"/>
      <c r="KT247" s="4"/>
      <c r="KU247" s="4"/>
      <c r="KV247" s="4"/>
      <c r="KW247" s="4"/>
      <c r="KX247" s="4"/>
      <c r="KY247" s="4"/>
      <c r="KZ247" s="4"/>
      <c r="LA247" s="4"/>
      <c r="LB247" s="4"/>
      <c r="LC247" s="4"/>
      <c r="LD247" s="4"/>
      <c r="LE247" s="4"/>
      <c r="LF247" s="4"/>
      <c r="LG247" s="4"/>
      <c r="LH247" s="4"/>
      <c r="LI247" s="4"/>
      <c r="LJ247" s="4"/>
      <c r="LK247" s="4"/>
      <c r="LL247" s="4"/>
      <c r="LM247" s="4"/>
    </row>
    <row r="248">
      <c r="A248" s="3" t="s">
        <v>136</v>
      </c>
      <c r="B248" s="3" t="s">
        <v>181</v>
      </c>
      <c r="C248" s="3" t="s">
        <v>138</v>
      </c>
      <c r="D248" s="3" t="s">
        <v>139</v>
      </c>
      <c r="E248" s="3" t="s">
        <v>185</v>
      </c>
      <c r="F248" s="3" t="s">
        <v>185</v>
      </c>
      <c r="G248" s="3" t="s">
        <v>185</v>
      </c>
      <c r="H248" s="3" t="s">
        <v>167</v>
      </c>
      <c r="I248" s="3" t="s">
        <v>331</v>
      </c>
      <c r="J248" s="3" t="s">
        <v>226</v>
      </c>
      <c r="K248" s="4">
        <v>3</v>
      </c>
      <c r="L248" s="4">
        <f>=ROUNDDOWN(0.0294117647058824,0)</f>
      </c>
      <c r="M248" s="4">
        <v>1011</v>
      </c>
      <c r="N248" s="5">
        <v>0.1825</v>
      </c>
      <c r="O248" s="4"/>
      <c r="P248" s="4">
        <f>=ROUNDDOWN({0},0)</f>
      </c>
      <c r="Q248" s="4"/>
      <c r="R248" s="5"/>
      <c r="S248" s="4">
        <v>112</v>
      </c>
      <c r="T248" s="6">
        <v>1965.71</v>
      </c>
      <c r="U248" s="4">
        <v>207</v>
      </c>
      <c r="V248" s="6">
        <v>4620.98</v>
      </c>
      <c r="W248" s="5">
        <v>-0.4589</v>
      </c>
      <c r="X248" s="5">
        <v>-0.5746</v>
      </c>
      <c r="Y248" s="4">
        <v>14</v>
      </c>
      <c r="Z248" s="6">
        <v>253.61</v>
      </c>
      <c r="AA248" s="4">
        <v>15</v>
      </c>
      <c r="AB248" s="6">
        <v>336.45</v>
      </c>
      <c r="AC248" s="5">
        <v>-0.0667</v>
      </c>
      <c r="AD248" s="5">
        <v>-0.2462</v>
      </c>
      <c r="AE248" s="4">
        <v>2</v>
      </c>
      <c r="AF248" s="6">
        <v>34.42</v>
      </c>
      <c r="AG248" s="4"/>
      <c r="AH248" s="6"/>
      <c r="AI248" s="5"/>
      <c r="AJ248" s="5"/>
      <c r="AK248" s="4"/>
      <c r="AL248" s="6"/>
      <c r="AM248" s="4"/>
      <c r="AN248" s="6"/>
      <c r="AO248" s="5"/>
      <c r="AP248" s="5"/>
      <c r="AQ248" s="4">
        <v>41</v>
      </c>
      <c r="AR248" s="6">
        <v>742.51</v>
      </c>
      <c r="AS248" s="4">
        <v>43</v>
      </c>
      <c r="AT248" s="6">
        <v>1006.2</v>
      </c>
      <c r="AU248" s="5">
        <v>-0.0465</v>
      </c>
      <c r="AV248" s="5">
        <v>-0.2621</v>
      </c>
      <c r="AW248" s="4">
        <v>5</v>
      </c>
      <c r="AX248" s="6">
        <v>83.18</v>
      </c>
      <c r="AY248" s="4">
        <v>20</v>
      </c>
      <c r="AZ248" s="6">
        <v>489.76</v>
      </c>
      <c r="BA248" s="5">
        <v>-0.75</v>
      </c>
      <c r="BB248" s="5">
        <v>-0.8302</v>
      </c>
      <c r="BC248" s="4">
        <v>21</v>
      </c>
      <c r="BD248" s="6">
        <v>373.56</v>
      </c>
      <c r="BE248" s="4">
        <v>59</v>
      </c>
      <c r="BF248" s="6">
        <v>1293.81</v>
      </c>
      <c r="BG248" s="5">
        <v>-0.6441</v>
      </c>
      <c r="BH248" s="5">
        <v>-0.7113</v>
      </c>
      <c r="BI248" s="4">
        <v>4</v>
      </c>
      <c r="BJ248" s="6">
        <v>65.2</v>
      </c>
      <c r="BK248" s="4">
        <v>8</v>
      </c>
      <c r="BL248" s="6">
        <v>192.39</v>
      </c>
      <c r="BM248" s="5">
        <v>-0.5</v>
      </c>
      <c r="BN248" s="5">
        <v>-0.6611</v>
      </c>
      <c r="BO248" s="4"/>
      <c r="BP248" s="6"/>
      <c r="BQ248" s="4">
        <v>2</v>
      </c>
      <c r="BR248" s="6">
        <v>49.62</v>
      </c>
      <c r="BS248" s="5"/>
      <c r="BT248" s="5"/>
      <c r="BU248" s="4">
        <v>3</v>
      </c>
      <c r="BV248" s="6">
        <v>49.62</v>
      </c>
      <c r="BW248" s="4">
        <v>2</v>
      </c>
      <c r="BX248" s="6">
        <v>36.48</v>
      </c>
      <c r="BY248" s="5">
        <v>0.5</v>
      </c>
      <c r="BZ248" s="5">
        <v>0.3602</v>
      </c>
      <c r="CA248" s="4"/>
      <c r="CB248" s="6"/>
      <c r="CC248" s="4">
        <v>3</v>
      </c>
      <c r="CD248" s="6">
        <v>59.55</v>
      </c>
      <c r="CE248" s="5"/>
      <c r="CF248" s="5"/>
      <c r="CG248" s="4">
        <v>8</v>
      </c>
      <c r="CH248" s="6">
        <v>142.54</v>
      </c>
      <c r="CI248" s="4">
        <v>34</v>
      </c>
      <c r="CJ248" s="6">
        <v>602.48</v>
      </c>
      <c r="CK248" s="5">
        <v>-0.7647</v>
      </c>
      <c r="CL248" s="5">
        <v>-0.7634</v>
      </c>
      <c r="CM248" s="4"/>
      <c r="CN248" s="6"/>
      <c r="CO248" s="4"/>
      <c r="CP248" s="6"/>
      <c r="CQ248" s="5"/>
      <c r="CR248" s="5"/>
      <c r="CS248" s="4"/>
      <c r="CT248" s="6"/>
      <c r="CU248" s="4"/>
      <c r="CV248" s="6"/>
      <c r="CW248" s="5"/>
      <c r="CX248" s="5"/>
      <c r="CY248" s="4">
        <v>13</v>
      </c>
      <c r="CZ248" s="6">
        <v>203.49</v>
      </c>
      <c r="DA248" s="4"/>
      <c r="DB248" s="6"/>
      <c r="DC248" s="5"/>
      <c r="DD248" s="5"/>
      <c r="DE248" s="4"/>
      <c r="DF248" s="6"/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>
        <v>1</v>
      </c>
      <c r="DR248" s="6">
        <v>17.58</v>
      </c>
      <c r="DS248" s="4">
        <v>19</v>
      </c>
      <c r="DT248" s="6">
        <v>502.13</v>
      </c>
      <c r="DU248" s="5">
        <v>-0.9474</v>
      </c>
      <c r="DV248" s="5">
        <v>-0.965</v>
      </c>
      <c r="DW248" s="4"/>
      <c r="DX248" s="6"/>
      <c r="DY248" s="4"/>
      <c r="DZ248" s="6"/>
      <c r="EA248" s="5"/>
      <c r="EB248" s="5"/>
      <c r="EC248" s="4"/>
      <c r="ED248" s="6"/>
      <c r="EE248" s="4"/>
      <c r="EF248" s="6"/>
      <c r="EG248" s="5"/>
      <c r="EH248" s="5"/>
      <c r="EI248" s="4"/>
      <c r="EJ248" s="6"/>
      <c r="EK248" s="4"/>
      <c r="EL248" s="6"/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>
        <v>1</v>
      </c>
      <c r="FV248" s="6">
        <v>27.3</v>
      </c>
      <c r="FW248" s="5"/>
      <c r="FX248" s="5"/>
      <c r="FY248" s="4"/>
      <c r="FZ248" s="6"/>
      <c r="GA248" s="4">
        <v>1</v>
      </c>
      <c r="GB248" s="6">
        <v>24.81</v>
      </c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  <c r="IA248" s="4"/>
      <c r="IB248" s="6"/>
      <c r="IC248" s="4"/>
      <c r="ID248" s="6"/>
      <c r="IE248" s="5"/>
      <c r="IF248" s="5"/>
      <c r="IG248" s="4"/>
      <c r="IH248" s="6"/>
      <c r="II248" s="4"/>
      <c r="IJ248" s="6"/>
      <c r="IK248" s="5"/>
      <c r="IL248" s="5"/>
      <c r="IM248" s="4"/>
      <c r="IN248" s="6"/>
      <c r="IO248" s="4"/>
      <c r="IP248" s="6"/>
      <c r="IQ248" s="5"/>
      <c r="IR248" s="5"/>
      <c r="IS248" s="4"/>
      <c r="IT248" s="6"/>
      <c r="IU248" s="4"/>
      <c r="IV248" s="6"/>
      <c r="IW248" s="5"/>
      <c r="IX248" s="5"/>
      <c r="IY248" s="4"/>
      <c r="IZ248" s="6"/>
      <c r="JA248" s="4"/>
      <c r="JB248" s="6"/>
      <c r="JC248" s="5"/>
      <c r="JD248" s="5"/>
      <c r="JE248" s="4"/>
      <c r="JF248" s="6"/>
      <c r="JG248" s="4"/>
      <c r="JH248" s="6"/>
      <c r="JI248" s="5"/>
      <c r="JJ248" s="5"/>
      <c r="JK248" s="4">
        <v>3</v>
      </c>
      <c r="JL248" s="4"/>
      <c r="JM248" s="4"/>
      <c r="JN248" s="4"/>
      <c r="JO248" s="4"/>
      <c r="JP248" s="4"/>
      <c r="JQ248" s="4"/>
      <c r="JR248" s="4"/>
      <c r="JS248" s="4"/>
      <c r="JT248" s="4"/>
      <c r="JU248" s="4"/>
      <c r="JV248" s="4"/>
      <c r="JW248" s="4"/>
      <c r="JX248" s="4"/>
      <c r="JY248" s="4"/>
      <c r="JZ248" s="4"/>
      <c r="KA248" s="4"/>
      <c r="KB248" s="4"/>
      <c r="KC248" s="4"/>
      <c r="KD248" s="4"/>
      <c r="KE248" s="4"/>
      <c r="KF248" s="4"/>
      <c r="KG248" s="4"/>
      <c r="KH248" s="4"/>
      <c r="KI248" s="4"/>
      <c r="KJ248" s="4"/>
      <c r="KK248" s="4"/>
      <c r="KL248" s="4"/>
      <c r="KM248" s="4"/>
      <c r="KN248" s="4"/>
      <c r="KO248" s="4"/>
      <c r="KP248" s="4"/>
      <c r="KQ248" s="4"/>
      <c r="KR248" s="4"/>
      <c r="KS248" s="4"/>
      <c r="KT248" s="4"/>
      <c r="KU248" s="4"/>
      <c r="KV248" s="4"/>
      <c r="KW248" s="4"/>
      <c r="KX248" s="4"/>
      <c r="KY248" s="4"/>
      <c r="KZ248" s="4"/>
      <c r="LA248" s="4"/>
      <c r="LB248" s="4"/>
      <c r="LC248" s="4"/>
      <c r="LD248" s="4"/>
      <c r="LE248" s="4">
        <v>1011</v>
      </c>
      <c r="LF248" s="4"/>
      <c r="LG248" s="4"/>
      <c r="LH248" s="4"/>
      <c r="LI248" s="4"/>
      <c r="LJ248" s="4"/>
      <c r="LK248" s="4"/>
      <c r="LL248" s="4"/>
      <c r="LM248" s="4"/>
    </row>
    <row r="249">
      <c r="A249" s="3" t="s">
        <v>136</v>
      </c>
      <c r="B249" s="3" t="s">
        <v>181</v>
      </c>
      <c r="C249" s="3" t="s">
        <v>138</v>
      </c>
      <c r="D249" s="3" t="s">
        <v>139</v>
      </c>
      <c r="E249" s="3" t="s">
        <v>185</v>
      </c>
      <c r="F249" s="3" t="s">
        <v>185</v>
      </c>
      <c r="G249" s="3" t="s">
        <v>185</v>
      </c>
      <c r="H249" s="3" t="s">
        <v>167</v>
      </c>
      <c r="I249" s="3" t="s">
        <v>332</v>
      </c>
      <c r="J249" s="3" t="s">
        <v>228</v>
      </c>
      <c r="K249" s="4">
        <v>10</v>
      </c>
      <c r="L249" s="4">
        <f>=ROUNDDOWN(0.151515151515152,0)</f>
      </c>
      <c r="M249" s="4">
        <v>664</v>
      </c>
      <c r="N249" s="5">
        <v>0.2779</v>
      </c>
      <c r="O249" s="4"/>
      <c r="P249" s="4">
        <f>=ROUNDDOWN({0},0)</f>
      </c>
      <c r="Q249" s="4"/>
      <c r="R249" s="5"/>
      <c r="S249" s="4">
        <v>92</v>
      </c>
      <c r="T249" s="6">
        <v>1779.32</v>
      </c>
      <c r="U249" s="4">
        <v>242</v>
      </c>
      <c r="V249" s="6">
        <v>5499.41</v>
      </c>
      <c r="W249" s="5">
        <v>-0.6198</v>
      </c>
      <c r="X249" s="5">
        <v>-0.6765</v>
      </c>
      <c r="Y249" s="4">
        <v>19</v>
      </c>
      <c r="Z249" s="6">
        <v>345.61</v>
      </c>
      <c r="AA249" s="4">
        <v>27</v>
      </c>
      <c r="AB249" s="6">
        <v>627.03</v>
      </c>
      <c r="AC249" s="5">
        <v>-0.2963</v>
      </c>
      <c r="AD249" s="5">
        <v>-0.4488</v>
      </c>
      <c r="AE249" s="4">
        <v>7</v>
      </c>
      <c r="AF249" s="6">
        <v>128.8</v>
      </c>
      <c r="AG249" s="4">
        <v>4</v>
      </c>
      <c r="AH249" s="6">
        <v>93.18</v>
      </c>
      <c r="AI249" s="5">
        <v>0.75</v>
      </c>
      <c r="AJ249" s="5">
        <v>0.3823</v>
      </c>
      <c r="AK249" s="4"/>
      <c r="AL249" s="6"/>
      <c r="AM249" s="4"/>
      <c r="AN249" s="6"/>
      <c r="AO249" s="5"/>
      <c r="AP249" s="5"/>
      <c r="AQ249" s="4"/>
      <c r="AR249" s="6"/>
      <c r="AS249" s="4"/>
      <c r="AT249" s="6"/>
      <c r="AU249" s="5"/>
      <c r="AV249" s="5"/>
      <c r="AW249" s="4">
        <v>2</v>
      </c>
      <c r="AX249" s="6">
        <v>33.56</v>
      </c>
      <c r="AY249" s="4">
        <v>14</v>
      </c>
      <c r="AZ249" s="6">
        <v>330.85</v>
      </c>
      <c r="BA249" s="5">
        <v>-0.8571</v>
      </c>
      <c r="BB249" s="5">
        <v>-0.8986</v>
      </c>
      <c r="BC249" s="4">
        <v>19</v>
      </c>
      <c r="BD249" s="6">
        <v>355.41</v>
      </c>
      <c r="BE249" s="4">
        <v>70</v>
      </c>
      <c r="BF249" s="6">
        <v>1701.01</v>
      </c>
      <c r="BG249" s="5">
        <v>-0.7286</v>
      </c>
      <c r="BH249" s="5">
        <v>-0.7911</v>
      </c>
      <c r="BI249" s="4">
        <v>4</v>
      </c>
      <c r="BJ249" s="6">
        <v>65.2</v>
      </c>
      <c r="BK249" s="4">
        <v>25</v>
      </c>
      <c r="BL249" s="6">
        <v>575.17</v>
      </c>
      <c r="BM249" s="5">
        <v>-0.84</v>
      </c>
      <c r="BN249" s="5">
        <v>-0.8866</v>
      </c>
      <c r="BO249" s="4">
        <v>6</v>
      </c>
      <c r="BP249" s="6">
        <v>112.69</v>
      </c>
      <c r="BQ249" s="4">
        <v>26</v>
      </c>
      <c r="BR249" s="6">
        <v>529.12</v>
      </c>
      <c r="BS249" s="5">
        <v>-0.7692</v>
      </c>
      <c r="BT249" s="5">
        <v>-0.787</v>
      </c>
      <c r="BU249" s="4">
        <v>2</v>
      </c>
      <c r="BV249" s="6">
        <v>40.23</v>
      </c>
      <c r="BW249" s="4"/>
      <c r="BX249" s="6"/>
      <c r="BY249" s="5"/>
      <c r="BZ249" s="5"/>
      <c r="CA249" s="4"/>
      <c r="CB249" s="6"/>
      <c r="CC249" s="4"/>
      <c r="CD249" s="6"/>
      <c r="CE249" s="5"/>
      <c r="CF249" s="5"/>
      <c r="CG249" s="4">
        <v>28</v>
      </c>
      <c r="CH249" s="6">
        <v>546.77</v>
      </c>
      <c r="CI249" s="4">
        <v>72</v>
      </c>
      <c r="CJ249" s="6">
        <v>1524.07</v>
      </c>
      <c r="CK249" s="5">
        <v>-0.6111</v>
      </c>
      <c r="CL249" s="5">
        <v>-0.6412</v>
      </c>
      <c r="CM249" s="4"/>
      <c r="CN249" s="6"/>
      <c r="CO249" s="4"/>
      <c r="CP249" s="6"/>
      <c r="CQ249" s="5"/>
      <c r="CR249" s="5"/>
      <c r="CS249" s="4">
        <v>2</v>
      </c>
      <c r="CT249" s="6">
        <v>40.08</v>
      </c>
      <c r="CU249" s="4"/>
      <c r="CV249" s="6"/>
      <c r="CW249" s="5"/>
      <c r="CX249" s="5"/>
      <c r="CY249" s="4"/>
      <c r="CZ249" s="6"/>
      <c r="DA249" s="4"/>
      <c r="DB249" s="6"/>
      <c r="DC249" s="5"/>
      <c r="DD249" s="5"/>
      <c r="DE249" s="4"/>
      <c r="DF249" s="6"/>
      <c r="DG249" s="4"/>
      <c r="DH249" s="6"/>
      <c r="DI249" s="5"/>
      <c r="DJ249" s="5"/>
      <c r="DK249" s="4">
        <v>3</v>
      </c>
      <c r="DL249" s="6">
        <v>110.97</v>
      </c>
      <c r="DM249" s="4">
        <v>1</v>
      </c>
      <c r="DN249" s="6">
        <v>47.99</v>
      </c>
      <c r="DO249" s="5">
        <v>2</v>
      </c>
      <c r="DP249" s="5">
        <v>1.3124</v>
      </c>
      <c r="DQ249" s="4"/>
      <c r="DR249" s="6"/>
      <c r="DS249" s="4"/>
      <c r="DT249" s="6"/>
      <c r="DU249" s="5"/>
      <c r="DV249" s="5"/>
      <c r="DW249" s="4"/>
      <c r="DX249" s="6"/>
      <c r="DY249" s="4"/>
      <c r="DZ249" s="6"/>
      <c r="EA249" s="5"/>
      <c r="EB249" s="5"/>
      <c r="EC249" s="4"/>
      <c r="ED249" s="6"/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/>
      <c r="EP249" s="6"/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>
        <v>3</v>
      </c>
      <c r="FV249" s="6">
        <v>70.99</v>
      </c>
      <c r="FW249" s="5"/>
      <c r="FX249" s="5"/>
      <c r="FY249" s="4"/>
      <c r="FZ249" s="6"/>
      <c r="GA249" s="4"/>
      <c r="GB249" s="6"/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  <c r="IA249" s="4"/>
      <c r="IB249" s="6"/>
      <c r="IC249" s="4"/>
      <c r="ID249" s="6"/>
      <c r="IE249" s="5"/>
      <c r="IF249" s="5"/>
      <c r="IG249" s="4"/>
      <c r="IH249" s="6"/>
      <c r="II249" s="4"/>
      <c r="IJ249" s="6"/>
      <c r="IK249" s="5"/>
      <c r="IL249" s="5"/>
      <c r="IM249" s="4"/>
      <c r="IN249" s="6"/>
      <c r="IO249" s="4"/>
      <c r="IP249" s="6"/>
      <c r="IQ249" s="5"/>
      <c r="IR249" s="5"/>
      <c r="IS249" s="4"/>
      <c r="IT249" s="6"/>
      <c r="IU249" s="4"/>
      <c r="IV249" s="6"/>
      <c r="IW249" s="5"/>
      <c r="IX249" s="5"/>
      <c r="IY249" s="4"/>
      <c r="IZ249" s="6"/>
      <c r="JA249" s="4"/>
      <c r="JB249" s="6"/>
      <c r="JC249" s="5"/>
      <c r="JD249" s="5"/>
      <c r="JE249" s="4"/>
      <c r="JF249" s="6"/>
      <c r="JG249" s="4"/>
      <c r="JH249" s="6"/>
      <c r="JI249" s="5"/>
      <c r="JJ249" s="5"/>
      <c r="JK249" s="4">
        <v>10</v>
      </c>
      <c r="JL249" s="4"/>
      <c r="JM249" s="4"/>
      <c r="JN249" s="4"/>
      <c r="JO249" s="4"/>
      <c r="JP249" s="4"/>
      <c r="JQ249" s="4"/>
      <c r="JR249" s="4"/>
      <c r="JS249" s="4"/>
      <c r="JT249" s="4"/>
      <c r="JU249" s="4"/>
      <c r="JV249" s="4"/>
      <c r="JW249" s="4"/>
      <c r="JX249" s="4"/>
      <c r="JY249" s="4"/>
      <c r="JZ249" s="4"/>
      <c r="KA249" s="4"/>
      <c r="KB249" s="4"/>
      <c r="KC249" s="4"/>
      <c r="KD249" s="4"/>
      <c r="KE249" s="4"/>
      <c r="KF249" s="4"/>
      <c r="KG249" s="4"/>
      <c r="KH249" s="4"/>
      <c r="KI249" s="4"/>
      <c r="KJ249" s="4"/>
      <c r="KK249" s="4"/>
      <c r="KL249" s="4"/>
      <c r="KM249" s="4"/>
      <c r="KN249" s="4"/>
      <c r="KO249" s="4"/>
      <c r="KP249" s="4"/>
      <c r="KQ249" s="4"/>
      <c r="KR249" s="4"/>
      <c r="KS249" s="4"/>
      <c r="KT249" s="4"/>
      <c r="KU249" s="4"/>
      <c r="KV249" s="4"/>
      <c r="KW249" s="4"/>
      <c r="KX249" s="4"/>
      <c r="KY249" s="4"/>
      <c r="KZ249" s="4"/>
      <c r="LA249" s="4"/>
      <c r="LB249" s="4"/>
      <c r="LC249" s="4"/>
      <c r="LD249" s="4"/>
      <c r="LE249" s="4">
        <v>664</v>
      </c>
      <c r="LF249" s="4"/>
      <c r="LG249" s="4"/>
      <c r="LH249" s="4"/>
      <c r="LI249" s="4"/>
      <c r="LJ249" s="4"/>
      <c r="LK249" s="4"/>
      <c r="LL249" s="4"/>
      <c r="LM249" s="4"/>
    </row>
    <row r="250">
      <c r="A250" s="3" t="s">
        <v>136</v>
      </c>
      <c r="B250" s="3" t="s">
        <v>181</v>
      </c>
      <c r="C250" s="3" t="s">
        <v>138</v>
      </c>
      <c r="D250" s="3" t="s">
        <v>139</v>
      </c>
      <c r="E250" s="3" t="s">
        <v>185</v>
      </c>
      <c r="F250" s="3" t="s">
        <v>185</v>
      </c>
      <c r="G250" s="3" t="s">
        <v>185</v>
      </c>
      <c r="H250" s="3" t="s">
        <v>167</v>
      </c>
      <c r="I250" s="3" t="s">
        <v>333</v>
      </c>
      <c r="J250" s="3" t="s">
        <v>228</v>
      </c>
      <c r="K250" s="4">
        <v>3</v>
      </c>
      <c r="L250" s="4">
        <f>=ROUNDDOWN(0.0681818181818182,0)</f>
      </c>
      <c r="M250" s="4">
        <v>450</v>
      </c>
      <c r="N250" s="5">
        <v>0.1457</v>
      </c>
      <c r="O250" s="4"/>
      <c r="P250" s="4">
        <f>=ROUNDDOWN({0},0)</f>
      </c>
      <c r="Q250" s="4"/>
      <c r="R250" s="5"/>
      <c r="S250" s="4">
        <v>85</v>
      </c>
      <c r="T250" s="6">
        <v>1723.3</v>
      </c>
      <c r="U250" s="4">
        <v>187</v>
      </c>
      <c r="V250" s="6">
        <v>4091.56</v>
      </c>
      <c r="W250" s="5">
        <v>-0.5455</v>
      </c>
      <c r="X250" s="5">
        <v>-0.5788</v>
      </c>
      <c r="Y250" s="4">
        <v>3</v>
      </c>
      <c r="Z250" s="6">
        <v>68.82</v>
      </c>
      <c r="AA250" s="4">
        <v>19</v>
      </c>
      <c r="AB250" s="6">
        <v>453.71</v>
      </c>
      <c r="AC250" s="5">
        <v>-0.8421</v>
      </c>
      <c r="AD250" s="5">
        <v>-0.8483</v>
      </c>
      <c r="AE250" s="4">
        <v>2</v>
      </c>
      <c r="AF250" s="6">
        <v>43.98</v>
      </c>
      <c r="AG250" s="4">
        <v>5</v>
      </c>
      <c r="AH250" s="6">
        <v>137.35</v>
      </c>
      <c r="AI250" s="5">
        <v>-0.6</v>
      </c>
      <c r="AJ250" s="5">
        <v>-0.6798</v>
      </c>
      <c r="AK250" s="4"/>
      <c r="AL250" s="6"/>
      <c r="AM250" s="4"/>
      <c r="AN250" s="6"/>
      <c r="AO250" s="5"/>
      <c r="AP250" s="5"/>
      <c r="AQ250" s="4">
        <v>36</v>
      </c>
      <c r="AR250" s="6">
        <v>628.92</v>
      </c>
      <c r="AS250" s="4">
        <v>110</v>
      </c>
      <c r="AT250" s="6">
        <v>2283.14</v>
      </c>
      <c r="AU250" s="5">
        <v>-0.6727</v>
      </c>
      <c r="AV250" s="5">
        <v>-0.7245</v>
      </c>
      <c r="AW250" s="4">
        <v>5</v>
      </c>
      <c r="AX250" s="6">
        <v>105.5</v>
      </c>
      <c r="AY250" s="4">
        <v>11</v>
      </c>
      <c r="AZ250" s="6">
        <v>278.74</v>
      </c>
      <c r="BA250" s="5">
        <v>-0.5455</v>
      </c>
      <c r="BB250" s="5">
        <v>-0.6215</v>
      </c>
      <c r="BC250" s="4"/>
      <c r="BD250" s="6"/>
      <c r="BE250" s="4"/>
      <c r="BF250" s="6"/>
      <c r="BG250" s="5"/>
      <c r="BH250" s="5"/>
      <c r="BI250" s="4">
        <v>1</v>
      </c>
      <c r="BJ250" s="6">
        <v>20.01</v>
      </c>
      <c r="BK250" s="4">
        <v>12</v>
      </c>
      <c r="BL250" s="6">
        <v>277.17</v>
      </c>
      <c r="BM250" s="5">
        <v>-0.9167</v>
      </c>
      <c r="BN250" s="5">
        <v>-0.9278</v>
      </c>
      <c r="BO250" s="4">
        <v>1</v>
      </c>
      <c r="BP250" s="6">
        <v>20.09</v>
      </c>
      <c r="BQ250" s="4">
        <v>1</v>
      </c>
      <c r="BR250" s="6">
        <v>24.81</v>
      </c>
      <c r="BS250" s="5"/>
      <c r="BT250" s="5">
        <v>-0.1902</v>
      </c>
      <c r="BU250" s="4">
        <v>1</v>
      </c>
      <c r="BV250" s="6">
        <v>21.09</v>
      </c>
      <c r="BW250" s="4">
        <v>4</v>
      </c>
      <c r="BX250" s="6">
        <v>88.58</v>
      </c>
      <c r="BY250" s="5">
        <v>-0.75</v>
      </c>
      <c r="BZ250" s="5">
        <v>-0.7619</v>
      </c>
      <c r="CA250" s="4"/>
      <c r="CB250" s="6"/>
      <c r="CC250" s="4">
        <v>10</v>
      </c>
      <c r="CD250" s="6">
        <v>223.26</v>
      </c>
      <c r="CE250" s="5"/>
      <c r="CF250" s="5"/>
      <c r="CG250" s="4">
        <v>33</v>
      </c>
      <c r="CH250" s="6">
        <v>733.26</v>
      </c>
      <c r="CI250" s="4">
        <v>10</v>
      </c>
      <c r="CJ250" s="6">
        <v>231.35</v>
      </c>
      <c r="CK250" s="5">
        <v>2.3</v>
      </c>
      <c r="CL250" s="5">
        <v>2.1695</v>
      </c>
      <c r="CM250" s="4"/>
      <c r="CN250" s="6"/>
      <c r="CO250" s="4"/>
      <c r="CP250" s="6"/>
      <c r="CQ250" s="5"/>
      <c r="CR250" s="5"/>
      <c r="CS250" s="4"/>
      <c r="CT250" s="6"/>
      <c r="CU250" s="4"/>
      <c r="CV250" s="6"/>
      <c r="CW250" s="5"/>
      <c r="CX250" s="5"/>
      <c r="CY250" s="4">
        <v>2</v>
      </c>
      <c r="CZ250" s="6">
        <v>38.64</v>
      </c>
      <c r="DA250" s="4">
        <v>4</v>
      </c>
      <c r="DB250" s="6">
        <v>68.88</v>
      </c>
      <c r="DC250" s="5">
        <v>-0.5</v>
      </c>
      <c r="DD250" s="5">
        <v>-0.439</v>
      </c>
      <c r="DE250" s="4"/>
      <c r="DF250" s="6"/>
      <c r="DG250" s="4"/>
      <c r="DH250" s="6"/>
      <c r="DI250" s="5"/>
      <c r="DJ250" s="5"/>
      <c r="DK250" s="4">
        <v>1</v>
      </c>
      <c r="DL250" s="6">
        <v>42.99</v>
      </c>
      <c r="DM250" s="4"/>
      <c r="DN250" s="6"/>
      <c r="DO250" s="5"/>
      <c r="DP250" s="5"/>
      <c r="DQ250" s="4"/>
      <c r="DR250" s="6"/>
      <c r="DS250" s="4"/>
      <c r="DT250" s="6"/>
      <c r="DU250" s="5"/>
      <c r="DV250" s="5"/>
      <c r="DW250" s="4"/>
      <c r="DX250" s="6"/>
      <c r="DY250" s="4"/>
      <c r="DZ250" s="6"/>
      <c r="EA250" s="5"/>
      <c r="EB250" s="5"/>
      <c r="EC250" s="4"/>
      <c r="ED250" s="6"/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/>
      <c r="EP250" s="6"/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>
        <v>1</v>
      </c>
      <c r="FV250" s="6">
        <v>24.57</v>
      </c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  <c r="IA250" s="4"/>
      <c r="IB250" s="6"/>
      <c r="IC250" s="4"/>
      <c r="ID250" s="6"/>
      <c r="IE250" s="5"/>
      <c r="IF250" s="5"/>
      <c r="IG250" s="4"/>
      <c r="IH250" s="6"/>
      <c r="II250" s="4"/>
      <c r="IJ250" s="6"/>
      <c r="IK250" s="5"/>
      <c r="IL250" s="5"/>
      <c r="IM250" s="4"/>
      <c r="IN250" s="6"/>
      <c r="IO250" s="4"/>
      <c r="IP250" s="6"/>
      <c r="IQ250" s="5"/>
      <c r="IR250" s="5"/>
      <c r="IS250" s="4"/>
      <c r="IT250" s="6"/>
      <c r="IU250" s="4"/>
      <c r="IV250" s="6"/>
      <c r="IW250" s="5"/>
      <c r="IX250" s="5"/>
      <c r="IY250" s="4"/>
      <c r="IZ250" s="6"/>
      <c r="JA250" s="4"/>
      <c r="JB250" s="6"/>
      <c r="JC250" s="5"/>
      <c r="JD250" s="5"/>
      <c r="JE250" s="4"/>
      <c r="JF250" s="6"/>
      <c r="JG250" s="4"/>
      <c r="JH250" s="6"/>
      <c r="JI250" s="5"/>
      <c r="JJ250" s="5"/>
      <c r="JK250" s="4">
        <v>3</v>
      </c>
      <c r="JL250" s="4"/>
      <c r="JM250" s="4"/>
      <c r="JN250" s="4"/>
      <c r="JO250" s="4"/>
      <c r="JP250" s="4"/>
      <c r="JQ250" s="4"/>
      <c r="JR250" s="4"/>
      <c r="JS250" s="4"/>
      <c r="JT250" s="4"/>
      <c r="JU250" s="4"/>
      <c r="JV250" s="4"/>
      <c r="JW250" s="4"/>
      <c r="JX250" s="4"/>
      <c r="JY250" s="4"/>
      <c r="JZ250" s="4"/>
      <c r="KA250" s="4"/>
      <c r="KB250" s="4"/>
      <c r="KC250" s="4"/>
      <c r="KD250" s="4"/>
      <c r="KE250" s="4"/>
      <c r="KF250" s="4"/>
      <c r="KG250" s="4"/>
      <c r="KH250" s="4"/>
      <c r="KI250" s="4"/>
      <c r="KJ250" s="4"/>
      <c r="KK250" s="4"/>
      <c r="KL250" s="4"/>
      <c r="KM250" s="4"/>
      <c r="KN250" s="4"/>
      <c r="KO250" s="4"/>
      <c r="KP250" s="4"/>
      <c r="KQ250" s="4"/>
      <c r="KR250" s="4"/>
      <c r="KS250" s="4"/>
      <c r="KT250" s="4"/>
      <c r="KU250" s="4"/>
      <c r="KV250" s="4"/>
      <c r="KW250" s="4"/>
      <c r="KX250" s="4"/>
      <c r="KY250" s="4"/>
      <c r="KZ250" s="4"/>
      <c r="LA250" s="4"/>
      <c r="LB250" s="4"/>
      <c r="LC250" s="4"/>
      <c r="LD250" s="4"/>
      <c r="LE250" s="4">
        <v>450</v>
      </c>
      <c r="LF250" s="4"/>
      <c r="LG250" s="4"/>
      <c r="LH250" s="4"/>
      <c r="LI250" s="4"/>
      <c r="LJ250" s="4"/>
      <c r="LK250" s="4"/>
      <c r="LL250" s="4"/>
      <c r="LM250" s="4"/>
    </row>
    <row r="251">
      <c r="A251" s="3" t="s">
        <v>136</v>
      </c>
      <c r="B251" s="3" t="s">
        <v>181</v>
      </c>
      <c r="C251" s="3" t="s">
        <v>138</v>
      </c>
      <c r="D251" s="3" t="s">
        <v>139</v>
      </c>
      <c r="E251" s="3" t="s">
        <v>185</v>
      </c>
      <c r="F251" s="3" t="s">
        <v>185</v>
      </c>
      <c r="G251" s="3" t="s">
        <v>185</v>
      </c>
      <c r="H251" s="3" t="s">
        <v>167</v>
      </c>
      <c r="I251" s="3" t="s">
        <v>334</v>
      </c>
      <c r="J251" s="3" t="s">
        <v>228</v>
      </c>
      <c r="K251" s="4">
        <v>1</v>
      </c>
      <c r="L251" s="4">
        <f>=ROUNDDOWN(0.0344827586206897,0)</f>
      </c>
      <c r="M251" s="4">
        <v>294</v>
      </c>
      <c r="N251" s="5">
        <v>0.022</v>
      </c>
      <c r="O251" s="4"/>
      <c r="P251" s="4">
        <f>=ROUNDDOWN({0},0)</f>
      </c>
      <c r="Q251" s="4"/>
      <c r="R251" s="5"/>
      <c r="S251" s="4">
        <v>4</v>
      </c>
      <c r="T251" s="6">
        <v>80.72</v>
      </c>
      <c r="U251" s="4">
        <v>23</v>
      </c>
      <c r="V251" s="6">
        <v>586.45</v>
      </c>
      <c r="W251" s="5">
        <v>-0.8261</v>
      </c>
      <c r="X251" s="5">
        <v>-0.8624</v>
      </c>
      <c r="Y251" s="4"/>
      <c r="Z251" s="6"/>
      <c r="AA251" s="4">
        <v>4</v>
      </c>
      <c r="AB251" s="6">
        <v>101.96</v>
      </c>
      <c r="AC251" s="5"/>
      <c r="AD251" s="5"/>
      <c r="AE251" s="4"/>
      <c r="AF251" s="6"/>
      <c r="AG251" s="4"/>
      <c r="AH251" s="6"/>
      <c r="AI251" s="5"/>
      <c r="AJ251" s="5"/>
      <c r="AK251" s="4"/>
      <c r="AL251" s="6"/>
      <c r="AM251" s="4"/>
      <c r="AN251" s="6"/>
      <c r="AO251" s="5"/>
      <c r="AP251" s="5"/>
      <c r="AQ251" s="4"/>
      <c r="AR251" s="6"/>
      <c r="AS251" s="4">
        <v>14</v>
      </c>
      <c r="AT251" s="6">
        <v>356.72</v>
      </c>
      <c r="AU251" s="5"/>
      <c r="AV251" s="5"/>
      <c r="AW251" s="4">
        <v>1</v>
      </c>
      <c r="AX251" s="6">
        <v>16.78</v>
      </c>
      <c r="AY251" s="4">
        <v>3</v>
      </c>
      <c r="AZ251" s="6">
        <v>78.15</v>
      </c>
      <c r="BA251" s="5">
        <v>-0.6667</v>
      </c>
      <c r="BB251" s="5">
        <v>-0.7853</v>
      </c>
      <c r="BC251" s="4"/>
      <c r="BD251" s="6"/>
      <c r="BE251" s="4"/>
      <c r="BF251" s="6"/>
      <c r="BG251" s="5"/>
      <c r="BH251" s="5"/>
      <c r="BI251" s="4"/>
      <c r="BJ251" s="6"/>
      <c r="BK251" s="4"/>
      <c r="BL251" s="6"/>
      <c r="BM251" s="5"/>
      <c r="BN251" s="5"/>
      <c r="BO251" s="4"/>
      <c r="BP251" s="6"/>
      <c r="BQ251" s="4">
        <v>2</v>
      </c>
      <c r="BR251" s="6">
        <v>49.62</v>
      </c>
      <c r="BS251" s="5"/>
      <c r="BT251" s="5"/>
      <c r="BU251" s="4"/>
      <c r="BV251" s="6"/>
      <c r="BW251" s="4"/>
      <c r="BX251" s="6"/>
      <c r="BY251" s="5"/>
      <c r="BZ251" s="5"/>
      <c r="CA251" s="4"/>
      <c r="CB251" s="6"/>
      <c r="CC251" s="4"/>
      <c r="CD251" s="6"/>
      <c r="CE251" s="5"/>
      <c r="CF251" s="5"/>
      <c r="CG251" s="4">
        <v>1</v>
      </c>
      <c r="CH251" s="6">
        <v>18.11</v>
      </c>
      <c r="CI251" s="4"/>
      <c r="CJ251" s="6"/>
      <c r="CK251" s="5"/>
      <c r="CL251" s="5"/>
      <c r="CM251" s="4"/>
      <c r="CN251" s="6"/>
      <c r="CO251" s="4"/>
      <c r="CP251" s="6"/>
      <c r="CQ251" s="5"/>
      <c r="CR251" s="5"/>
      <c r="CS251" s="4"/>
      <c r="CT251" s="6"/>
      <c r="CU251" s="4"/>
      <c r="CV251" s="6"/>
      <c r="CW251" s="5"/>
      <c r="CX251" s="5"/>
      <c r="CY251" s="4">
        <v>1</v>
      </c>
      <c r="CZ251" s="6">
        <v>15.75</v>
      </c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>
        <v>1</v>
      </c>
      <c r="DL251" s="6">
        <v>30.08</v>
      </c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/>
      <c r="DX251" s="6"/>
      <c r="DY251" s="4"/>
      <c r="DZ251" s="6"/>
      <c r="EA251" s="5"/>
      <c r="EB251" s="5"/>
      <c r="EC251" s="4"/>
      <c r="ED251" s="6"/>
      <c r="EE251" s="4"/>
      <c r="EF251" s="6"/>
      <c r="EG251" s="5"/>
      <c r="EH251" s="5"/>
      <c r="EI251" s="4"/>
      <c r="EJ251" s="6"/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/>
      <c r="FH251" s="6"/>
      <c r="FI251" s="4"/>
      <c r="FJ251" s="6"/>
      <c r="FK251" s="5"/>
      <c r="FL251" s="5"/>
      <c r="FM251" s="4"/>
      <c r="FN251" s="6"/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  <c r="IA251" s="4"/>
      <c r="IB251" s="6"/>
      <c r="IC251" s="4"/>
      <c r="ID251" s="6"/>
      <c r="IE251" s="5"/>
      <c r="IF251" s="5"/>
      <c r="IG251" s="4"/>
      <c r="IH251" s="6"/>
      <c r="II251" s="4"/>
      <c r="IJ251" s="6"/>
      <c r="IK251" s="5"/>
      <c r="IL251" s="5"/>
      <c r="IM251" s="4"/>
      <c r="IN251" s="6"/>
      <c r="IO251" s="4"/>
      <c r="IP251" s="6"/>
      <c r="IQ251" s="5"/>
      <c r="IR251" s="5"/>
      <c r="IS251" s="4"/>
      <c r="IT251" s="6"/>
      <c r="IU251" s="4"/>
      <c r="IV251" s="6"/>
      <c r="IW251" s="5"/>
      <c r="IX251" s="5"/>
      <c r="IY251" s="4"/>
      <c r="IZ251" s="6"/>
      <c r="JA251" s="4"/>
      <c r="JB251" s="6"/>
      <c r="JC251" s="5"/>
      <c r="JD251" s="5"/>
      <c r="JE251" s="4"/>
      <c r="JF251" s="6"/>
      <c r="JG251" s="4"/>
      <c r="JH251" s="6"/>
      <c r="JI251" s="5"/>
      <c r="JJ251" s="5"/>
      <c r="JK251" s="4">
        <v>1</v>
      </c>
      <c r="JL251" s="4"/>
      <c r="JM251" s="4"/>
      <c r="JN251" s="4"/>
      <c r="JO251" s="4"/>
      <c r="JP251" s="4"/>
      <c r="JQ251" s="4"/>
      <c r="JR251" s="4"/>
      <c r="JS251" s="4"/>
      <c r="JT251" s="4"/>
      <c r="JU251" s="4"/>
      <c r="JV251" s="4"/>
      <c r="JW251" s="4"/>
      <c r="JX251" s="4"/>
      <c r="JY251" s="4"/>
      <c r="JZ251" s="4"/>
      <c r="KA251" s="4"/>
      <c r="KB251" s="4"/>
      <c r="KC251" s="4"/>
      <c r="KD251" s="4"/>
      <c r="KE251" s="4"/>
      <c r="KF251" s="4"/>
      <c r="KG251" s="4"/>
      <c r="KH251" s="4"/>
      <c r="KI251" s="4"/>
      <c r="KJ251" s="4"/>
      <c r="KK251" s="4"/>
      <c r="KL251" s="4"/>
      <c r="KM251" s="4"/>
      <c r="KN251" s="4"/>
      <c r="KO251" s="4"/>
      <c r="KP251" s="4"/>
      <c r="KQ251" s="4"/>
      <c r="KR251" s="4"/>
      <c r="KS251" s="4"/>
      <c r="KT251" s="4"/>
      <c r="KU251" s="4"/>
      <c r="KV251" s="4"/>
      <c r="KW251" s="4"/>
      <c r="KX251" s="4"/>
      <c r="KY251" s="4"/>
      <c r="KZ251" s="4"/>
      <c r="LA251" s="4"/>
      <c r="LB251" s="4"/>
      <c r="LC251" s="4"/>
      <c r="LD251" s="4"/>
      <c r="LE251" s="4">
        <v>294</v>
      </c>
      <c r="LF251" s="4"/>
      <c r="LG251" s="4"/>
      <c r="LH251" s="4"/>
      <c r="LI251" s="4"/>
      <c r="LJ251" s="4"/>
      <c r="LK251" s="4"/>
      <c r="LL251" s="4"/>
      <c r="LM251" s="4"/>
    </row>
    <row r="252">
      <c r="A252" s="3" t="s">
        <v>136</v>
      </c>
      <c r="B252" s="3" t="s">
        <v>181</v>
      </c>
      <c r="C252" s="3" t="s">
        <v>138</v>
      </c>
      <c r="D252" s="3" t="s">
        <v>139</v>
      </c>
      <c r="E252" s="3" t="s">
        <v>185</v>
      </c>
      <c r="F252" s="3" t="s">
        <v>185</v>
      </c>
      <c r="G252" s="3" t="s">
        <v>185</v>
      </c>
      <c r="H252" s="3" t="s">
        <v>167</v>
      </c>
      <c r="I252" s="3" t="s">
        <v>335</v>
      </c>
      <c r="J252" s="3" t="s">
        <v>228</v>
      </c>
      <c r="K252" s="4">
        <v>1</v>
      </c>
      <c r="L252" s="4">
        <f>=ROUNDDOWN(0.0217391304347826,0)</f>
      </c>
      <c r="M252" s="4">
        <v>489</v>
      </c>
      <c r="N252" s="5">
        <v>0.011</v>
      </c>
      <c r="O252" s="4"/>
      <c r="P252" s="4">
        <f>=ROUNDDOWN({0},0)</f>
      </c>
      <c r="Q252" s="4"/>
      <c r="R252" s="5"/>
      <c r="S252" s="4">
        <v>4</v>
      </c>
      <c r="T252" s="6">
        <v>66.24</v>
      </c>
      <c r="U252" s="4">
        <v>246</v>
      </c>
      <c r="V252" s="6">
        <v>5520.18</v>
      </c>
      <c r="W252" s="5">
        <v>-0.9837</v>
      </c>
      <c r="X252" s="5">
        <v>-0.988</v>
      </c>
      <c r="Y252" s="4"/>
      <c r="Z252" s="6"/>
      <c r="AA252" s="4">
        <v>14</v>
      </c>
      <c r="AB252" s="6">
        <v>329.86</v>
      </c>
      <c r="AC252" s="5"/>
      <c r="AD252" s="5"/>
      <c r="AE252" s="4"/>
      <c r="AF252" s="6"/>
      <c r="AG252" s="4"/>
      <c r="AH252" s="6"/>
      <c r="AI252" s="5"/>
      <c r="AJ252" s="5"/>
      <c r="AK252" s="4"/>
      <c r="AL252" s="6"/>
      <c r="AM252" s="4"/>
      <c r="AN252" s="6"/>
      <c r="AO252" s="5"/>
      <c r="AP252" s="5"/>
      <c r="AQ252" s="4"/>
      <c r="AR252" s="6"/>
      <c r="AS252" s="4">
        <v>80</v>
      </c>
      <c r="AT252" s="6">
        <v>1819.41</v>
      </c>
      <c r="AU252" s="5"/>
      <c r="AV252" s="5"/>
      <c r="AW252" s="4">
        <v>1</v>
      </c>
      <c r="AX252" s="6">
        <v>16.78</v>
      </c>
      <c r="AY252" s="4">
        <v>2</v>
      </c>
      <c r="AZ252" s="6">
        <v>44.69</v>
      </c>
      <c r="BA252" s="5">
        <v>-0.5</v>
      </c>
      <c r="BB252" s="5">
        <v>-0.6245</v>
      </c>
      <c r="BC252" s="4">
        <v>1</v>
      </c>
      <c r="BD252" s="6">
        <v>17.96</v>
      </c>
      <c r="BE252" s="4">
        <v>75</v>
      </c>
      <c r="BF252" s="6">
        <v>1834.5</v>
      </c>
      <c r="BG252" s="5">
        <v>-0.9867</v>
      </c>
      <c r="BH252" s="5">
        <v>-0.9902</v>
      </c>
      <c r="BI252" s="4"/>
      <c r="BJ252" s="6"/>
      <c r="BK252" s="4">
        <v>4</v>
      </c>
      <c r="BL252" s="6">
        <v>84.08</v>
      </c>
      <c r="BM252" s="5"/>
      <c r="BN252" s="5"/>
      <c r="BO252" s="4"/>
      <c r="BP252" s="6"/>
      <c r="BQ252" s="4">
        <v>6</v>
      </c>
      <c r="BR252" s="6">
        <v>138.93</v>
      </c>
      <c r="BS252" s="5"/>
      <c r="BT252" s="5"/>
      <c r="BU252" s="4"/>
      <c r="BV252" s="6"/>
      <c r="BW252" s="4">
        <v>8</v>
      </c>
      <c r="BX252" s="6">
        <v>190.97</v>
      </c>
      <c r="BY252" s="5"/>
      <c r="BZ252" s="5"/>
      <c r="CA252" s="4"/>
      <c r="CB252" s="6"/>
      <c r="CC252" s="4">
        <v>1</v>
      </c>
      <c r="CD252" s="6">
        <v>24.81</v>
      </c>
      <c r="CE252" s="5"/>
      <c r="CF252" s="5"/>
      <c r="CG252" s="4"/>
      <c r="CH252" s="6"/>
      <c r="CI252" s="4">
        <v>14</v>
      </c>
      <c r="CJ252" s="6">
        <v>269.72</v>
      </c>
      <c r="CK252" s="5"/>
      <c r="CL252" s="5"/>
      <c r="CM252" s="4"/>
      <c r="CN252" s="6"/>
      <c r="CO252" s="4"/>
      <c r="CP252" s="6"/>
      <c r="CQ252" s="5"/>
      <c r="CR252" s="5"/>
      <c r="CS252" s="4"/>
      <c r="CT252" s="6"/>
      <c r="CU252" s="4"/>
      <c r="CV252" s="6"/>
      <c r="CW252" s="5"/>
      <c r="CX252" s="5"/>
      <c r="CY252" s="4">
        <v>2</v>
      </c>
      <c r="CZ252" s="6">
        <v>31.5</v>
      </c>
      <c r="DA252" s="4">
        <v>35</v>
      </c>
      <c r="DB252" s="6">
        <v>604.8</v>
      </c>
      <c r="DC252" s="5">
        <v>-0.9429</v>
      </c>
      <c r="DD252" s="5">
        <v>-0.9479</v>
      </c>
      <c r="DE252" s="4"/>
      <c r="DF252" s="6"/>
      <c r="DG252" s="4"/>
      <c r="DH252" s="6"/>
      <c r="DI252" s="5"/>
      <c r="DJ252" s="5"/>
      <c r="DK252" s="4"/>
      <c r="DL252" s="6"/>
      <c r="DM252" s="4"/>
      <c r="DN252" s="6"/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/>
      <c r="ED252" s="6"/>
      <c r="EE252" s="4"/>
      <c r="EF252" s="6"/>
      <c r="EG252" s="5"/>
      <c r="EH252" s="5"/>
      <c r="EI252" s="4"/>
      <c r="EJ252" s="6"/>
      <c r="EK252" s="4"/>
      <c r="EL252" s="6"/>
      <c r="EM252" s="5"/>
      <c r="EN252" s="5"/>
      <c r="EO252" s="4"/>
      <c r="EP252" s="6"/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>
        <v>4</v>
      </c>
      <c r="FV252" s="6">
        <v>106.47</v>
      </c>
      <c r="FW252" s="5"/>
      <c r="FX252" s="5"/>
      <c r="FY252" s="4"/>
      <c r="FZ252" s="6"/>
      <c r="GA252" s="4">
        <v>3</v>
      </c>
      <c r="GB252" s="6">
        <v>71.94</v>
      </c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  <c r="IA252" s="4"/>
      <c r="IB252" s="6"/>
      <c r="IC252" s="4"/>
      <c r="ID252" s="6"/>
      <c r="IE252" s="5"/>
      <c r="IF252" s="5"/>
      <c r="IG252" s="4"/>
      <c r="IH252" s="6"/>
      <c r="II252" s="4"/>
      <c r="IJ252" s="6"/>
      <c r="IK252" s="5"/>
      <c r="IL252" s="5"/>
      <c r="IM252" s="4"/>
      <c r="IN252" s="6"/>
      <c r="IO252" s="4"/>
      <c r="IP252" s="6"/>
      <c r="IQ252" s="5"/>
      <c r="IR252" s="5"/>
      <c r="IS252" s="4"/>
      <c r="IT252" s="6"/>
      <c r="IU252" s="4"/>
      <c r="IV252" s="6"/>
      <c r="IW252" s="5"/>
      <c r="IX252" s="5"/>
      <c r="IY252" s="4"/>
      <c r="IZ252" s="6"/>
      <c r="JA252" s="4"/>
      <c r="JB252" s="6"/>
      <c r="JC252" s="5"/>
      <c r="JD252" s="5"/>
      <c r="JE252" s="4"/>
      <c r="JF252" s="6"/>
      <c r="JG252" s="4"/>
      <c r="JH252" s="6"/>
      <c r="JI252" s="5"/>
      <c r="JJ252" s="5"/>
      <c r="JK252" s="4">
        <v>1</v>
      </c>
      <c r="JL252" s="4"/>
      <c r="JM252" s="4"/>
      <c r="JN252" s="4"/>
      <c r="JO252" s="4"/>
      <c r="JP252" s="4"/>
      <c r="JQ252" s="4"/>
      <c r="JR252" s="4"/>
      <c r="JS252" s="4"/>
      <c r="JT252" s="4"/>
      <c r="JU252" s="4"/>
      <c r="JV252" s="4"/>
      <c r="JW252" s="4"/>
      <c r="JX252" s="4"/>
      <c r="JY252" s="4"/>
      <c r="JZ252" s="4"/>
      <c r="KA252" s="4"/>
      <c r="KB252" s="4"/>
      <c r="KC252" s="4"/>
      <c r="KD252" s="4"/>
      <c r="KE252" s="4"/>
      <c r="KF252" s="4"/>
      <c r="KG252" s="4"/>
      <c r="KH252" s="4"/>
      <c r="KI252" s="4"/>
      <c r="KJ252" s="4"/>
      <c r="KK252" s="4"/>
      <c r="KL252" s="4"/>
      <c r="KM252" s="4"/>
      <c r="KN252" s="4"/>
      <c r="KO252" s="4"/>
      <c r="KP252" s="4"/>
      <c r="KQ252" s="4"/>
      <c r="KR252" s="4"/>
      <c r="KS252" s="4"/>
      <c r="KT252" s="4"/>
      <c r="KU252" s="4"/>
      <c r="KV252" s="4"/>
      <c r="KW252" s="4"/>
      <c r="KX252" s="4"/>
      <c r="KY252" s="4"/>
      <c r="KZ252" s="4"/>
      <c r="LA252" s="4"/>
      <c r="LB252" s="4"/>
      <c r="LC252" s="4"/>
      <c r="LD252" s="4"/>
      <c r="LE252" s="4">
        <v>489</v>
      </c>
      <c r="LF252" s="4"/>
      <c r="LG252" s="4"/>
      <c r="LH252" s="4"/>
      <c r="LI252" s="4"/>
      <c r="LJ252" s="4"/>
      <c r="LK252" s="4"/>
      <c r="LL252" s="4"/>
      <c r="LM252" s="4"/>
    </row>
    <row r="253">
      <c r="A253" s="3" t="s">
        <v>136</v>
      </c>
      <c r="B253" s="3" t="s">
        <v>181</v>
      </c>
      <c r="C253" s="3" t="s">
        <v>138</v>
      </c>
      <c r="D253" s="3" t="s">
        <v>139</v>
      </c>
      <c r="E253" s="3" t="s">
        <v>185</v>
      </c>
      <c r="F253" s="3" t="s">
        <v>185</v>
      </c>
      <c r="G253" s="3" t="s">
        <v>185</v>
      </c>
      <c r="H253" s="3" t="s">
        <v>167</v>
      </c>
      <c r="I253" s="3" t="s">
        <v>336</v>
      </c>
      <c r="J253" s="3" t="s">
        <v>228</v>
      </c>
      <c r="K253" s="4">
        <v>5</v>
      </c>
      <c r="L253" s="4">
        <f>=ROUNDDOWN(0.131578947368421,0)</f>
      </c>
      <c r="M253" s="4">
        <v>388</v>
      </c>
      <c r="N253" s="5">
        <v>0.022</v>
      </c>
      <c r="O253" s="4"/>
      <c r="P253" s="4">
        <f>=ROUNDDOWN({0},0)</f>
      </c>
      <c r="Q253" s="4"/>
      <c r="R253" s="5"/>
      <c r="S253" s="4">
        <v>3</v>
      </c>
      <c r="T253" s="6">
        <v>58.55</v>
      </c>
      <c r="U253" s="4"/>
      <c r="V253" s="6"/>
      <c r="W253" s="5"/>
      <c r="X253" s="5"/>
      <c r="Y253" s="4"/>
      <c r="Z253" s="6"/>
      <c r="AA253" s="4"/>
      <c r="AB253" s="6"/>
      <c r="AC253" s="5"/>
      <c r="AD253" s="5"/>
      <c r="AE253" s="4"/>
      <c r="AF253" s="6"/>
      <c r="AG253" s="4"/>
      <c r="AH253" s="6"/>
      <c r="AI253" s="5"/>
      <c r="AJ253" s="5"/>
      <c r="AK253" s="4"/>
      <c r="AL253" s="6"/>
      <c r="AM253" s="4"/>
      <c r="AN253" s="6"/>
      <c r="AO253" s="5"/>
      <c r="AP253" s="5"/>
      <c r="AQ253" s="4"/>
      <c r="AR253" s="6"/>
      <c r="AS253" s="4"/>
      <c r="AT253" s="6"/>
      <c r="AU253" s="5"/>
      <c r="AV253" s="5"/>
      <c r="AW253" s="4"/>
      <c r="AX253" s="6"/>
      <c r="AY253" s="4"/>
      <c r="AZ253" s="6"/>
      <c r="BA253" s="5"/>
      <c r="BB253" s="5"/>
      <c r="BC253" s="4"/>
      <c r="BD253" s="6"/>
      <c r="BE253" s="4"/>
      <c r="BF253" s="6"/>
      <c r="BG253" s="5"/>
      <c r="BH253" s="5"/>
      <c r="BI253" s="4"/>
      <c r="BJ253" s="6"/>
      <c r="BK253" s="4"/>
      <c r="BL253" s="6"/>
      <c r="BM253" s="5"/>
      <c r="BN253" s="5"/>
      <c r="BO253" s="4"/>
      <c r="BP253" s="6"/>
      <c r="BQ253" s="4"/>
      <c r="BR253" s="6"/>
      <c r="BS253" s="5"/>
      <c r="BT253" s="5"/>
      <c r="BU253" s="4"/>
      <c r="BV253" s="6"/>
      <c r="BW253" s="4"/>
      <c r="BX253" s="6"/>
      <c r="BY253" s="5"/>
      <c r="BZ253" s="5"/>
      <c r="CA253" s="4">
        <v>1</v>
      </c>
      <c r="CB253" s="6">
        <v>22.33</v>
      </c>
      <c r="CC253" s="4"/>
      <c r="CD253" s="6"/>
      <c r="CE253" s="5"/>
      <c r="CF253" s="5"/>
      <c r="CG253" s="4">
        <v>2</v>
      </c>
      <c r="CH253" s="6">
        <v>36.22</v>
      </c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/>
      <c r="CT253" s="6"/>
      <c r="CU253" s="4"/>
      <c r="CV253" s="6"/>
      <c r="CW253" s="5"/>
      <c r="CX253" s="5"/>
      <c r="CY253" s="4"/>
      <c r="CZ253" s="6"/>
      <c r="DA253" s="4"/>
      <c r="DB253" s="6"/>
      <c r="DC253" s="5"/>
      <c r="DD253" s="5"/>
      <c r="DE253" s="4"/>
      <c r="DF253" s="6"/>
      <c r="DG253" s="4"/>
      <c r="DH253" s="6"/>
      <c r="DI253" s="5"/>
      <c r="DJ253" s="5"/>
      <c r="DK253" s="4"/>
      <c r="DL253" s="6"/>
      <c r="DM253" s="4"/>
      <c r="DN253" s="6"/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/>
      <c r="EF253" s="6"/>
      <c r="EG253" s="5"/>
      <c r="EH253" s="5"/>
      <c r="EI253" s="4"/>
      <c r="EJ253" s="6"/>
      <c r="EK253" s="4"/>
      <c r="EL253" s="6"/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/>
      <c r="FV253" s="6"/>
      <c r="FW253" s="5"/>
      <c r="FX253" s="5"/>
      <c r="FY253" s="4"/>
      <c r="FZ253" s="6"/>
      <c r="GA253" s="4"/>
      <c r="GB253" s="6"/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  <c r="IA253" s="4"/>
      <c r="IB253" s="6"/>
      <c r="IC253" s="4"/>
      <c r="ID253" s="6"/>
      <c r="IE253" s="5"/>
      <c r="IF253" s="5"/>
      <c r="IG253" s="4"/>
      <c r="IH253" s="6"/>
      <c r="II253" s="4"/>
      <c r="IJ253" s="6"/>
      <c r="IK253" s="5"/>
      <c r="IL253" s="5"/>
      <c r="IM253" s="4"/>
      <c r="IN253" s="6"/>
      <c r="IO253" s="4"/>
      <c r="IP253" s="6"/>
      <c r="IQ253" s="5"/>
      <c r="IR253" s="5"/>
      <c r="IS253" s="4"/>
      <c r="IT253" s="6"/>
      <c r="IU253" s="4"/>
      <c r="IV253" s="6"/>
      <c r="IW253" s="5"/>
      <c r="IX253" s="5"/>
      <c r="IY253" s="4"/>
      <c r="IZ253" s="6"/>
      <c r="JA253" s="4"/>
      <c r="JB253" s="6"/>
      <c r="JC253" s="5"/>
      <c r="JD253" s="5"/>
      <c r="JE253" s="4"/>
      <c r="JF253" s="6"/>
      <c r="JG253" s="4"/>
      <c r="JH253" s="6"/>
      <c r="JI253" s="5"/>
      <c r="JJ253" s="5"/>
      <c r="JK253" s="4">
        <v>5</v>
      </c>
      <c r="JL253" s="4"/>
      <c r="JM253" s="4"/>
      <c r="JN253" s="4"/>
      <c r="JO253" s="4"/>
      <c r="JP253" s="4"/>
      <c r="JQ253" s="4"/>
      <c r="JR253" s="4"/>
      <c r="JS253" s="4"/>
      <c r="JT253" s="4"/>
      <c r="JU253" s="4"/>
      <c r="JV253" s="4"/>
      <c r="JW253" s="4"/>
      <c r="JX253" s="4"/>
      <c r="JY253" s="4"/>
      <c r="JZ253" s="4"/>
      <c r="KA253" s="4"/>
      <c r="KB253" s="4"/>
      <c r="KC253" s="4"/>
      <c r="KD253" s="4"/>
      <c r="KE253" s="4"/>
      <c r="KF253" s="4"/>
      <c r="KG253" s="4"/>
      <c r="KH253" s="4"/>
      <c r="KI253" s="4"/>
      <c r="KJ253" s="4"/>
      <c r="KK253" s="4"/>
      <c r="KL253" s="4"/>
      <c r="KM253" s="4"/>
      <c r="KN253" s="4"/>
      <c r="KO253" s="4"/>
      <c r="KP253" s="4"/>
      <c r="KQ253" s="4"/>
      <c r="KR253" s="4"/>
      <c r="KS253" s="4"/>
      <c r="KT253" s="4"/>
      <c r="KU253" s="4"/>
      <c r="KV253" s="4"/>
      <c r="KW253" s="4"/>
      <c r="KX253" s="4"/>
      <c r="KY253" s="4"/>
      <c r="KZ253" s="4"/>
      <c r="LA253" s="4"/>
      <c r="LB253" s="4"/>
      <c r="LC253" s="4"/>
      <c r="LD253" s="4"/>
      <c r="LE253" s="4">
        <v>388</v>
      </c>
      <c r="LF253" s="4"/>
      <c r="LG253" s="4"/>
      <c r="LH253" s="4"/>
      <c r="LI253" s="4"/>
      <c r="LJ253" s="4"/>
      <c r="LK253" s="4"/>
      <c r="LL253" s="4"/>
      <c r="LM253" s="4"/>
    </row>
    <row r="254">
      <c r="A254" s="3" t="s">
        <v>136</v>
      </c>
      <c r="B254" s="3" t="s">
        <v>181</v>
      </c>
      <c r="C254" s="3" t="s">
        <v>138</v>
      </c>
      <c r="D254" s="3" t="s">
        <v>139</v>
      </c>
      <c r="E254" s="3" t="s">
        <v>185</v>
      </c>
      <c r="F254" s="3" t="s">
        <v>185</v>
      </c>
      <c r="G254" s="3" t="s">
        <v>185</v>
      </c>
      <c r="H254" s="3" t="s">
        <v>167</v>
      </c>
      <c r="I254" s="3" t="s">
        <v>337</v>
      </c>
      <c r="J254" s="3" t="s">
        <v>226</v>
      </c>
      <c r="K254" s="4"/>
      <c r="L254" s="4">
        <f>=ROUNDDOWN({0},0)</f>
      </c>
      <c r="M254" s="4">
        <v>714</v>
      </c>
      <c r="N254" s="5"/>
      <c r="O254" s="4"/>
      <c r="P254" s="4">
        <f>=ROUNDDOWN({0},0)</f>
      </c>
      <c r="Q254" s="4"/>
      <c r="R254" s="5"/>
      <c r="S254" s="4">
        <v>2</v>
      </c>
      <c r="T254" s="6">
        <v>34.42</v>
      </c>
      <c r="U254" s="4">
        <v>151</v>
      </c>
      <c r="V254" s="6">
        <v>3312.52</v>
      </c>
      <c r="W254" s="5">
        <v>-0.9868</v>
      </c>
      <c r="X254" s="5">
        <v>-0.9896</v>
      </c>
      <c r="Y254" s="4"/>
      <c r="Z254" s="6"/>
      <c r="AA254" s="4">
        <v>8</v>
      </c>
      <c r="AB254" s="6">
        <v>169.27</v>
      </c>
      <c r="AC254" s="5"/>
      <c r="AD254" s="5"/>
      <c r="AE254" s="4"/>
      <c r="AF254" s="6"/>
      <c r="AG254" s="4"/>
      <c r="AH254" s="6"/>
      <c r="AI254" s="5"/>
      <c r="AJ254" s="5"/>
      <c r="AK254" s="4"/>
      <c r="AL254" s="6"/>
      <c r="AM254" s="4"/>
      <c r="AN254" s="6"/>
      <c r="AO254" s="5"/>
      <c r="AP254" s="5"/>
      <c r="AQ254" s="4"/>
      <c r="AR254" s="6"/>
      <c r="AS254" s="4">
        <v>71</v>
      </c>
      <c r="AT254" s="6">
        <v>1529.38</v>
      </c>
      <c r="AU254" s="5"/>
      <c r="AV254" s="5"/>
      <c r="AW254" s="4"/>
      <c r="AX254" s="6"/>
      <c r="AY254" s="4">
        <v>2</v>
      </c>
      <c r="AZ254" s="6">
        <v>42.08</v>
      </c>
      <c r="BA254" s="5"/>
      <c r="BB254" s="5"/>
      <c r="BC254" s="4"/>
      <c r="BD254" s="6"/>
      <c r="BE254" s="4">
        <v>34</v>
      </c>
      <c r="BF254" s="6">
        <v>804.58</v>
      </c>
      <c r="BG254" s="5"/>
      <c r="BH254" s="5"/>
      <c r="BI254" s="4"/>
      <c r="BJ254" s="6"/>
      <c r="BK254" s="4">
        <v>8</v>
      </c>
      <c r="BL254" s="6">
        <v>177.84</v>
      </c>
      <c r="BM254" s="5"/>
      <c r="BN254" s="5"/>
      <c r="BO254" s="4"/>
      <c r="BP254" s="6"/>
      <c r="BQ254" s="4">
        <v>2</v>
      </c>
      <c r="BR254" s="6">
        <v>44.64</v>
      </c>
      <c r="BS254" s="5"/>
      <c r="BT254" s="5"/>
      <c r="BU254" s="4"/>
      <c r="BV254" s="6"/>
      <c r="BW254" s="4">
        <v>3</v>
      </c>
      <c r="BX254" s="6">
        <v>65.52</v>
      </c>
      <c r="BY254" s="5"/>
      <c r="BZ254" s="5"/>
      <c r="CA254" s="4"/>
      <c r="CB254" s="6"/>
      <c r="CC254" s="4">
        <v>1</v>
      </c>
      <c r="CD254" s="6">
        <v>22.32</v>
      </c>
      <c r="CE254" s="5"/>
      <c r="CF254" s="5"/>
      <c r="CG254" s="4"/>
      <c r="CH254" s="6"/>
      <c r="CI254" s="4">
        <v>4</v>
      </c>
      <c r="CJ254" s="6">
        <v>88.88</v>
      </c>
      <c r="CK254" s="5"/>
      <c r="CL254" s="5"/>
      <c r="CM254" s="4"/>
      <c r="CN254" s="6"/>
      <c r="CO254" s="4"/>
      <c r="CP254" s="6"/>
      <c r="CQ254" s="5"/>
      <c r="CR254" s="5"/>
      <c r="CS254" s="4"/>
      <c r="CT254" s="6"/>
      <c r="CU254" s="4"/>
      <c r="CV254" s="6"/>
      <c r="CW254" s="5"/>
      <c r="CX254" s="5"/>
      <c r="CY254" s="4"/>
      <c r="CZ254" s="6"/>
      <c r="DA254" s="4">
        <v>12</v>
      </c>
      <c r="DB254" s="6">
        <v>231.84</v>
      </c>
      <c r="DC254" s="5"/>
      <c r="DD254" s="5"/>
      <c r="DE254" s="4"/>
      <c r="DF254" s="6"/>
      <c r="DG254" s="4"/>
      <c r="DH254" s="6"/>
      <c r="DI254" s="5"/>
      <c r="DJ254" s="5"/>
      <c r="DK254" s="4"/>
      <c r="DL254" s="6"/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/>
      <c r="DX254" s="6"/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>
        <v>2</v>
      </c>
      <c r="EV254" s="6">
        <v>34.42</v>
      </c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/>
      <c r="FH254" s="6"/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>
        <v>1</v>
      </c>
      <c r="FV254" s="6">
        <v>24.57</v>
      </c>
      <c r="FW254" s="5"/>
      <c r="FX254" s="5"/>
      <c r="FY254" s="4"/>
      <c r="FZ254" s="6"/>
      <c r="GA254" s="4">
        <v>5</v>
      </c>
      <c r="GB254" s="6">
        <v>111.6</v>
      </c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  <c r="IA254" s="4"/>
      <c r="IB254" s="6"/>
      <c r="IC254" s="4"/>
      <c r="ID254" s="6"/>
      <c r="IE254" s="5"/>
      <c r="IF254" s="5"/>
      <c r="IG254" s="4"/>
      <c r="IH254" s="6"/>
      <c r="II254" s="4"/>
      <c r="IJ254" s="6"/>
      <c r="IK254" s="5"/>
      <c r="IL254" s="5"/>
      <c r="IM254" s="4"/>
      <c r="IN254" s="6"/>
      <c r="IO254" s="4"/>
      <c r="IP254" s="6"/>
      <c r="IQ254" s="5"/>
      <c r="IR254" s="5"/>
      <c r="IS254" s="4"/>
      <c r="IT254" s="6"/>
      <c r="IU254" s="4"/>
      <c r="IV254" s="6"/>
      <c r="IW254" s="5"/>
      <c r="IX254" s="5"/>
      <c r="IY254" s="4"/>
      <c r="IZ254" s="6"/>
      <c r="JA254" s="4"/>
      <c r="JB254" s="6"/>
      <c r="JC254" s="5"/>
      <c r="JD254" s="5"/>
      <c r="JE254" s="4"/>
      <c r="JF254" s="6"/>
      <c r="JG254" s="4"/>
      <c r="JH254" s="6"/>
      <c r="JI254" s="5"/>
      <c r="JJ254" s="5"/>
      <c r="JK254" s="4"/>
      <c r="JL254" s="4"/>
      <c r="JM254" s="4"/>
      <c r="JN254" s="4"/>
      <c r="JO254" s="4"/>
      <c r="JP254" s="4"/>
      <c r="JQ254" s="4"/>
      <c r="JR254" s="4"/>
      <c r="JS254" s="4"/>
      <c r="JT254" s="4"/>
      <c r="JU254" s="4"/>
      <c r="JV254" s="4"/>
      <c r="JW254" s="4"/>
      <c r="JX254" s="4"/>
      <c r="JY254" s="4"/>
      <c r="JZ254" s="4"/>
      <c r="KA254" s="4"/>
      <c r="KB254" s="4"/>
      <c r="KC254" s="4"/>
      <c r="KD254" s="4"/>
      <c r="KE254" s="4"/>
      <c r="KF254" s="4"/>
      <c r="KG254" s="4"/>
      <c r="KH254" s="4"/>
      <c r="KI254" s="4"/>
      <c r="KJ254" s="4"/>
      <c r="KK254" s="4"/>
      <c r="KL254" s="4"/>
      <c r="KM254" s="4"/>
      <c r="KN254" s="4"/>
      <c r="KO254" s="4"/>
      <c r="KP254" s="4"/>
      <c r="KQ254" s="4"/>
      <c r="KR254" s="4"/>
      <c r="KS254" s="4"/>
      <c r="KT254" s="4"/>
      <c r="KU254" s="4"/>
      <c r="KV254" s="4"/>
      <c r="KW254" s="4"/>
      <c r="KX254" s="4"/>
      <c r="KY254" s="4"/>
      <c r="KZ254" s="4"/>
      <c r="LA254" s="4"/>
      <c r="LB254" s="4"/>
      <c r="LC254" s="4"/>
      <c r="LD254" s="4"/>
      <c r="LE254" s="4">
        <v>714</v>
      </c>
      <c r="LF254" s="4"/>
      <c r="LG254" s="4"/>
      <c r="LH254" s="4"/>
      <c r="LI254" s="4"/>
      <c r="LJ254" s="4"/>
      <c r="LK254" s="4"/>
      <c r="LL254" s="4"/>
      <c r="LM254" s="4"/>
    </row>
    <row r="255">
      <c r="A255" s="3" t="s">
        <v>136</v>
      </c>
      <c r="B255" s="3" t="s">
        <v>181</v>
      </c>
      <c r="C255" s="3" t="s">
        <v>138</v>
      </c>
      <c r="D255" s="3" t="s">
        <v>139</v>
      </c>
      <c r="E255" s="3" t="s">
        <v>185</v>
      </c>
      <c r="F255" s="3" t="s">
        <v>185</v>
      </c>
      <c r="G255" s="3" t="s">
        <v>185</v>
      </c>
      <c r="H255" s="3" t="s">
        <v>167</v>
      </c>
      <c r="I255" s="3" t="s">
        <v>338</v>
      </c>
      <c r="J255" s="3" t="s">
        <v>228</v>
      </c>
      <c r="K255" s="4"/>
      <c r="L255" s="4">
        <f>=ROUNDDOWN({0},0)</f>
      </c>
      <c r="M255" s="4">
        <v>161</v>
      </c>
      <c r="N255" s="5"/>
      <c r="O255" s="4"/>
      <c r="P255" s="4">
        <f>=ROUNDDOWN({0},0)</f>
      </c>
      <c r="Q255" s="4"/>
      <c r="R255" s="5"/>
      <c r="S255" s="4">
        <v>1</v>
      </c>
      <c r="T255" s="6">
        <v>21.99</v>
      </c>
      <c r="U255" s="4"/>
      <c r="V255" s="6"/>
      <c r="W255" s="5"/>
      <c r="X255" s="5"/>
      <c r="Y255" s="4"/>
      <c r="Z255" s="6"/>
      <c r="AA255" s="4"/>
      <c r="AB255" s="6"/>
      <c r="AC255" s="5"/>
      <c r="AD255" s="5"/>
      <c r="AE255" s="4"/>
      <c r="AF255" s="6"/>
      <c r="AG255" s="4"/>
      <c r="AH255" s="6"/>
      <c r="AI255" s="5"/>
      <c r="AJ255" s="5"/>
      <c r="AK255" s="4"/>
      <c r="AL255" s="6"/>
      <c r="AM255" s="4"/>
      <c r="AN255" s="6"/>
      <c r="AO255" s="5"/>
      <c r="AP255" s="5"/>
      <c r="AQ255" s="4"/>
      <c r="AR255" s="6"/>
      <c r="AS255" s="4"/>
      <c r="AT255" s="6"/>
      <c r="AU255" s="5"/>
      <c r="AV255" s="5"/>
      <c r="AW255" s="4"/>
      <c r="AX255" s="6"/>
      <c r="AY255" s="4"/>
      <c r="AZ255" s="6"/>
      <c r="BA255" s="5"/>
      <c r="BB255" s="5"/>
      <c r="BC255" s="4"/>
      <c r="BD255" s="6"/>
      <c r="BE255" s="4"/>
      <c r="BF255" s="6"/>
      <c r="BG255" s="5"/>
      <c r="BH255" s="5"/>
      <c r="BI255" s="4"/>
      <c r="BJ255" s="6"/>
      <c r="BK255" s="4"/>
      <c r="BL255" s="6"/>
      <c r="BM255" s="5"/>
      <c r="BN255" s="5"/>
      <c r="BO255" s="4"/>
      <c r="BP255" s="6"/>
      <c r="BQ255" s="4"/>
      <c r="BR255" s="6"/>
      <c r="BS255" s="5"/>
      <c r="BT255" s="5"/>
      <c r="BU255" s="4"/>
      <c r="BV255" s="6"/>
      <c r="BW255" s="4"/>
      <c r="BX255" s="6"/>
      <c r="BY255" s="5"/>
      <c r="BZ255" s="5"/>
      <c r="CA255" s="4"/>
      <c r="CB255" s="6"/>
      <c r="CC255" s="4"/>
      <c r="CD255" s="6"/>
      <c r="CE255" s="5"/>
      <c r="CF255" s="5"/>
      <c r="CG255" s="4"/>
      <c r="CH255" s="6"/>
      <c r="CI255" s="4"/>
      <c r="CJ255" s="6"/>
      <c r="CK255" s="5"/>
      <c r="CL255" s="5"/>
      <c r="CM255" s="4"/>
      <c r="CN255" s="6"/>
      <c r="CO255" s="4"/>
      <c r="CP255" s="6"/>
      <c r="CQ255" s="5"/>
      <c r="CR255" s="5"/>
      <c r="CS255" s="4"/>
      <c r="CT255" s="6"/>
      <c r="CU255" s="4"/>
      <c r="CV255" s="6"/>
      <c r="CW255" s="5"/>
      <c r="CX255" s="5"/>
      <c r="CY255" s="4"/>
      <c r="CZ255" s="6"/>
      <c r="DA255" s="4"/>
      <c r="DB255" s="6"/>
      <c r="DC255" s="5"/>
      <c r="DD255" s="5"/>
      <c r="DE255" s="4"/>
      <c r="DF255" s="6"/>
      <c r="DG255" s="4"/>
      <c r="DH255" s="6"/>
      <c r="DI255" s="5"/>
      <c r="DJ255" s="5"/>
      <c r="DK255" s="4"/>
      <c r="DL255" s="6"/>
      <c r="DM255" s="4"/>
      <c r="DN255" s="6"/>
      <c r="DO255" s="5"/>
      <c r="DP255" s="5"/>
      <c r="DQ255" s="4"/>
      <c r="DR255" s="6"/>
      <c r="DS255" s="4"/>
      <c r="DT255" s="6"/>
      <c r="DU255" s="5"/>
      <c r="DV255" s="5"/>
      <c r="DW255" s="4"/>
      <c r="DX255" s="6"/>
      <c r="DY255" s="4"/>
      <c r="DZ255" s="6"/>
      <c r="EA255" s="5"/>
      <c r="EB255" s="5"/>
      <c r="EC255" s="4"/>
      <c r="ED255" s="6"/>
      <c r="EE255" s="4"/>
      <c r="EF255" s="6"/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>
        <v>1</v>
      </c>
      <c r="EV255" s="6">
        <v>21.99</v>
      </c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/>
      <c r="FV255" s="6"/>
      <c r="FW255" s="5"/>
      <c r="FX255" s="5"/>
      <c r="FY255" s="4"/>
      <c r="FZ255" s="6"/>
      <c r="GA255" s="4"/>
      <c r="GB255" s="6"/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  <c r="IA255" s="4"/>
      <c r="IB255" s="6"/>
      <c r="IC255" s="4"/>
      <c r="ID255" s="6"/>
      <c r="IE255" s="5"/>
      <c r="IF255" s="5"/>
      <c r="IG255" s="4"/>
      <c r="IH255" s="6"/>
      <c r="II255" s="4"/>
      <c r="IJ255" s="6"/>
      <c r="IK255" s="5"/>
      <c r="IL255" s="5"/>
      <c r="IM255" s="4"/>
      <c r="IN255" s="6"/>
      <c r="IO255" s="4"/>
      <c r="IP255" s="6"/>
      <c r="IQ255" s="5"/>
      <c r="IR255" s="5"/>
      <c r="IS255" s="4"/>
      <c r="IT255" s="6"/>
      <c r="IU255" s="4"/>
      <c r="IV255" s="6"/>
      <c r="IW255" s="5"/>
      <c r="IX255" s="5"/>
      <c r="IY255" s="4"/>
      <c r="IZ255" s="6"/>
      <c r="JA255" s="4"/>
      <c r="JB255" s="6"/>
      <c r="JC255" s="5"/>
      <c r="JD255" s="5"/>
      <c r="JE255" s="4"/>
      <c r="JF255" s="6"/>
      <c r="JG255" s="4"/>
      <c r="JH255" s="6"/>
      <c r="JI255" s="5"/>
      <c r="JJ255" s="5"/>
      <c r="JK255" s="4"/>
      <c r="JL255" s="4"/>
      <c r="JM255" s="4"/>
      <c r="JN255" s="4"/>
      <c r="JO255" s="4"/>
      <c r="JP255" s="4"/>
      <c r="JQ255" s="4"/>
      <c r="JR255" s="4"/>
      <c r="JS255" s="4"/>
      <c r="JT255" s="4"/>
      <c r="JU255" s="4"/>
      <c r="JV255" s="4"/>
      <c r="JW255" s="4"/>
      <c r="JX255" s="4"/>
      <c r="JY255" s="4"/>
      <c r="JZ255" s="4"/>
      <c r="KA255" s="4"/>
      <c r="KB255" s="4"/>
      <c r="KC255" s="4"/>
      <c r="KD255" s="4"/>
      <c r="KE255" s="4"/>
      <c r="KF255" s="4"/>
      <c r="KG255" s="4"/>
      <c r="KH255" s="4"/>
      <c r="KI255" s="4"/>
      <c r="KJ255" s="4"/>
      <c r="KK255" s="4"/>
      <c r="KL255" s="4"/>
      <c r="KM255" s="4"/>
      <c r="KN255" s="4"/>
      <c r="KO255" s="4"/>
      <c r="KP255" s="4"/>
      <c r="KQ255" s="4"/>
      <c r="KR255" s="4"/>
      <c r="KS255" s="4"/>
      <c r="KT255" s="4"/>
      <c r="KU255" s="4"/>
      <c r="KV255" s="4"/>
      <c r="KW255" s="4"/>
      <c r="KX255" s="4"/>
      <c r="KY255" s="4"/>
      <c r="KZ255" s="4"/>
      <c r="LA255" s="4"/>
      <c r="LB255" s="4"/>
      <c r="LC255" s="4"/>
      <c r="LD255" s="4"/>
      <c r="LE255" s="4">
        <v>161</v>
      </c>
      <c r="LF255" s="4"/>
      <c r="LG255" s="4"/>
      <c r="LH255" s="4"/>
      <c r="LI255" s="4"/>
      <c r="LJ255" s="4"/>
      <c r="LK255" s="4"/>
      <c r="LL255" s="4"/>
      <c r="LM255" s="4"/>
    </row>
    <row r="256">
      <c r="A256" s="3" t="s">
        <v>136</v>
      </c>
      <c r="B256" s="3" t="s">
        <v>181</v>
      </c>
      <c r="C256" s="3" t="s">
        <v>138</v>
      </c>
      <c r="D256" s="3" t="s">
        <v>139</v>
      </c>
      <c r="E256" s="3" t="s">
        <v>185</v>
      </c>
      <c r="F256" s="3" t="s">
        <v>185</v>
      </c>
      <c r="G256" s="3" t="s">
        <v>185</v>
      </c>
      <c r="H256" s="3" t="s">
        <v>167</v>
      </c>
      <c r="I256" s="3" t="s">
        <v>339</v>
      </c>
      <c r="J256" s="3" t="s">
        <v>241</v>
      </c>
      <c r="K256" s="4"/>
      <c r="L256" s="4">
        <f>=ROUNDDOWN({0},0)</f>
      </c>
      <c r="M256" s="4"/>
      <c r="N256" s="5"/>
      <c r="O256" s="4"/>
      <c r="P256" s="4">
        <f>=ROUNDDOWN({0},0)</f>
      </c>
      <c r="Q256" s="4"/>
      <c r="R256" s="5"/>
      <c r="S256" s="4"/>
      <c r="T256" s="6"/>
      <c r="U256" s="4">
        <v>2</v>
      </c>
      <c r="V256" s="6">
        <v>44.44</v>
      </c>
      <c r="W256" s="5"/>
      <c r="X256" s="5"/>
      <c r="Y256" s="4"/>
      <c r="Z256" s="6"/>
      <c r="AA256" s="4"/>
      <c r="AB256" s="6"/>
      <c r="AC256" s="5"/>
      <c r="AD256" s="5"/>
      <c r="AE256" s="4"/>
      <c r="AF256" s="6"/>
      <c r="AG256" s="4"/>
      <c r="AH256" s="6"/>
      <c r="AI256" s="5"/>
      <c r="AJ256" s="5"/>
      <c r="AK256" s="4"/>
      <c r="AL256" s="6"/>
      <c r="AM256" s="4"/>
      <c r="AN256" s="6"/>
      <c r="AO256" s="5"/>
      <c r="AP256" s="5"/>
      <c r="AQ256" s="4"/>
      <c r="AR256" s="6"/>
      <c r="AS256" s="4">
        <v>2</v>
      </c>
      <c r="AT256" s="6">
        <v>44.44</v>
      </c>
      <c r="AU256" s="5"/>
      <c r="AV256" s="5"/>
      <c r="AW256" s="4"/>
      <c r="AX256" s="6"/>
      <c r="AY256" s="4"/>
      <c r="AZ256" s="6"/>
      <c r="BA256" s="5"/>
      <c r="BB256" s="5"/>
      <c r="BC256" s="4"/>
      <c r="BD256" s="6"/>
      <c r="BE256" s="4"/>
      <c r="BF256" s="6"/>
      <c r="BG256" s="5"/>
      <c r="BH256" s="5"/>
      <c r="BI256" s="4"/>
      <c r="BJ256" s="6"/>
      <c r="BK256" s="4"/>
      <c r="BL256" s="6"/>
      <c r="BM256" s="5"/>
      <c r="BN256" s="5"/>
      <c r="BO256" s="4"/>
      <c r="BP256" s="6"/>
      <c r="BQ256" s="4"/>
      <c r="BR256" s="6"/>
      <c r="BS256" s="5"/>
      <c r="BT256" s="5"/>
      <c r="BU256" s="4"/>
      <c r="BV256" s="6"/>
      <c r="BW256" s="4"/>
      <c r="BX256" s="6"/>
      <c r="BY256" s="5"/>
      <c r="BZ256" s="5"/>
      <c r="CA256" s="4"/>
      <c r="CB256" s="6"/>
      <c r="CC256" s="4"/>
      <c r="CD256" s="6"/>
      <c r="CE256" s="5"/>
      <c r="CF256" s="5"/>
      <c r="CG256" s="4"/>
      <c r="CH256" s="6"/>
      <c r="CI256" s="4"/>
      <c r="CJ256" s="6"/>
      <c r="CK256" s="5"/>
      <c r="CL256" s="5"/>
      <c r="CM256" s="4"/>
      <c r="CN256" s="6"/>
      <c r="CO256" s="4"/>
      <c r="CP256" s="6"/>
      <c r="CQ256" s="5"/>
      <c r="CR256" s="5"/>
      <c r="CS256" s="4"/>
      <c r="CT256" s="6"/>
      <c r="CU256" s="4"/>
      <c r="CV256" s="6"/>
      <c r="CW256" s="5"/>
      <c r="CX256" s="5"/>
      <c r="CY256" s="4"/>
      <c r="CZ256" s="6"/>
      <c r="DA256" s="4"/>
      <c r="DB256" s="6"/>
      <c r="DC256" s="5"/>
      <c r="DD256" s="5"/>
      <c r="DE256" s="4"/>
      <c r="DF256" s="6"/>
      <c r="DG256" s="4"/>
      <c r="DH256" s="6"/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/>
      <c r="ED256" s="6"/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/>
      <c r="EV256" s="6"/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/>
      <c r="FV256" s="6"/>
      <c r="FW256" s="5"/>
      <c r="FX256" s="5"/>
      <c r="FY256" s="4"/>
      <c r="FZ256" s="6"/>
      <c r="GA256" s="4"/>
      <c r="GB256" s="6"/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  <c r="IA256" s="4"/>
      <c r="IB256" s="6"/>
      <c r="IC256" s="4"/>
      <c r="ID256" s="6"/>
      <c r="IE256" s="5"/>
      <c r="IF256" s="5"/>
      <c r="IG256" s="4"/>
      <c r="IH256" s="6"/>
      <c r="II256" s="4"/>
      <c r="IJ256" s="6"/>
      <c r="IK256" s="5"/>
      <c r="IL256" s="5"/>
      <c r="IM256" s="4"/>
      <c r="IN256" s="6"/>
      <c r="IO256" s="4"/>
      <c r="IP256" s="6"/>
      <c r="IQ256" s="5"/>
      <c r="IR256" s="5"/>
      <c r="IS256" s="4"/>
      <c r="IT256" s="6"/>
      <c r="IU256" s="4"/>
      <c r="IV256" s="6"/>
      <c r="IW256" s="5"/>
      <c r="IX256" s="5"/>
      <c r="IY256" s="4"/>
      <c r="IZ256" s="6"/>
      <c r="JA256" s="4"/>
      <c r="JB256" s="6"/>
      <c r="JC256" s="5"/>
      <c r="JD256" s="5"/>
      <c r="JE256" s="4"/>
      <c r="JF256" s="6"/>
      <c r="JG256" s="4"/>
      <c r="JH256" s="6"/>
      <c r="JI256" s="5"/>
      <c r="JJ256" s="5"/>
      <c r="JK256" s="4"/>
      <c r="JL256" s="4"/>
      <c r="JM256" s="4"/>
      <c r="JN256" s="4"/>
      <c r="JO256" s="4"/>
      <c r="JP256" s="4"/>
      <c r="JQ256" s="4"/>
      <c r="JR256" s="4"/>
      <c r="JS256" s="4"/>
      <c r="JT256" s="4"/>
      <c r="JU256" s="4"/>
      <c r="JV256" s="4"/>
      <c r="JW256" s="4"/>
      <c r="JX256" s="4"/>
      <c r="JY256" s="4"/>
      <c r="JZ256" s="4"/>
      <c r="KA256" s="4"/>
      <c r="KB256" s="4"/>
      <c r="KC256" s="4"/>
      <c r="KD256" s="4"/>
      <c r="KE256" s="4"/>
      <c r="KF256" s="4"/>
      <c r="KG256" s="4"/>
      <c r="KH256" s="4"/>
      <c r="KI256" s="4"/>
      <c r="KJ256" s="4"/>
      <c r="KK256" s="4"/>
      <c r="KL256" s="4"/>
      <c r="KM256" s="4"/>
      <c r="KN256" s="4"/>
      <c r="KO256" s="4"/>
      <c r="KP256" s="4"/>
      <c r="KQ256" s="4"/>
      <c r="KR256" s="4"/>
      <c r="KS256" s="4"/>
      <c r="KT256" s="4"/>
      <c r="KU256" s="4"/>
      <c r="KV256" s="4"/>
      <c r="KW256" s="4"/>
      <c r="KX256" s="4"/>
      <c r="KY256" s="4"/>
      <c r="KZ256" s="4"/>
      <c r="LA256" s="4"/>
      <c r="LB256" s="4"/>
      <c r="LC256" s="4"/>
      <c r="LD256" s="4"/>
      <c r="LE256" s="4"/>
      <c r="LF256" s="4"/>
      <c r="LG256" s="4"/>
      <c r="LH256" s="4"/>
      <c r="LI256" s="4"/>
      <c r="LJ256" s="4"/>
      <c r="LK256" s="4"/>
      <c r="LL256" s="4"/>
      <c r="LM256" s="4"/>
    </row>
    <row r="257">
      <c r="A257" s="3" t="s">
        <v>136</v>
      </c>
      <c r="B257" s="3" t="s">
        <v>181</v>
      </c>
      <c r="C257" s="3" t="s">
        <v>138</v>
      </c>
      <c r="D257" s="3" t="s">
        <v>139</v>
      </c>
      <c r="E257" s="3" t="s">
        <v>186</v>
      </c>
      <c r="F257" s="3" t="s">
        <v>186</v>
      </c>
      <c r="G257" s="3" t="s">
        <v>186</v>
      </c>
      <c r="H257" s="3" t="s">
        <v>146</v>
      </c>
      <c r="I257" s="3" t="s">
        <v>340</v>
      </c>
      <c r="J257" s="3" t="s">
        <v>228</v>
      </c>
      <c r="K257" s="4">
        <v>399</v>
      </c>
      <c r="L257" s="4">
        <f>=ROUNDDOWN(10.5,0)</f>
      </c>
      <c r="M257" s="4">
        <v>1060</v>
      </c>
      <c r="N257" s="5">
        <v>1</v>
      </c>
      <c r="O257" s="4"/>
      <c r="P257" s="4">
        <f>=ROUNDDOWN({0},0)</f>
      </c>
      <c r="Q257" s="4"/>
      <c r="R257" s="5"/>
      <c r="S257" s="4">
        <v>356</v>
      </c>
      <c r="T257" s="6">
        <v>5493.29</v>
      </c>
      <c r="U257" s="4">
        <v>370</v>
      </c>
      <c r="V257" s="6">
        <v>6090.34</v>
      </c>
      <c r="W257" s="5">
        <v>-0.0378</v>
      </c>
      <c r="X257" s="5">
        <v>-0.098</v>
      </c>
      <c r="Y257" s="4">
        <v>184</v>
      </c>
      <c r="Z257" s="6">
        <v>2807.78</v>
      </c>
      <c r="AA257" s="4">
        <v>21</v>
      </c>
      <c r="AB257" s="6">
        <v>353.22</v>
      </c>
      <c r="AC257" s="5">
        <v>7.7619</v>
      </c>
      <c r="AD257" s="5">
        <v>6.9491</v>
      </c>
      <c r="AE257" s="4">
        <v>8</v>
      </c>
      <c r="AF257" s="6">
        <v>125.41</v>
      </c>
      <c r="AG257" s="4">
        <v>6</v>
      </c>
      <c r="AH257" s="6">
        <v>91.86</v>
      </c>
      <c r="AI257" s="5">
        <v>0.3333</v>
      </c>
      <c r="AJ257" s="5">
        <v>0.3652</v>
      </c>
      <c r="AK257" s="4"/>
      <c r="AL257" s="6"/>
      <c r="AM257" s="4"/>
      <c r="AN257" s="6"/>
      <c r="AO257" s="5"/>
      <c r="AP257" s="5"/>
      <c r="AQ257" s="4">
        <v>106</v>
      </c>
      <c r="AR257" s="6">
        <v>1725</v>
      </c>
      <c r="AS257" s="4">
        <v>279</v>
      </c>
      <c r="AT257" s="6">
        <v>4704.25</v>
      </c>
      <c r="AU257" s="5">
        <v>-0.6201</v>
      </c>
      <c r="AV257" s="5">
        <v>-0.6333</v>
      </c>
      <c r="AW257" s="4"/>
      <c r="AX257" s="6"/>
      <c r="AY257" s="4"/>
      <c r="AZ257" s="6"/>
      <c r="BA257" s="5"/>
      <c r="BB257" s="5"/>
      <c r="BC257" s="4"/>
      <c r="BD257" s="6"/>
      <c r="BE257" s="4"/>
      <c r="BF257" s="6"/>
      <c r="BG257" s="5"/>
      <c r="BH257" s="5"/>
      <c r="BI257" s="4">
        <v>36</v>
      </c>
      <c r="BJ257" s="6">
        <v>545.61</v>
      </c>
      <c r="BK257" s="4">
        <v>28</v>
      </c>
      <c r="BL257" s="6">
        <v>435.52</v>
      </c>
      <c r="BM257" s="5">
        <v>0.2857</v>
      </c>
      <c r="BN257" s="5">
        <v>0.2528</v>
      </c>
      <c r="BO257" s="4">
        <v>14</v>
      </c>
      <c r="BP257" s="6">
        <v>172.49</v>
      </c>
      <c r="BQ257" s="4">
        <v>4</v>
      </c>
      <c r="BR257" s="6">
        <v>42.28</v>
      </c>
      <c r="BS257" s="5">
        <v>2.5</v>
      </c>
      <c r="BT257" s="5">
        <v>3.0797</v>
      </c>
      <c r="BU257" s="4">
        <v>2</v>
      </c>
      <c r="BV257" s="6">
        <v>29.14</v>
      </c>
      <c r="BW257" s="4">
        <v>5</v>
      </c>
      <c r="BX257" s="6">
        <v>70.48</v>
      </c>
      <c r="BY257" s="5">
        <v>-0.6</v>
      </c>
      <c r="BZ257" s="5">
        <v>-0.5865</v>
      </c>
      <c r="CA257" s="4"/>
      <c r="CB257" s="6"/>
      <c r="CC257" s="4">
        <v>5</v>
      </c>
      <c r="CD257" s="6">
        <v>79.48</v>
      </c>
      <c r="CE257" s="5"/>
      <c r="CF257" s="5"/>
      <c r="CG257" s="4">
        <v>1</v>
      </c>
      <c r="CH257" s="6">
        <v>17.41</v>
      </c>
      <c r="CI257" s="4"/>
      <c r="CJ257" s="6"/>
      <c r="CK257" s="5"/>
      <c r="CL257" s="5"/>
      <c r="CM257" s="4"/>
      <c r="CN257" s="6"/>
      <c r="CO257" s="4"/>
      <c r="CP257" s="6"/>
      <c r="CQ257" s="5"/>
      <c r="CR257" s="5"/>
      <c r="CS257" s="4"/>
      <c r="CT257" s="6"/>
      <c r="CU257" s="4"/>
      <c r="CV257" s="6"/>
      <c r="CW257" s="5"/>
      <c r="CX257" s="5"/>
      <c r="CY257" s="4">
        <v>5</v>
      </c>
      <c r="CZ257" s="6">
        <v>70.45</v>
      </c>
      <c r="DA257" s="4">
        <v>19</v>
      </c>
      <c r="DB257" s="6">
        <v>266.15</v>
      </c>
      <c r="DC257" s="5">
        <v>-0.7368</v>
      </c>
      <c r="DD257" s="5">
        <v>-0.7353</v>
      </c>
      <c r="DE257" s="4"/>
      <c r="DF257" s="6"/>
      <c r="DG257" s="4"/>
      <c r="DH257" s="6"/>
      <c r="DI257" s="5"/>
      <c r="DJ257" s="5"/>
      <c r="DK257" s="4"/>
      <c r="DL257" s="6"/>
      <c r="DM257" s="4"/>
      <c r="DN257" s="6"/>
      <c r="DO257" s="5"/>
      <c r="DP257" s="5"/>
      <c r="DQ257" s="4"/>
      <c r="DR257" s="6"/>
      <c r="DS257" s="4"/>
      <c r="DT257" s="6"/>
      <c r="DU257" s="5"/>
      <c r="DV257" s="5"/>
      <c r="DW257" s="4"/>
      <c r="DX257" s="6"/>
      <c r="DY257" s="4"/>
      <c r="DZ257" s="6"/>
      <c r="EA257" s="5"/>
      <c r="EB257" s="5"/>
      <c r="EC257" s="4"/>
      <c r="ED257" s="6"/>
      <c r="EE257" s="4"/>
      <c r="EF257" s="6"/>
      <c r="EG257" s="5"/>
      <c r="EH257" s="5"/>
      <c r="EI257" s="4"/>
      <c r="EJ257" s="6"/>
      <c r="EK257" s="4"/>
      <c r="EL257" s="6"/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>
        <v>3</v>
      </c>
      <c r="FV257" s="6">
        <v>47.1</v>
      </c>
      <c r="FW257" s="5"/>
      <c r="FX257" s="5"/>
      <c r="FY257" s="4"/>
      <c r="FZ257" s="6"/>
      <c r="GA257" s="4"/>
      <c r="GB257" s="6"/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  <c r="IA257" s="4"/>
      <c r="IB257" s="6"/>
      <c r="IC257" s="4"/>
      <c r="ID257" s="6"/>
      <c r="IE257" s="5"/>
      <c r="IF257" s="5"/>
      <c r="IG257" s="4"/>
      <c r="IH257" s="6"/>
      <c r="II257" s="4"/>
      <c r="IJ257" s="6"/>
      <c r="IK257" s="5"/>
      <c r="IL257" s="5"/>
      <c r="IM257" s="4"/>
      <c r="IN257" s="6"/>
      <c r="IO257" s="4"/>
      <c r="IP257" s="6"/>
      <c r="IQ257" s="5"/>
      <c r="IR257" s="5"/>
      <c r="IS257" s="4"/>
      <c r="IT257" s="6"/>
      <c r="IU257" s="4"/>
      <c r="IV257" s="6"/>
      <c r="IW257" s="5"/>
      <c r="IX257" s="5"/>
      <c r="IY257" s="4"/>
      <c r="IZ257" s="6"/>
      <c r="JA257" s="4"/>
      <c r="JB257" s="6"/>
      <c r="JC257" s="5"/>
      <c r="JD257" s="5"/>
      <c r="JE257" s="4"/>
      <c r="JF257" s="6"/>
      <c r="JG257" s="4"/>
      <c r="JH257" s="6"/>
      <c r="JI257" s="5"/>
      <c r="JJ257" s="5"/>
      <c r="JK257" s="4">
        <v>399</v>
      </c>
      <c r="JL257" s="4"/>
      <c r="JM257" s="4"/>
      <c r="JN257" s="4"/>
      <c r="JO257" s="4"/>
      <c r="JP257" s="4"/>
      <c r="JQ257" s="4"/>
      <c r="JR257" s="4"/>
      <c r="JS257" s="4"/>
      <c r="JT257" s="4"/>
      <c r="JU257" s="4"/>
      <c r="JV257" s="4"/>
      <c r="JW257" s="4"/>
      <c r="JX257" s="4"/>
      <c r="JY257" s="4"/>
      <c r="JZ257" s="4"/>
      <c r="KA257" s="4">
        <v>110</v>
      </c>
      <c r="KB257" s="4"/>
      <c r="KC257" s="4"/>
      <c r="KD257" s="4"/>
      <c r="KE257" s="4"/>
      <c r="KF257" s="4"/>
      <c r="KG257" s="4"/>
      <c r="KH257" s="4"/>
      <c r="KI257" s="4"/>
      <c r="KJ257" s="4">
        <v>420</v>
      </c>
      <c r="KK257" s="4"/>
      <c r="KL257" s="4"/>
      <c r="KM257" s="4"/>
      <c r="KN257" s="4"/>
      <c r="KO257" s="4"/>
      <c r="KP257" s="4"/>
      <c r="KQ257" s="4"/>
      <c r="KR257" s="4"/>
      <c r="KS257" s="4"/>
      <c r="KT257" s="4"/>
      <c r="KU257" s="4"/>
      <c r="KV257" s="4"/>
      <c r="KW257" s="4"/>
      <c r="KX257" s="4"/>
      <c r="KY257" s="4"/>
      <c r="KZ257" s="4"/>
      <c r="LA257" s="4"/>
      <c r="LB257" s="4"/>
      <c r="LC257" s="4"/>
      <c r="LD257" s="4">
        <v>250</v>
      </c>
      <c r="LE257" s="4"/>
      <c r="LF257" s="4"/>
      <c r="LG257" s="4"/>
      <c r="LH257" s="4"/>
      <c r="LI257" s="4"/>
      <c r="LJ257" s="4"/>
      <c r="LK257" s="4"/>
      <c r="LL257" s="4"/>
      <c r="LM257" s="4">
        <v>280</v>
      </c>
    </row>
    <row r="258">
      <c r="A258" s="3" t="s">
        <v>136</v>
      </c>
      <c r="B258" s="3" t="s">
        <v>181</v>
      </c>
      <c r="C258" s="3" t="s">
        <v>138</v>
      </c>
      <c r="D258" s="3" t="s">
        <v>139</v>
      </c>
      <c r="E258" s="3" t="s">
        <v>186</v>
      </c>
      <c r="F258" s="3" t="s">
        <v>186</v>
      </c>
      <c r="G258" s="3" t="s">
        <v>186</v>
      </c>
      <c r="H258" s="3" t="s">
        <v>146</v>
      </c>
      <c r="I258" s="3" t="s">
        <v>341</v>
      </c>
      <c r="J258" s="3" t="s">
        <v>228</v>
      </c>
      <c r="K258" s="4">
        <v>139</v>
      </c>
      <c r="L258" s="4">
        <f>=ROUNDDOWN(3.91549295774648,0)</f>
      </c>
      <c r="M258" s="4">
        <v>1060</v>
      </c>
      <c r="N258" s="5">
        <v>0.9115</v>
      </c>
      <c r="O258" s="4"/>
      <c r="P258" s="4">
        <f>=ROUNDDOWN({0},0)</f>
      </c>
      <c r="Q258" s="4"/>
      <c r="R258" s="5"/>
      <c r="S258" s="4">
        <v>337</v>
      </c>
      <c r="T258" s="6">
        <v>5328.07</v>
      </c>
      <c r="U258" s="4">
        <v>444</v>
      </c>
      <c r="V258" s="6">
        <v>7396.24</v>
      </c>
      <c r="W258" s="5">
        <v>-0.241</v>
      </c>
      <c r="X258" s="5">
        <v>-0.2796</v>
      </c>
      <c r="Y258" s="4">
        <v>120</v>
      </c>
      <c r="Z258" s="6">
        <v>1861.14</v>
      </c>
      <c r="AA258" s="4">
        <v>81</v>
      </c>
      <c r="AB258" s="6">
        <v>1206.9</v>
      </c>
      <c r="AC258" s="5">
        <v>0.4815</v>
      </c>
      <c r="AD258" s="5">
        <v>0.5421</v>
      </c>
      <c r="AE258" s="4">
        <v>5</v>
      </c>
      <c r="AF258" s="6">
        <v>81.25</v>
      </c>
      <c r="AG258" s="4">
        <v>5</v>
      </c>
      <c r="AH258" s="6">
        <v>85.37</v>
      </c>
      <c r="AI258" s="5"/>
      <c r="AJ258" s="5">
        <v>-0.0483</v>
      </c>
      <c r="AK258" s="4"/>
      <c r="AL258" s="6"/>
      <c r="AM258" s="4"/>
      <c r="AN258" s="6"/>
      <c r="AO258" s="5"/>
      <c r="AP258" s="5"/>
      <c r="AQ258" s="4">
        <v>150</v>
      </c>
      <c r="AR258" s="6">
        <v>2486.56</v>
      </c>
      <c r="AS258" s="4">
        <v>233</v>
      </c>
      <c r="AT258" s="6">
        <v>4133.95</v>
      </c>
      <c r="AU258" s="5">
        <v>-0.3562</v>
      </c>
      <c r="AV258" s="5">
        <v>-0.3985</v>
      </c>
      <c r="AW258" s="4"/>
      <c r="AX258" s="6"/>
      <c r="AY258" s="4"/>
      <c r="AZ258" s="6"/>
      <c r="BA258" s="5"/>
      <c r="BB258" s="5"/>
      <c r="BC258" s="4"/>
      <c r="BD258" s="6"/>
      <c r="BE258" s="4"/>
      <c r="BF258" s="6"/>
      <c r="BG258" s="5"/>
      <c r="BH258" s="5"/>
      <c r="BI258" s="4">
        <v>27</v>
      </c>
      <c r="BJ258" s="6">
        <v>419.4</v>
      </c>
      <c r="BK258" s="4">
        <v>35</v>
      </c>
      <c r="BL258" s="6">
        <v>580.47</v>
      </c>
      <c r="BM258" s="5">
        <v>-0.2286</v>
      </c>
      <c r="BN258" s="5">
        <v>-0.2775</v>
      </c>
      <c r="BO258" s="4">
        <v>9</v>
      </c>
      <c r="BP258" s="6">
        <v>115.19</v>
      </c>
      <c r="BQ258" s="4">
        <v>11</v>
      </c>
      <c r="BR258" s="6">
        <v>153.02</v>
      </c>
      <c r="BS258" s="5">
        <v>-0.1818</v>
      </c>
      <c r="BT258" s="5">
        <v>-0.2472</v>
      </c>
      <c r="BU258" s="4">
        <v>8</v>
      </c>
      <c r="BV258" s="6">
        <v>125.02</v>
      </c>
      <c r="BW258" s="4">
        <v>18</v>
      </c>
      <c r="BX258" s="6">
        <v>283.47</v>
      </c>
      <c r="BY258" s="5">
        <v>-0.5556</v>
      </c>
      <c r="BZ258" s="5">
        <v>-0.559</v>
      </c>
      <c r="CA258" s="4"/>
      <c r="CB258" s="6"/>
      <c r="CC258" s="4">
        <v>29</v>
      </c>
      <c r="CD258" s="6">
        <v>392.82</v>
      </c>
      <c r="CE258" s="5"/>
      <c r="CF258" s="5"/>
      <c r="CG258" s="4"/>
      <c r="CH258" s="6"/>
      <c r="CI258" s="4">
        <v>18</v>
      </c>
      <c r="CJ258" s="6">
        <v>325.43</v>
      </c>
      <c r="CK258" s="5"/>
      <c r="CL258" s="5"/>
      <c r="CM258" s="4"/>
      <c r="CN258" s="6"/>
      <c r="CO258" s="4"/>
      <c r="CP258" s="6"/>
      <c r="CQ258" s="5"/>
      <c r="CR258" s="5"/>
      <c r="CS258" s="4"/>
      <c r="CT258" s="6"/>
      <c r="CU258" s="4"/>
      <c r="CV258" s="6"/>
      <c r="CW258" s="5"/>
      <c r="CX258" s="5"/>
      <c r="CY258" s="4">
        <v>17</v>
      </c>
      <c r="CZ258" s="6">
        <v>221.85</v>
      </c>
      <c r="DA258" s="4">
        <v>7</v>
      </c>
      <c r="DB258" s="6">
        <v>101.75</v>
      </c>
      <c r="DC258" s="5">
        <v>1.4286</v>
      </c>
      <c r="DD258" s="5">
        <v>1.1803</v>
      </c>
      <c r="DE258" s="4"/>
      <c r="DF258" s="6"/>
      <c r="DG258" s="4"/>
      <c r="DH258" s="6"/>
      <c r="DI258" s="5"/>
      <c r="DJ258" s="5"/>
      <c r="DK258" s="4"/>
      <c r="DL258" s="6"/>
      <c r="DM258" s="4">
        <v>1</v>
      </c>
      <c r="DN258" s="6">
        <v>37.99</v>
      </c>
      <c r="DO258" s="5"/>
      <c r="DP258" s="5"/>
      <c r="DQ258" s="4"/>
      <c r="DR258" s="6"/>
      <c r="DS258" s="4"/>
      <c r="DT258" s="6"/>
      <c r="DU258" s="5"/>
      <c r="DV258" s="5"/>
      <c r="DW258" s="4"/>
      <c r="DX258" s="6"/>
      <c r="DY258" s="4"/>
      <c r="DZ258" s="6"/>
      <c r="EA258" s="5"/>
      <c r="EB258" s="5"/>
      <c r="EC258" s="4"/>
      <c r="ED258" s="6"/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>
        <v>1</v>
      </c>
      <c r="EV258" s="6">
        <v>17.66</v>
      </c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>
        <v>5</v>
      </c>
      <c r="FV258" s="6">
        <v>79.48</v>
      </c>
      <c r="FW258" s="5"/>
      <c r="FX258" s="5"/>
      <c r="FY258" s="4"/>
      <c r="FZ258" s="6"/>
      <c r="GA258" s="4">
        <v>1</v>
      </c>
      <c r="GB258" s="6">
        <v>15.59</v>
      </c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  <c r="IA258" s="4"/>
      <c r="IB258" s="6"/>
      <c r="IC258" s="4"/>
      <c r="ID258" s="6"/>
      <c r="IE258" s="5"/>
      <c r="IF258" s="5"/>
      <c r="IG258" s="4"/>
      <c r="IH258" s="6"/>
      <c r="II258" s="4"/>
      <c r="IJ258" s="6"/>
      <c r="IK258" s="5"/>
      <c r="IL258" s="5"/>
      <c r="IM258" s="4"/>
      <c r="IN258" s="6"/>
      <c r="IO258" s="4"/>
      <c r="IP258" s="6"/>
      <c r="IQ258" s="5"/>
      <c r="IR258" s="5"/>
      <c r="IS258" s="4"/>
      <c r="IT258" s="6"/>
      <c r="IU258" s="4"/>
      <c r="IV258" s="6"/>
      <c r="IW258" s="5"/>
      <c r="IX258" s="5"/>
      <c r="IY258" s="4"/>
      <c r="IZ258" s="6"/>
      <c r="JA258" s="4"/>
      <c r="JB258" s="6"/>
      <c r="JC258" s="5"/>
      <c r="JD258" s="5"/>
      <c r="JE258" s="4"/>
      <c r="JF258" s="6"/>
      <c r="JG258" s="4"/>
      <c r="JH258" s="6"/>
      <c r="JI258" s="5"/>
      <c r="JJ258" s="5"/>
      <c r="JK258" s="4">
        <v>119</v>
      </c>
      <c r="JL258" s="4"/>
      <c r="JM258" s="4"/>
      <c r="JN258" s="4"/>
      <c r="JO258" s="4"/>
      <c r="JP258" s="4"/>
      <c r="JQ258" s="4"/>
      <c r="JR258" s="4">
        <v>20</v>
      </c>
      <c r="JS258" s="4"/>
      <c r="JT258" s="4"/>
      <c r="JU258" s="4"/>
      <c r="JV258" s="4"/>
      <c r="JW258" s="4"/>
      <c r="JX258" s="4"/>
      <c r="JY258" s="4"/>
      <c r="JZ258" s="4"/>
      <c r="KA258" s="4">
        <v>200</v>
      </c>
      <c r="KB258" s="4"/>
      <c r="KC258" s="4"/>
      <c r="KD258" s="4"/>
      <c r="KE258" s="4"/>
      <c r="KF258" s="4"/>
      <c r="KG258" s="4"/>
      <c r="KH258" s="4"/>
      <c r="KI258" s="4"/>
      <c r="KJ258" s="4">
        <v>360</v>
      </c>
      <c r="KK258" s="4"/>
      <c r="KL258" s="4"/>
      <c r="KM258" s="4"/>
      <c r="KN258" s="4"/>
      <c r="KO258" s="4"/>
      <c r="KP258" s="4"/>
      <c r="KQ258" s="4"/>
      <c r="KR258" s="4"/>
      <c r="KS258" s="4"/>
      <c r="KT258" s="4"/>
      <c r="KU258" s="4"/>
      <c r="KV258" s="4"/>
      <c r="KW258" s="4"/>
      <c r="KX258" s="4"/>
      <c r="KY258" s="4"/>
      <c r="KZ258" s="4"/>
      <c r="LA258" s="4"/>
      <c r="LB258" s="4"/>
      <c r="LC258" s="4"/>
      <c r="LD258" s="4">
        <v>170</v>
      </c>
      <c r="LE258" s="4"/>
      <c r="LF258" s="4"/>
      <c r="LG258" s="4"/>
      <c r="LH258" s="4"/>
      <c r="LI258" s="4"/>
      <c r="LJ258" s="4"/>
      <c r="LK258" s="4"/>
      <c r="LL258" s="4"/>
      <c r="LM258" s="4">
        <v>330</v>
      </c>
    </row>
    <row r="259">
      <c r="A259" s="3" t="s">
        <v>136</v>
      </c>
      <c r="B259" s="3" t="s">
        <v>181</v>
      </c>
      <c r="C259" s="3" t="s">
        <v>138</v>
      </c>
      <c r="D259" s="3" t="s">
        <v>139</v>
      </c>
      <c r="E259" s="3" t="s">
        <v>186</v>
      </c>
      <c r="F259" s="3" t="s">
        <v>186</v>
      </c>
      <c r="G259" s="3" t="s">
        <v>186</v>
      </c>
      <c r="H259" s="3" t="s">
        <v>146</v>
      </c>
      <c r="I259" s="3" t="s">
        <v>342</v>
      </c>
      <c r="J259" s="3" t="s">
        <v>228</v>
      </c>
      <c r="K259" s="4">
        <v>126</v>
      </c>
      <c r="L259" s="4">
        <f>=ROUNDDOWN(3.87692307692308,0)</f>
      </c>
      <c r="M259" s="4">
        <v>1025</v>
      </c>
      <c r="N259" s="5">
        <v>0.926</v>
      </c>
      <c r="O259" s="4"/>
      <c r="P259" s="4">
        <f>=ROUNDDOWN({0},0)</f>
      </c>
      <c r="Q259" s="4"/>
      <c r="R259" s="5"/>
      <c r="S259" s="4">
        <v>265</v>
      </c>
      <c r="T259" s="6">
        <v>4139.31</v>
      </c>
      <c r="U259" s="4">
        <v>337</v>
      </c>
      <c r="V259" s="6">
        <v>5205.07</v>
      </c>
      <c r="W259" s="5">
        <v>-0.2136</v>
      </c>
      <c r="X259" s="5">
        <v>-0.2048</v>
      </c>
      <c r="Y259" s="4">
        <v>159</v>
      </c>
      <c r="Z259" s="6">
        <v>2462.88</v>
      </c>
      <c r="AA259" s="4">
        <v>50</v>
      </c>
      <c r="AB259" s="6">
        <v>779.8</v>
      </c>
      <c r="AC259" s="5">
        <v>2.18</v>
      </c>
      <c r="AD259" s="5">
        <v>2.1583</v>
      </c>
      <c r="AE259" s="4">
        <v>9</v>
      </c>
      <c r="AF259" s="6">
        <v>137.19</v>
      </c>
      <c r="AG259" s="4">
        <v>8</v>
      </c>
      <c r="AH259" s="6">
        <v>125.41</v>
      </c>
      <c r="AI259" s="5">
        <v>0.125</v>
      </c>
      <c r="AJ259" s="5">
        <v>0.0939</v>
      </c>
      <c r="AK259" s="4"/>
      <c r="AL259" s="6"/>
      <c r="AM259" s="4"/>
      <c r="AN259" s="6"/>
      <c r="AO259" s="5"/>
      <c r="AP259" s="5"/>
      <c r="AQ259" s="4">
        <v>44</v>
      </c>
      <c r="AR259" s="6">
        <v>728.08</v>
      </c>
      <c r="AS259" s="4">
        <v>104</v>
      </c>
      <c r="AT259" s="6">
        <v>1687.19</v>
      </c>
      <c r="AU259" s="5">
        <v>-0.5769</v>
      </c>
      <c r="AV259" s="5">
        <v>-0.5685</v>
      </c>
      <c r="AW259" s="4"/>
      <c r="AX259" s="6"/>
      <c r="AY259" s="4"/>
      <c r="AZ259" s="6"/>
      <c r="BA259" s="5"/>
      <c r="BB259" s="5"/>
      <c r="BC259" s="4"/>
      <c r="BD259" s="6"/>
      <c r="BE259" s="4"/>
      <c r="BF259" s="6"/>
      <c r="BG259" s="5"/>
      <c r="BH259" s="5"/>
      <c r="BI259" s="4">
        <v>39</v>
      </c>
      <c r="BJ259" s="6">
        <v>613.77</v>
      </c>
      <c r="BK259" s="4">
        <v>77</v>
      </c>
      <c r="BL259" s="6">
        <v>1178.36</v>
      </c>
      <c r="BM259" s="5">
        <v>-0.4935</v>
      </c>
      <c r="BN259" s="5">
        <v>-0.4791</v>
      </c>
      <c r="BO259" s="4">
        <v>5</v>
      </c>
      <c r="BP259" s="6">
        <v>63.05</v>
      </c>
      <c r="BQ259" s="4">
        <v>3</v>
      </c>
      <c r="BR259" s="6">
        <v>40.02</v>
      </c>
      <c r="BS259" s="5">
        <v>0.6667</v>
      </c>
      <c r="BT259" s="5">
        <v>0.5755</v>
      </c>
      <c r="BU259" s="4">
        <v>8</v>
      </c>
      <c r="BV259" s="6">
        <v>119.74</v>
      </c>
      <c r="BW259" s="4">
        <v>11</v>
      </c>
      <c r="BX259" s="6">
        <v>158.44</v>
      </c>
      <c r="BY259" s="5">
        <v>-0.2727</v>
      </c>
      <c r="BZ259" s="5">
        <v>-0.2443</v>
      </c>
      <c r="CA259" s="4"/>
      <c r="CB259" s="6"/>
      <c r="CC259" s="4">
        <v>32</v>
      </c>
      <c r="CD259" s="6">
        <v>438.25</v>
      </c>
      <c r="CE259" s="5"/>
      <c r="CF259" s="5"/>
      <c r="CG259" s="4"/>
      <c r="CH259" s="6"/>
      <c r="CI259" s="4">
        <v>17</v>
      </c>
      <c r="CJ259" s="6">
        <v>281.09</v>
      </c>
      <c r="CK259" s="5"/>
      <c r="CL259" s="5"/>
      <c r="CM259" s="4"/>
      <c r="CN259" s="6"/>
      <c r="CO259" s="4"/>
      <c r="CP259" s="6"/>
      <c r="CQ259" s="5"/>
      <c r="CR259" s="5"/>
      <c r="CS259" s="4"/>
      <c r="CT259" s="6"/>
      <c r="CU259" s="4"/>
      <c r="CV259" s="6"/>
      <c r="CW259" s="5"/>
      <c r="CX259" s="5"/>
      <c r="CY259" s="4">
        <v>1</v>
      </c>
      <c r="CZ259" s="6">
        <v>14.6</v>
      </c>
      <c r="DA259" s="4">
        <v>28</v>
      </c>
      <c r="DB259" s="6">
        <v>408.8</v>
      </c>
      <c r="DC259" s="5">
        <v>-0.9643</v>
      </c>
      <c r="DD259" s="5">
        <v>-0.9643</v>
      </c>
      <c r="DE259" s="4"/>
      <c r="DF259" s="6"/>
      <c r="DG259" s="4"/>
      <c r="DH259" s="6"/>
      <c r="DI259" s="5"/>
      <c r="DJ259" s="5"/>
      <c r="DK259" s="4"/>
      <c r="DL259" s="6"/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/>
      <c r="DX259" s="6"/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/>
      <c r="EV259" s="6"/>
      <c r="EW259" s="4"/>
      <c r="EX259" s="6"/>
      <c r="EY259" s="5"/>
      <c r="EZ259" s="5"/>
      <c r="FA259" s="4"/>
      <c r="FB259" s="6"/>
      <c r="FC259" s="4"/>
      <c r="FD259" s="6"/>
      <c r="FE259" s="5"/>
      <c r="FF259" s="5"/>
      <c r="FG259" s="4"/>
      <c r="FH259" s="6"/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>
        <v>5</v>
      </c>
      <c r="FV259" s="6">
        <v>81.25</v>
      </c>
      <c r="FW259" s="5"/>
      <c r="FX259" s="5"/>
      <c r="FY259" s="4"/>
      <c r="FZ259" s="6"/>
      <c r="GA259" s="4">
        <v>2</v>
      </c>
      <c r="GB259" s="6">
        <v>26.46</v>
      </c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  <c r="IA259" s="4"/>
      <c r="IB259" s="6"/>
      <c r="IC259" s="4"/>
      <c r="ID259" s="6"/>
      <c r="IE259" s="5"/>
      <c r="IF259" s="5"/>
      <c r="IG259" s="4"/>
      <c r="IH259" s="6"/>
      <c r="II259" s="4"/>
      <c r="IJ259" s="6"/>
      <c r="IK259" s="5"/>
      <c r="IL259" s="5"/>
      <c r="IM259" s="4"/>
      <c r="IN259" s="6"/>
      <c r="IO259" s="4"/>
      <c r="IP259" s="6"/>
      <c r="IQ259" s="5"/>
      <c r="IR259" s="5"/>
      <c r="IS259" s="4"/>
      <c r="IT259" s="6"/>
      <c r="IU259" s="4"/>
      <c r="IV259" s="6"/>
      <c r="IW259" s="5"/>
      <c r="IX259" s="5"/>
      <c r="IY259" s="4"/>
      <c r="IZ259" s="6"/>
      <c r="JA259" s="4"/>
      <c r="JB259" s="6"/>
      <c r="JC259" s="5"/>
      <c r="JD259" s="5"/>
      <c r="JE259" s="4"/>
      <c r="JF259" s="6"/>
      <c r="JG259" s="4"/>
      <c r="JH259" s="6"/>
      <c r="JI259" s="5"/>
      <c r="JJ259" s="5"/>
      <c r="JK259" s="4">
        <v>126</v>
      </c>
      <c r="JL259" s="4"/>
      <c r="JM259" s="4"/>
      <c r="JN259" s="4"/>
      <c r="JO259" s="4"/>
      <c r="JP259" s="4"/>
      <c r="JQ259" s="4"/>
      <c r="JR259" s="4"/>
      <c r="JS259" s="4"/>
      <c r="JT259" s="4"/>
      <c r="JU259" s="4"/>
      <c r="JV259" s="4"/>
      <c r="JW259" s="4"/>
      <c r="JX259" s="4"/>
      <c r="JY259" s="4"/>
      <c r="JZ259" s="4"/>
      <c r="KA259" s="4">
        <v>240</v>
      </c>
      <c r="KB259" s="4"/>
      <c r="KC259" s="4"/>
      <c r="KD259" s="4"/>
      <c r="KE259" s="4"/>
      <c r="KF259" s="4"/>
      <c r="KG259" s="4"/>
      <c r="KH259" s="4"/>
      <c r="KI259" s="4"/>
      <c r="KJ259" s="4">
        <v>285</v>
      </c>
      <c r="KK259" s="4"/>
      <c r="KL259" s="4"/>
      <c r="KM259" s="4"/>
      <c r="KN259" s="4"/>
      <c r="KO259" s="4"/>
      <c r="KP259" s="4"/>
      <c r="KQ259" s="4"/>
      <c r="KR259" s="4"/>
      <c r="KS259" s="4"/>
      <c r="KT259" s="4"/>
      <c r="KU259" s="4"/>
      <c r="KV259" s="4"/>
      <c r="KW259" s="4"/>
      <c r="KX259" s="4"/>
      <c r="KY259" s="4"/>
      <c r="KZ259" s="4"/>
      <c r="LA259" s="4"/>
      <c r="LB259" s="4"/>
      <c r="LC259" s="4"/>
      <c r="LD259" s="4">
        <v>280</v>
      </c>
      <c r="LE259" s="4"/>
      <c r="LF259" s="4"/>
      <c r="LG259" s="4"/>
      <c r="LH259" s="4"/>
      <c r="LI259" s="4"/>
      <c r="LJ259" s="4"/>
      <c r="LK259" s="4"/>
      <c r="LL259" s="4"/>
      <c r="LM259" s="4">
        <v>220</v>
      </c>
    </row>
    <row r="260">
      <c r="A260" s="3" t="s">
        <v>136</v>
      </c>
      <c r="B260" s="3" t="s">
        <v>181</v>
      </c>
      <c r="C260" s="3" t="s">
        <v>138</v>
      </c>
      <c r="D260" s="3" t="s">
        <v>139</v>
      </c>
      <c r="E260" s="3" t="s">
        <v>186</v>
      </c>
      <c r="F260" s="3" t="s">
        <v>186</v>
      </c>
      <c r="G260" s="3" t="s">
        <v>186</v>
      </c>
      <c r="H260" s="3" t="s">
        <v>146</v>
      </c>
      <c r="I260" s="3" t="s">
        <v>343</v>
      </c>
      <c r="J260" s="3" t="s">
        <v>228</v>
      </c>
      <c r="K260" s="4">
        <v>710</v>
      </c>
      <c r="L260" s="4">
        <f>=ROUNDDOWN(27.9527559055118,0)</f>
      </c>
      <c r="M260" s="4">
        <v>540</v>
      </c>
      <c r="N260" s="5">
        <v>1</v>
      </c>
      <c r="O260" s="4"/>
      <c r="P260" s="4">
        <f>=ROUNDDOWN({0},0)</f>
      </c>
      <c r="Q260" s="4"/>
      <c r="R260" s="5"/>
      <c r="S260" s="4">
        <v>187</v>
      </c>
      <c r="T260" s="6">
        <v>2944.69</v>
      </c>
      <c r="U260" s="4">
        <v>462</v>
      </c>
      <c r="V260" s="6">
        <v>7382.71</v>
      </c>
      <c r="W260" s="5">
        <v>-0.5952</v>
      </c>
      <c r="X260" s="5">
        <v>-0.6011</v>
      </c>
      <c r="Y260" s="4">
        <v>103</v>
      </c>
      <c r="Z260" s="6">
        <v>1570.04</v>
      </c>
      <c r="AA260" s="4">
        <v>106</v>
      </c>
      <c r="AB260" s="6">
        <v>1532.4</v>
      </c>
      <c r="AC260" s="5">
        <v>-0.0283</v>
      </c>
      <c r="AD260" s="5">
        <v>0.0246</v>
      </c>
      <c r="AE260" s="4">
        <v>4</v>
      </c>
      <c r="AF260" s="6">
        <v>61.82</v>
      </c>
      <c r="AG260" s="4">
        <v>6</v>
      </c>
      <c r="AH260" s="6">
        <v>100.68</v>
      </c>
      <c r="AI260" s="5">
        <v>-0.3333</v>
      </c>
      <c r="AJ260" s="5">
        <v>-0.386</v>
      </c>
      <c r="AK260" s="4">
        <v>1</v>
      </c>
      <c r="AL260" s="6">
        <v>32.99</v>
      </c>
      <c r="AM260" s="4"/>
      <c r="AN260" s="6"/>
      <c r="AO260" s="5"/>
      <c r="AP260" s="5"/>
      <c r="AQ260" s="4">
        <v>38</v>
      </c>
      <c r="AR260" s="6">
        <v>633.74</v>
      </c>
      <c r="AS260" s="4">
        <v>257</v>
      </c>
      <c r="AT260" s="6">
        <v>4275.67</v>
      </c>
      <c r="AU260" s="5">
        <v>-0.8521</v>
      </c>
      <c r="AV260" s="5">
        <v>-0.8518</v>
      </c>
      <c r="AW260" s="4"/>
      <c r="AX260" s="6"/>
      <c r="AY260" s="4"/>
      <c r="AZ260" s="6"/>
      <c r="BA260" s="5"/>
      <c r="BB260" s="5"/>
      <c r="BC260" s="4"/>
      <c r="BD260" s="6"/>
      <c r="BE260" s="4"/>
      <c r="BF260" s="6"/>
      <c r="BG260" s="5"/>
      <c r="BH260" s="5"/>
      <c r="BI260" s="4">
        <v>34</v>
      </c>
      <c r="BJ260" s="6">
        <v>538.24</v>
      </c>
      <c r="BK260" s="4">
        <v>63</v>
      </c>
      <c r="BL260" s="6">
        <v>1012.12</v>
      </c>
      <c r="BM260" s="5">
        <v>-0.4603</v>
      </c>
      <c r="BN260" s="5">
        <v>-0.4682</v>
      </c>
      <c r="BO260" s="4">
        <v>6</v>
      </c>
      <c r="BP260" s="6">
        <v>76.87</v>
      </c>
      <c r="BQ260" s="4">
        <v>3</v>
      </c>
      <c r="BR260" s="6">
        <v>41.05</v>
      </c>
      <c r="BS260" s="5">
        <v>1</v>
      </c>
      <c r="BT260" s="5">
        <v>0.8726</v>
      </c>
      <c r="BU260" s="4"/>
      <c r="BV260" s="6"/>
      <c r="BW260" s="4">
        <v>7</v>
      </c>
      <c r="BX260" s="6">
        <v>112.86</v>
      </c>
      <c r="BY260" s="5"/>
      <c r="BZ260" s="5"/>
      <c r="CA260" s="4"/>
      <c r="CB260" s="6"/>
      <c r="CC260" s="4">
        <v>7</v>
      </c>
      <c r="CD260" s="6">
        <v>104.63</v>
      </c>
      <c r="CE260" s="5"/>
      <c r="CF260" s="5"/>
      <c r="CG260" s="4"/>
      <c r="CH260" s="6"/>
      <c r="CI260" s="4">
        <v>8</v>
      </c>
      <c r="CJ260" s="6">
        <v>116.16</v>
      </c>
      <c r="CK260" s="5"/>
      <c r="CL260" s="5"/>
      <c r="CM260" s="4"/>
      <c r="CN260" s="6"/>
      <c r="CO260" s="4"/>
      <c r="CP260" s="6"/>
      <c r="CQ260" s="5"/>
      <c r="CR260" s="5"/>
      <c r="CS260" s="4"/>
      <c r="CT260" s="6"/>
      <c r="CU260" s="4"/>
      <c r="CV260" s="6"/>
      <c r="CW260" s="5"/>
      <c r="CX260" s="5"/>
      <c r="CY260" s="4"/>
      <c r="CZ260" s="6"/>
      <c r="DA260" s="4">
        <v>2</v>
      </c>
      <c r="DB260" s="6">
        <v>36.5</v>
      </c>
      <c r="DC260" s="5"/>
      <c r="DD260" s="5"/>
      <c r="DE260" s="4"/>
      <c r="DF260" s="6"/>
      <c r="DG260" s="4"/>
      <c r="DH260" s="6"/>
      <c r="DI260" s="5"/>
      <c r="DJ260" s="5"/>
      <c r="DK260" s="4">
        <v>1</v>
      </c>
      <c r="DL260" s="6">
        <v>30.99</v>
      </c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/>
      <c r="DX260" s="6"/>
      <c r="DY260" s="4"/>
      <c r="DZ260" s="6"/>
      <c r="EA260" s="5"/>
      <c r="EB260" s="5"/>
      <c r="EC260" s="4"/>
      <c r="ED260" s="6"/>
      <c r="EE260" s="4"/>
      <c r="EF260" s="6"/>
      <c r="EG260" s="5"/>
      <c r="EH260" s="5"/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/>
      <c r="FB260" s="6"/>
      <c r="FC260" s="4"/>
      <c r="FD260" s="6"/>
      <c r="FE260" s="5"/>
      <c r="FF260" s="5"/>
      <c r="FG260" s="4"/>
      <c r="FH260" s="6"/>
      <c r="FI260" s="4"/>
      <c r="FJ260" s="6"/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>
        <v>3</v>
      </c>
      <c r="FV260" s="6">
        <v>50.64</v>
      </c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  <c r="IA260" s="4"/>
      <c r="IB260" s="6"/>
      <c r="IC260" s="4"/>
      <c r="ID260" s="6"/>
      <c r="IE260" s="5"/>
      <c r="IF260" s="5"/>
      <c r="IG260" s="4"/>
      <c r="IH260" s="6"/>
      <c r="II260" s="4"/>
      <c r="IJ260" s="6"/>
      <c r="IK260" s="5"/>
      <c r="IL260" s="5"/>
      <c r="IM260" s="4"/>
      <c r="IN260" s="6"/>
      <c r="IO260" s="4"/>
      <c r="IP260" s="6"/>
      <c r="IQ260" s="5"/>
      <c r="IR260" s="5"/>
      <c r="IS260" s="4"/>
      <c r="IT260" s="6"/>
      <c r="IU260" s="4"/>
      <c r="IV260" s="6"/>
      <c r="IW260" s="5"/>
      <c r="IX260" s="5"/>
      <c r="IY260" s="4"/>
      <c r="IZ260" s="6"/>
      <c r="JA260" s="4"/>
      <c r="JB260" s="6"/>
      <c r="JC260" s="5"/>
      <c r="JD260" s="5"/>
      <c r="JE260" s="4"/>
      <c r="JF260" s="6"/>
      <c r="JG260" s="4"/>
      <c r="JH260" s="6"/>
      <c r="JI260" s="5"/>
      <c r="JJ260" s="5"/>
      <c r="JK260" s="4">
        <v>710</v>
      </c>
      <c r="JL260" s="4"/>
      <c r="JM260" s="4"/>
      <c r="JN260" s="4"/>
      <c r="JO260" s="4"/>
      <c r="JP260" s="4"/>
      <c r="JQ260" s="4"/>
      <c r="JR260" s="4"/>
      <c r="JS260" s="4"/>
      <c r="JT260" s="4"/>
      <c r="JU260" s="4"/>
      <c r="JV260" s="4"/>
      <c r="JW260" s="4"/>
      <c r="JX260" s="4"/>
      <c r="JY260" s="4"/>
      <c r="JZ260" s="4"/>
      <c r="KA260" s="4">
        <v>160</v>
      </c>
      <c r="KB260" s="4"/>
      <c r="KC260" s="4"/>
      <c r="KD260" s="4"/>
      <c r="KE260" s="4"/>
      <c r="KF260" s="4"/>
      <c r="KG260" s="4"/>
      <c r="KH260" s="4"/>
      <c r="KI260" s="4"/>
      <c r="KJ260" s="4">
        <v>380</v>
      </c>
      <c r="KK260" s="4"/>
      <c r="KL260" s="4"/>
      <c r="KM260" s="4"/>
      <c r="KN260" s="4"/>
      <c r="KO260" s="4"/>
      <c r="KP260" s="4"/>
      <c r="KQ260" s="4"/>
      <c r="KR260" s="4"/>
      <c r="KS260" s="4"/>
      <c r="KT260" s="4"/>
      <c r="KU260" s="4"/>
      <c r="KV260" s="4"/>
      <c r="KW260" s="4"/>
      <c r="KX260" s="4"/>
      <c r="KY260" s="4"/>
      <c r="KZ260" s="4"/>
      <c r="LA260" s="4"/>
      <c r="LB260" s="4"/>
      <c r="LC260" s="4"/>
      <c r="LD260" s="4"/>
      <c r="LE260" s="4"/>
      <c r="LF260" s="4"/>
      <c r="LG260" s="4"/>
      <c r="LH260" s="4"/>
      <c r="LI260" s="4"/>
      <c r="LJ260" s="4"/>
      <c r="LK260" s="4"/>
      <c r="LL260" s="4"/>
      <c r="LM260" s="4"/>
    </row>
    <row r="261">
      <c r="A261" s="3" t="s">
        <v>136</v>
      </c>
      <c r="B261" s="3" t="s">
        <v>181</v>
      </c>
      <c r="C261" s="3" t="s">
        <v>138</v>
      </c>
      <c r="D261" s="3" t="s">
        <v>139</v>
      </c>
      <c r="E261" s="3" t="s">
        <v>187</v>
      </c>
      <c r="F261" s="3" t="s">
        <v>187</v>
      </c>
      <c r="G261" s="3" t="s">
        <v>187</v>
      </c>
      <c r="H261" s="3" t="s">
        <v>146</v>
      </c>
      <c r="I261" s="3" t="s">
        <v>344</v>
      </c>
      <c r="J261" s="3" t="s">
        <v>228</v>
      </c>
      <c r="K261" s="4">
        <v>108</v>
      </c>
      <c r="L261" s="4">
        <f>=ROUNDDOWN(3.08571428571429,0)</f>
      </c>
      <c r="M261" s="4">
        <v>875</v>
      </c>
      <c r="N261" s="5">
        <v>0.7158</v>
      </c>
      <c r="O261" s="4"/>
      <c r="P261" s="4">
        <f>=ROUNDDOWN({0},0)</f>
      </c>
      <c r="Q261" s="4"/>
      <c r="R261" s="5"/>
      <c r="S261" s="4">
        <v>408</v>
      </c>
      <c r="T261" s="6">
        <v>6766.39</v>
      </c>
      <c r="U261" s="4">
        <v>10</v>
      </c>
      <c r="V261" s="6">
        <v>166.17</v>
      </c>
      <c r="W261" s="5">
        <v>39.8</v>
      </c>
      <c r="X261" s="5">
        <v>39.7197</v>
      </c>
      <c r="Y261" s="4">
        <v>15</v>
      </c>
      <c r="Z261" s="6">
        <v>230.7</v>
      </c>
      <c r="AA261" s="4"/>
      <c r="AB261" s="6"/>
      <c r="AC261" s="5"/>
      <c r="AD261" s="5"/>
      <c r="AE261" s="4">
        <v>3</v>
      </c>
      <c r="AF261" s="6">
        <v>45.69</v>
      </c>
      <c r="AG261" s="4"/>
      <c r="AH261" s="6"/>
      <c r="AI261" s="5"/>
      <c r="AJ261" s="5"/>
      <c r="AK261" s="4"/>
      <c r="AL261" s="6"/>
      <c r="AM261" s="4"/>
      <c r="AN261" s="6"/>
      <c r="AO261" s="5"/>
      <c r="AP261" s="5"/>
      <c r="AQ261" s="4">
        <v>231</v>
      </c>
      <c r="AR261" s="6">
        <v>3931.1</v>
      </c>
      <c r="AS261" s="4"/>
      <c r="AT261" s="6"/>
      <c r="AU261" s="5"/>
      <c r="AV261" s="5"/>
      <c r="AW261" s="4">
        <v>12</v>
      </c>
      <c r="AX261" s="6">
        <v>202.65</v>
      </c>
      <c r="AY261" s="4">
        <v>8</v>
      </c>
      <c r="AZ261" s="6">
        <v>134.07</v>
      </c>
      <c r="BA261" s="5">
        <v>0.5</v>
      </c>
      <c r="BB261" s="5">
        <v>0.5115</v>
      </c>
      <c r="BC261" s="4">
        <v>121</v>
      </c>
      <c r="BD261" s="6">
        <v>1885.05</v>
      </c>
      <c r="BE261" s="4"/>
      <c r="BF261" s="6"/>
      <c r="BG261" s="5"/>
      <c r="BH261" s="5"/>
      <c r="BI261" s="4">
        <v>8</v>
      </c>
      <c r="BJ261" s="6">
        <v>138.35</v>
      </c>
      <c r="BK261" s="4">
        <v>2</v>
      </c>
      <c r="BL261" s="6">
        <v>32.1</v>
      </c>
      <c r="BM261" s="5">
        <v>3</v>
      </c>
      <c r="BN261" s="5">
        <v>3.31</v>
      </c>
      <c r="BO261" s="4"/>
      <c r="BP261" s="6"/>
      <c r="BQ261" s="4"/>
      <c r="BR261" s="6"/>
      <c r="BS261" s="5"/>
      <c r="BT261" s="5"/>
      <c r="BU261" s="4">
        <v>4</v>
      </c>
      <c r="BV261" s="6">
        <v>70.35</v>
      </c>
      <c r="BW261" s="4"/>
      <c r="BX261" s="6"/>
      <c r="BY261" s="5"/>
      <c r="BZ261" s="5"/>
      <c r="CA261" s="4">
        <v>1</v>
      </c>
      <c r="CB261" s="6">
        <v>25.46</v>
      </c>
      <c r="CC261" s="4"/>
      <c r="CD261" s="6"/>
      <c r="CE261" s="5"/>
      <c r="CF261" s="5"/>
      <c r="CG261" s="4">
        <v>13</v>
      </c>
      <c r="CH261" s="6">
        <v>237.04</v>
      </c>
      <c r="CI261" s="4"/>
      <c r="CJ261" s="6"/>
      <c r="CK261" s="5"/>
      <c r="CL261" s="5"/>
      <c r="CM261" s="4"/>
      <c r="CN261" s="6"/>
      <c r="CO261" s="4"/>
      <c r="CP261" s="6"/>
      <c r="CQ261" s="5"/>
      <c r="CR261" s="5"/>
      <c r="CS261" s="4"/>
      <c r="CT261" s="6"/>
      <c r="CU261" s="4"/>
      <c r="CV261" s="6"/>
      <c r="CW261" s="5"/>
      <c r="CX261" s="5"/>
      <c r="CY261" s="4"/>
      <c r="CZ261" s="6"/>
      <c r="DA261" s="4"/>
      <c r="DB261" s="6"/>
      <c r="DC261" s="5"/>
      <c r="DD261" s="5"/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/>
      <c r="DX261" s="6"/>
      <c r="DY261" s="4"/>
      <c r="DZ261" s="6"/>
      <c r="EA261" s="5"/>
      <c r="EB261" s="5"/>
      <c r="EC261" s="4"/>
      <c r="ED261" s="6"/>
      <c r="EE261" s="4"/>
      <c r="EF261" s="6"/>
      <c r="EG261" s="5"/>
      <c r="EH261" s="5"/>
      <c r="EI261" s="4"/>
      <c r="EJ261" s="6"/>
      <c r="EK261" s="4"/>
      <c r="EL261" s="6"/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/>
      <c r="FB261" s="6"/>
      <c r="FC261" s="4"/>
      <c r="FD261" s="6"/>
      <c r="FE261" s="5"/>
      <c r="FF261" s="5"/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/>
      <c r="FV261" s="6"/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  <c r="IA261" s="4"/>
      <c r="IB261" s="6"/>
      <c r="IC261" s="4"/>
      <c r="ID261" s="6"/>
      <c r="IE261" s="5"/>
      <c r="IF261" s="5"/>
      <c r="IG261" s="4"/>
      <c r="IH261" s="6"/>
      <c r="II261" s="4"/>
      <c r="IJ261" s="6"/>
      <c r="IK261" s="5"/>
      <c r="IL261" s="5"/>
      <c r="IM261" s="4"/>
      <c r="IN261" s="6"/>
      <c r="IO261" s="4"/>
      <c r="IP261" s="6"/>
      <c r="IQ261" s="5"/>
      <c r="IR261" s="5"/>
      <c r="IS261" s="4"/>
      <c r="IT261" s="6"/>
      <c r="IU261" s="4"/>
      <c r="IV261" s="6"/>
      <c r="IW261" s="5"/>
      <c r="IX261" s="5"/>
      <c r="IY261" s="4"/>
      <c r="IZ261" s="6"/>
      <c r="JA261" s="4"/>
      <c r="JB261" s="6"/>
      <c r="JC261" s="5"/>
      <c r="JD261" s="5"/>
      <c r="JE261" s="4"/>
      <c r="JF261" s="6"/>
      <c r="JG261" s="4"/>
      <c r="JH261" s="6"/>
      <c r="JI261" s="5"/>
      <c r="JJ261" s="5"/>
      <c r="JK261" s="4">
        <v>108</v>
      </c>
      <c r="JL261" s="4"/>
      <c r="JM261" s="4"/>
      <c r="JN261" s="4"/>
      <c r="JO261" s="4"/>
      <c r="JP261" s="4"/>
      <c r="JQ261" s="4"/>
      <c r="JR261" s="4"/>
      <c r="JS261" s="4"/>
      <c r="JT261" s="4"/>
      <c r="JU261" s="4"/>
      <c r="JV261" s="4"/>
      <c r="JW261" s="4"/>
      <c r="JX261" s="4"/>
      <c r="JY261" s="4"/>
      <c r="JZ261" s="4"/>
      <c r="KA261" s="4"/>
      <c r="KB261" s="4"/>
      <c r="KC261" s="4"/>
      <c r="KD261" s="4"/>
      <c r="KE261" s="4"/>
      <c r="KF261" s="4"/>
      <c r="KG261" s="4"/>
      <c r="KH261" s="4"/>
      <c r="KI261" s="4"/>
      <c r="KJ261" s="4"/>
      <c r="KK261" s="4"/>
      <c r="KL261" s="4"/>
      <c r="KM261" s="4"/>
      <c r="KN261" s="4"/>
      <c r="KO261" s="4"/>
      <c r="KP261" s="4"/>
      <c r="KQ261" s="4"/>
      <c r="KR261" s="4"/>
      <c r="KS261" s="4"/>
      <c r="KT261" s="4"/>
      <c r="KU261" s="4">
        <v>330</v>
      </c>
      <c r="KV261" s="4"/>
      <c r="KW261" s="4"/>
      <c r="KX261" s="4"/>
      <c r="KY261" s="4"/>
      <c r="KZ261" s="4">
        <v>235</v>
      </c>
      <c r="LA261" s="4"/>
      <c r="LB261" s="4"/>
      <c r="LC261" s="4"/>
      <c r="LD261" s="4"/>
      <c r="LE261" s="4"/>
      <c r="LF261" s="4"/>
      <c r="LG261" s="4">
        <v>310</v>
      </c>
      <c r="LH261" s="4"/>
      <c r="LI261" s="4"/>
      <c r="LJ261" s="4"/>
      <c r="LK261" s="4"/>
      <c r="LL261" s="4"/>
      <c r="LM261" s="4"/>
    </row>
    <row r="262">
      <c r="A262" s="3" t="s">
        <v>136</v>
      </c>
      <c r="B262" s="3" t="s">
        <v>181</v>
      </c>
      <c r="C262" s="3" t="s">
        <v>138</v>
      </c>
      <c r="D262" s="3" t="s">
        <v>139</v>
      </c>
      <c r="E262" s="3" t="s">
        <v>187</v>
      </c>
      <c r="F262" s="3" t="s">
        <v>187</v>
      </c>
      <c r="G262" s="3" t="s">
        <v>187</v>
      </c>
      <c r="H262" s="3" t="s">
        <v>146</v>
      </c>
      <c r="I262" s="3" t="s">
        <v>345</v>
      </c>
      <c r="J262" s="3" t="s">
        <v>228</v>
      </c>
      <c r="K262" s="4">
        <v>394</v>
      </c>
      <c r="L262" s="4">
        <f>=ROUNDDOWN(19.7,0)</f>
      </c>
      <c r="M262" s="4">
        <v>600</v>
      </c>
      <c r="N262" s="5">
        <v>1</v>
      </c>
      <c r="O262" s="4"/>
      <c r="P262" s="4">
        <f>=ROUNDDOWN({0},0)</f>
      </c>
      <c r="Q262" s="4"/>
      <c r="R262" s="5"/>
      <c r="S262" s="4">
        <v>207</v>
      </c>
      <c r="T262" s="6">
        <v>3226.7</v>
      </c>
      <c r="U262" s="4">
        <v>10</v>
      </c>
      <c r="V262" s="6">
        <v>158.29</v>
      </c>
      <c r="W262" s="5">
        <v>19.7</v>
      </c>
      <c r="X262" s="5">
        <v>19.3847</v>
      </c>
      <c r="Y262" s="4">
        <v>42</v>
      </c>
      <c r="Z262" s="6">
        <v>667.11</v>
      </c>
      <c r="AA262" s="4"/>
      <c r="AB262" s="6"/>
      <c r="AC262" s="5"/>
      <c r="AD262" s="5"/>
      <c r="AE262" s="4">
        <v>3</v>
      </c>
      <c r="AF262" s="6">
        <v>46.14</v>
      </c>
      <c r="AG262" s="4"/>
      <c r="AH262" s="6"/>
      <c r="AI262" s="5"/>
      <c r="AJ262" s="5"/>
      <c r="AK262" s="4"/>
      <c r="AL262" s="6"/>
      <c r="AM262" s="4"/>
      <c r="AN262" s="6"/>
      <c r="AO262" s="5"/>
      <c r="AP262" s="5"/>
      <c r="AQ262" s="4">
        <v>46</v>
      </c>
      <c r="AR262" s="6">
        <v>765.44</v>
      </c>
      <c r="AS262" s="4"/>
      <c r="AT262" s="6"/>
      <c r="AU262" s="5"/>
      <c r="AV262" s="5"/>
      <c r="AW262" s="4">
        <v>10</v>
      </c>
      <c r="AX262" s="6">
        <v>160.86</v>
      </c>
      <c r="AY262" s="4">
        <v>5</v>
      </c>
      <c r="AZ262" s="6">
        <v>80.43</v>
      </c>
      <c r="BA262" s="5">
        <v>1</v>
      </c>
      <c r="BB262" s="5">
        <v>1</v>
      </c>
      <c r="BC262" s="4">
        <v>73</v>
      </c>
      <c r="BD262" s="6">
        <v>1057.33</v>
      </c>
      <c r="BE262" s="4"/>
      <c r="BF262" s="6"/>
      <c r="BG262" s="5"/>
      <c r="BH262" s="5"/>
      <c r="BI262" s="4">
        <v>22</v>
      </c>
      <c r="BJ262" s="6">
        <v>360.77</v>
      </c>
      <c r="BK262" s="4">
        <v>2</v>
      </c>
      <c r="BL262" s="6">
        <v>35.27</v>
      </c>
      <c r="BM262" s="5">
        <v>10</v>
      </c>
      <c r="BN262" s="5">
        <v>9.2288</v>
      </c>
      <c r="BO262" s="4"/>
      <c r="BP262" s="6"/>
      <c r="BQ262" s="4"/>
      <c r="BR262" s="6"/>
      <c r="BS262" s="5"/>
      <c r="BT262" s="5"/>
      <c r="BU262" s="4">
        <v>2</v>
      </c>
      <c r="BV262" s="6">
        <v>36.06</v>
      </c>
      <c r="BW262" s="4"/>
      <c r="BX262" s="6"/>
      <c r="BY262" s="5"/>
      <c r="BZ262" s="5"/>
      <c r="CA262" s="4">
        <v>5</v>
      </c>
      <c r="CB262" s="6">
        <v>76.19</v>
      </c>
      <c r="CC262" s="4">
        <v>2</v>
      </c>
      <c r="CD262" s="6">
        <v>25.1</v>
      </c>
      <c r="CE262" s="5">
        <v>1.5</v>
      </c>
      <c r="CF262" s="5">
        <v>2.0355</v>
      </c>
      <c r="CG262" s="4">
        <v>4</v>
      </c>
      <c r="CH262" s="6">
        <v>56.8</v>
      </c>
      <c r="CI262" s="4"/>
      <c r="CJ262" s="6"/>
      <c r="CK262" s="5"/>
      <c r="CL262" s="5"/>
      <c r="CM262" s="4"/>
      <c r="CN262" s="6"/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/>
      <c r="CZ262" s="6"/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>
        <v>1</v>
      </c>
      <c r="DN262" s="6">
        <v>17.49</v>
      </c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  <c r="IA262" s="4"/>
      <c r="IB262" s="6"/>
      <c r="IC262" s="4"/>
      <c r="ID262" s="6"/>
      <c r="IE262" s="5"/>
      <c r="IF262" s="5"/>
      <c r="IG262" s="4"/>
      <c r="IH262" s="6"/>
      <c r="II262" s="4"/>
      <c r="IJ262" s="6"/>
      <c r="IK262" s="5"/>
      <c r="IL262" s="5"/>
      <c r="IM262" s="4"/>
      <c r="IN262" s="6"/>
      <c r="IO262" s="4"/>
      <c r="IP262" s="6"/>
      <c r="IQ262" s="5"/>
      <c r="IR262" s="5"/>
      <c r="IS262" s="4"/>
      <c r="IT262" s="6"/>
      <c r="IU262" s="4"/>
      <c r="IV262" s="6"/>
      <c r="IW262" s="5"/>
      <c r="IX262" s="5"/>
      <c r="IY262" s="4"/>
      <c r="IZ262" s="6"/>
      <c r="JA262" s="4"/>
      <c r="JB262" s="6"/>
      <c r="JC262" s="5"/>
      <c r="JD262" s="5"/>
      <c r="JE262" s="4"/>
      <c r="JF262" s="6"/>
      <c r="JG262" s="4"/>
      <c r="JH262" s="6"/>
      <c r="JI262" s="5"/>
      <c r="JJ262" s="5"/>
      <c r="JK262" s="4">
        <v>394</v>
      </c>
      <c r="JL262" s="4"/>
      <c r="JM262" s="4"/>
      <c r="JN262" s="4"/>
      <c r="JO262" s="4"/>
      <c r="JP262" s="4"/>
      <c r="JQ262" s="4"/>
      <c r="JR262" s="4"/>
      <c r="JS262" s="4"/>
      <c r="JT262" s="4"/>
      <c r="JU262" s="4"/>
      <c r="JV262" s="4"/>
      <c r="JW262" s="4"/>
      <c r="JX262" s="4"/>
      <c r="JY262" s="4"/>
      <c r="JZ262" s="4"/>
      <c r="KA262" s="4"/>
      <c r="KB262" s="4"/>
      <c r="KC262" s="4"/>
      <c r="KD262" s="4"/>
      <c r="KE262" s="4"/>
      <c r="KF262" s="4"/>
      <c r="KG262" s="4"/>
      <c r="KH262" s="4"/>
      <c r="KI262" s="4"/>
      <c r="KJ262" s="4"/>
      <c r="KK262" s="4"/>
      <c r="KL262" s="4"/>
      <c r="KM262" s="4"/>
      <c r="KN262" s="4"/>
      <c r="KO262" s="4"/>
      <c r="KP262" s="4"/>
      <c r="KQ262" s="4"/>
      <c r="KR262" s="4"/>
      <c r="KS262" s="4"/>
      <c r="KT262" s="4"/>
      <c r="KU262" s="4"/>
      <c r="KV262" s="4"/>
      <c r="KW262" s="4"/>
      <c r="KX262" s="4"/>
      <c r="KY262" s="4"/>
      <c r="KZ262" s="4"/>
      <c r="LA262" s="4"/>
      <c r="LB262" s="4"/>
      <c r="LC262" s="4"/>
      <c r="LD262" s="4">
        <v>230</v>
      </c>
      <c r="LE262" s="4"/>
      <c r="LF262" s="4"/>
      <c r="LG262" s="4"/>
      <c r="LH262" s="4"/>
      <c r="LI262" s="4"/>
      <c r="LJ262" s="4"/>
      <c r="LK262" s="4"/>
      <c r="LL262" s="4"/>
      <c r="LM262" s="4">
        <v>370</v>
      </c>
    </row>
    <row r="263">
      <c r="A263" s="3" t="s">
        <v>136</v>
      </c>
      <c r="B263" s="3" t="s">
        <v>181</v>
      </c>
      <c r="C263" s="3" t="s">
        <v>138</v>
      </c>
      <c r="D263" s="3" t="s">
        <v>139</v>
      </c>
      <c r="E263" s="3" t="s">
        <v>162</v>
      </c>
      <c r="F263" s="3" t="s">
        <v>162</v>
      </c>
      <c r="G263" s="3" t="s">
        <v>162</v>
      </c>
      <c r="H263" s="3" t="s">
        <v>146</v>
      </c>
      <c r="I263" s="3" t="s">
        <v>230</v>
      </c>
      <c r="J263" s="3" t="s">
        <v>241</v>
      </c>
      <c r="K263" s="4">
        <v>297</v>
      </c>
      <c r="L263" s="4">
        <f>=ROUNDDOWN(47.1428571428571,0)</f>
      </c>
      <c r="M263" s="4"/>
      <c r="N263" s="5"/>
      <c r="O263" s="4"/>
      <c r="P263" s="4">
        <f>=ROUNDDOWN({0},0)</f>
      </c>
      <c r="Q263" s="4"/>
      <c r="R263" s="5"/>
      <c r="S263" s="4">
        <v>45</v>
      </c>
      <c r="T263" s="6">
        <v>573.62</v>
      </c>
      <c r="U263" s="4">
        <v>337</v>
      </c>
      <c r="V263" s="6">
        <v>3429.27</v>
      </c>
      <c r="W263" s="5">
        <v>-0.8665</v>
      </c>
      <c r="X263" s="5">
        <v>-0.8327</v>
      </c>
      <c r="Y263" s="4"/>
      <c r="Z263" s="6"/>
      <c r="AA263" s="4"/>
      <c r="AB263" s="6"/>
      <c r="AC263" s="5"/>
      <c r="AD263" s="5"/>
      <c r="AE263" s="4"/>
      <c r="AF263" s="6"/>
      <c r="AG263" s="4">
        <v>2</v>
      </c>
      <c r="AH263" s="6">
        <v>27.42</v>
      </c>
      <c r="AI263" s="5"/>
      <c r="AJ263" s="5"/>
      <c r="AK263" s="4"/>
      <c r="AL263" s="6"/>
      <c r="AM263" s="4"/>
      <c r="AN263" s="6"/>
      <c r="AO263" s="5"/>
      <c r="AP263" s="5"/>
      <c r="AQ263" s="4"/>
      <c r="AR263" s="6"/>
      <c r="AS263" s="4">
        <v>4</v>
      </c>
      <c r="AT263" s="6">
        <v>50.96</v>
      </c>
      <c r="AU263" s="5"/>
      <c r="AV263" s="5"/>
      <c r="AW263" s="4">
        <v>6</v>
      </c>
      <c r="AX263" s="6">
        <v>85.74</v>
      </c>
      <c r="AY263" s="4">
        <v>15</v>
      </c>
      <c r="AZ263" s="6">
        <v>214.35</v>
      </c>
      <c r="BA263" s="5">
        <v>-0.6</v>
      </c>
      <c r="BB263" s="5">
        <v>-0.6</v>
      </c>
      <c r="BC263" s="4">
        <v>20</v>
      </c>
      <c r="BD263" s="6">
        <v>259.4</v>
      </c>
      <c r="BE263" s="4">
        <v>11</v>
      </c>
      <c r="BF263" s="6">
        <v>142.67</v>
      </c>
      <c r="BG263" s="5">
        <v>0.8182</v>
      </c>
      <c r="BH263" s="5">
        <v>0.8182</v>
      </c>
      <c r="BI263" s="4"/>
      <c r="BJ263" s="6"/>
      <c r="BK263" s="4">
        <v>230</v>
      </c>
      <c r="BL263" s="6">
        <v>2085.38</v>
      </c>
      <c r="BM263" s="5"/>
      <c r="BN263" s="5"/>
      <c r="BO263" s="4">
        <v>1</v>
      </c>
      <c r="BP263" s="6">
        <v>8.29</v>
      </c>
      <c r="BQ263" s="4">
        <v>8</v>
      </c>
      <c r="BR263" s="6">
        <v>90.53</v>
      </c>
      <c r="BS263" s="5">
        <v>-0.875</v>
      </c>
      <c r="BT263" s="5">
        <v>-0.9084</v>
      </c>
      <c r="BU263" s="4"/>
      <c r="BV263" s="6"/>
      <c r="BW263" s="4"/>
      <c r="BX263" s="6"/>
      <c r="BY263" s="5"/>
      <c r="BZ263" s="5"/>
      <c r="CA263" s="4"/>
      <c r="CB263" s="6"/>
      <c r="CC263" s="4">
        <v>1</v>
      </c>
      <c r="CD263" s="6">
        <v>11.56</v>
      </c>
      <c r="CE263" s="5"/>
      <c r="CF263" s="5"/>
      <c r="CG263" s="4">
        <v>7</v>
      </c>
      <c r="CH263" s="6">
        <v>89.18</v>
      </c>
      <c r="CI263" s="4">
        <v>18</v>
      </c>
      <c r="CJ263" s="6">
        <v>229.32</v>
      </c>
      <c r="CK263" s="5">
        <v>-0.6111</v>
      </c>
      <c r="CL263" s="5">
        <v>-0.6111</v>
      </c>
      <c r="CM263" s="4"/>
      <c r="CN263" s="6"/>
      <c r="CO263" s="4"/>
      <c r="CP263" s="6"/>
      <c r="CQ263" s="5"/>
      <c r="CR263" s="5"/>
      <c r="CS263" s="4"/>
      <c r="CT263" s="6"/>
      <c r="CU263" s="4">
        <v>2</v>
      </c>
      <c r="CV263" s="6">
        <v>27.22</v>
      </c>
      <c r="CW263" s="5"/>
      <c r="CX263" s="5"/>
      <c r="CY263" s="4">
        <v>11</v>
      </c>
      <c r="CZ263" s="6">
        <v>131.01</v>
      </c>
      <c r="DA263" s="4">
        <v>44</v>
      </c>
      <c r="DB263" s="6">
        <v>524.04</v>
      </c>
      <c r="DC263" s="5">
        <v>-0.75</v>
      </c>
      <c r="DD263" s="5">
        <v>-0.75</v>
      </c>
      <c r="DE263" s="4"/>
      <c r="DF263" s="6"/>
      <c r="DG263" s="4"/>
      <c r="DH263" s="6"/>
      <c r="DI263" s="5"/>
      <c r="DJ263" s="5"/>
      <c r="DK263" s="4"/>
      <c r="DL263" s="6"/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/>
      <c r="DX263" s="6"/>
      <c r="DY263" s="4"/>
      <c r="DZ263" s="6"/>
      <c r="EA263" s="5"/>
      <c r="EB263" s="5"/>
      <c r="EC263" s="4"/>
      <c r="ED263" s="6"/>
      <c r="EE263" s="4">
        <v>1</v>
      </c>
      <c r="EF263" s="6">
        <v>13.31</v>
      </c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/>
      <c r="EV263" s="6"/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/>
      <c r="FJ263" s="6"/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>
        <v>1</v>
      </c>
      <c r="FV263" s="6">
        <v>12.51</v>
      </c>
      <c r="FW263" s="5"/>
      <c r="FX263" s="5"/>
      <c r="FY263" s="4"/>
      <c r="FZ263" s="6"/>
      <c r="GA263" s="4"/>
      <c r="GB263" s="6"/>
      <c r="GC263" s="5"/>
      <c r="GD263" s="5"/>
      <c r="GE263" s="4"/>
      <c r="GF263" s="6"/>
      <c r="GG263" s="4"/>
      <c r="GH263" s="6"/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  <c r="IA263" s="4"/>
      <c r="IB263" s="6"/>
      <c r="IC263" s="4"/>
      <c r="ID263" s="6"/>
      <c r="IE263" s="5"/>
      <c r="IF263" s="5"/>
      <c r="IG263" s="4"/>
      <c r="IH263" s="6"/>
      <c r="II263" s="4"/>
      <c r="IJ263" s="6"/>
      <c r="IK263" s="5"/>
      <c r="IL263" s="5"/>
      <c r="IM263" s="4"/>
      <c r="IN263" s="6"/>
      <c r="IO263" s="4"/>
      <c r="IP263" s="6"/>
      <c r="IQ263" s="5"/>
      <c r="IR263" s="5"/>
      <c r="IS263" s="4"/>
      <c r="IT263" s="6"/>
      <c r="IU263" s="4"/>
      <c r="IV263" s="6"/>
      <c r="IW263" s="5"/>
      <c r="IX263" s="5"/>
      <c r="IY263" s="4"/>
      <c r="IZ263" s="6"/>
      <c r="JA263" s="4"/>
      <c r="JB263" s="6"/>
      <c r="JC263" s="5"/>
      <c r="JD263" s="5"/>
      <c r="JE263" s="4"/>
      <c r="JF263" s="6"/>
      <c r="JG263" s="4"/>
      <c r="JH263" s="6"/>
      <c r="JI263" s="5"/>
      <c r="JJ263" s="5"/>
      <c r="JK263" s="4">
        <v>297</v>
      </c>
      <c r="JL263" s="4"/>
      <c r="JM263" s="4"/>
      <c r="JN263" s="4"/>
      <c r="JO263" s="4"/>
      <c r="JP263" s="4"/>
      <c r="JQ263" s="4"/>
      <c r="JR263" s="4"/>
      <c r="JS263" s="4"/>
      <c r="JT263" s="4"/>
      <c r="JU263" s="4"/>
      <c r="JV263" s="4"/>
      <c r="JW263" s="4"/>
      <c r="JX263" s="4"/>
      <c r="JY263" s="4"/>
      <c r="JZ263" s="4"/>
      <c r="KA263" s="4"/>
      <c r="KB263" s="4"/>
      <c r="KC263" s="4"/>
      <c r="KD263" s="4"/>
      <c r="KE263" s="4"/>
      <c r="KF263" s="4"/>
      <c r="KG263" s="4"/>
      <c r="KH263" s="4"/>
      <c r="KI263" s="4"/>
      <c r="KJ263" s="4"/>
      <c r="KK263" s="4"/>
      <c r="KL263" s="4"/>
      <c r="KM263" s="4"/>
      <c r="KN263" s="4"/>
      <c r="KO263" s="4"/>
      <c r="KP263" s="4"/>
      <c r="KQ263" s="4"/>
      <c r="KR263" s="4"/>
      <c r="KS263" s="4"/>
      <c r="KT263" s="4"/>
      <c r="KU263" s="4"/>
      <c r="KV263" s="4"/>
      <c r="KW263" s="4"/>
      <c r="KX263" s="4"/>
      <c r="KY263" s="4"/>
      <c r="KZ263" s="4"/>
      <c r="LA263" s="4"/>
      <c r="LB263" s="4"/>
      <c r="LC263" s="4"/>
      <c r="LD263" s="4"/>
      <c r="LE263" s="4"/>
      <c r="LF263" s="4"/>
      <c r="LG263" s="4"/>
      <c r="LH263" s="4"/>
      <c r="LI263" s="4"/>
      <c r="LJ263" s="4"/>
      <c r="LK263" s="4"/>
      <c r="LL263" s="4"/>
      <c r="LM263" s="4"/>
    </row>
    <row r="264">
      <c r="A264" s="3" t="s">
        <v>136</v>
      </c>
      <c r="B264" s="3" t="s">
        <v>181</v>
      </c>
      <c r="C264" s="3" t="s">
        <v>138</v>
      </c>
      <c r="D264" s="3" t="s">
        <v>139</v>
      </c>
      <c r="E264" s="3" t="s">
        <v>162</v>
      </c>
      <c r="F264" s="3" t="s">
        <v>188</v>
      </c>
      <c r="G264" s="3" t="s">
        <v>188</v>
      </c>
      <c r="H264" s="3" t="s">
        <v>146</v>
      </c>
      <c r="I264" s="3" t="s">
        <v>230</v>
      </c>
      <c r="J264" s="3" t="s">
        <v>241</v>
      </c>
      <c r="K264" s="4"/>
      <c r="L264" s="4">
        <f>=ROUNDDOWN({0},0)</f>
      </c>
      <c r="M264" s="4"/>
      <c r="N264" s="5"/>
      <c r="O264" s="4"/>
      <c r="P264" s="4">
        <f>=ROUNDDOWN({0},0)</f>
      </c>
      <c r="Q264" s="4"/>
      <c r="R264" s="5"/>
      <c r="S264" s="4"/>
      <c r="T264" s="6"/>
      <c r="U264" s="4">
        <v>1035</v>
      </c>
      <c r="V264" s="6">
        <v>13246.35</v>
      </c>
      <c r="W264" s="5"/>
      <c r="X264" s="5"/>
      <c r="Y264" s="4"/>
      <c r="Z264" s="6"/>
      <c r="AA264" s="4">
        <v>246</v>
      </c>
      <c r="AB264" s="6">
        <v>3101.57</v>
      </c>
      <c r="AC264" s="5"/>
      <c r="AD264" s="5"/>
      <c r="AE264" s="4"/>
      <c r="AF264" s="6"/>
      <c r="AG264" s="4">
        <v>1</v>
      </c>
      <c r="AH264" s="6">
        <v>15.58</v>
      </c>
      <c r="AI264" s="5"/>
      <c r="AJ264" s="5"/>
      <c r="AK264" s="4"/>
      <c r="AL264" s="6"/>
      <c r="AM264" s="4"/>
      <c r="AN264" s="6"/>
      <c r="AO264" s="5"/>
      <c r="AP264" s="5"/>
      <c r="AQ264" s="4"/>
      <c r="AR264" s="6"/>
      <c r="AS264" s="4">
        <v>147</v>
      </c>
      <c r="AT264" s="6">
        <v>2332.44</v>
      </c>
      <c r="AU264" s="5"/>
      <c r="AV264" s="5"/>
      <c r="AW264" s="4"/>
      <c r="AX264" s="6"/>
      <c r="AY264" s="4">
        <v>47</v>
      </c>
      <c r="AZ264" s="6">
        <v>831.07</v>
      </c>
      <c r="BA264" s="5"/>
      <c r="BB264" s="5"/>
      <c r="BC264" s="4"/>
      <c r="BD264" s="6"/>
      <c r="BE264" s="4"/>
      <c r="BF264" s="6"/>
      <c r="BG264" s="5"/>
      <c r="BH264" s="5"/>
      <c r="BI264" s="4"/>
      <c r="BJ264" s="6"/>
      <c r="BK264" s="4">
        <v>548</v>
      </c>
      <c r="BL264" s="6">
        <v>6207.12</v>
      </c>
      <c r="BM264" s="5"/>
      <c r="BN264" s="5"/>
      <c r="BO264" s="4"/>
      <c r="BP264" s="6"/>
      <c r="BQ264" s="4">
        <v>7</v>
      </c>
      <c r="BR264" s="6">
        <v>93.85</v>
      </c>
      <c r="BS264" s="5"/>
      <c r="BT264" s="5"/>
      <c r="BU264" s="4"/>
      <c r="BV264" s="6"/>
      <c r="BW264" s="4">
        <v>6</v>
      </c>
      <c r="BX264" s="6">
        <v>100.28</v>
      </c>
      <c r="BY264" s="5"/>
      <c r="BZ264" s="5"/>
      <c r="CA264" s="4"/>
      <c r="CB264" s="6"/>
      <c r="CC264" s="4">
        <v>4</v>
      </c>
      <c r="CD264" s="6">
        <v>62.49</v>
      </c>
      <c r="CE264" s="5"/>
      <c r="CF264" s="5"/>
      <c r="CG264" s="4"/>
      <c r="CH264" s="6"/>
      <c r="CI264" s="4">
        <v>12</v>
      </c>
      <c r="CJ264" s="6">
        <v>202.19</v>
      </c>
      <c r="CK264" s="5"/>
      <c r="CL264" s="5"/>
      <c r="CM264" s="4"/>
      <c r="CN264" s="6"/>
      <c r="CO264" s="4"/>
      <c r="CP264" s="6"/>
      <c r="CQ264" s="5"/>
      <c r="CR264" s="5"/>
      <c r="CS264" s="4"/>
      <c r="CT264" s="6"/>
      <c r="CU264" s="4">
        <v>3</v>
      </c>
      <c r="CV264" s="6">
        <v>49.38</v>
      </c>
      <c r="CW264" s="5"/>
      <c r="CX264" s="5"/>
      <c r="CY264" s="4"/>
      <c r="CZ264" s="6"/>
      <c r="DA264" s="4">
        <v>1</v>
      </c>
      <c r="DB264" s="6">
        <v>16.24</v>
      </c>
      <c r="DC264" s="5"/>
      <c r="DD264" s="5"/>
      <c r="DE264" s="4"/>
      <c r="DF264" s="6"/>
      <c r="DG264" s="4"/>
      <c r="DH264" s="6"/>
      <c r="DI264" s="5"/>
      <c r="DJ264" s="5"/>
      <c r="DK264" s="4"/>
      <c r="DL264" s="6"/>
      <c r="DM264" s="4"/>
      <c r="DN264" s="6"/>
      <c r="DO264" s="5"/>
      <c r="DP264" s="5"/>
      <c r="DQ264" s="4"/>
      <c r="DR264" s="6"/>
      <c r="DS264" s="4">
        <v>13</v>
      </c>
      <c r="DT264" s="6">
        <v>234.14</v>
      </c>
      <c r="DU264" s="5"/>
      <c r="DV264" s="5"/>
      <c r="DW264" s="4"/>
      <c r="DX264" s="6"/>
      <c r="DY264" s="4"/>
      <c r="DZ264" s="6"/>
      <c r="EA264" s="5"/>
      <c r="EB264" s="5"/>
      <c r="EC264" s="4"/>
      <c r="ED264" s="6"/>
      <c r="EE264" s="4"/>
      <c r="EF264" s="6"/>
      <c r="EG264" s="5"/>
      <c r="EH264" s="5"/>
      <c r="EI264" s="4"/>
      <c r="EJ264" s="6"/>
      <c r="EK264" s="4"/>
      <c r="EL264" s="6"/>
      <c r="EM264" s="5"/>
      <c r="EN264" s="5"/>
      <c r="EO264" s="4"/>
      <c r="EP264" s="6"/>
      <c r="EQ264" s="4"/>
      <c r="ER264" s="6"/>
      <c r="ES264" s="5"/>
      <c r="ET264" s="5"/>
      <c r="EU264" s="4"/>
      <c r="EV264" s="6"/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/>
      <c r="FP264" s="6"/>
      <c r="FQ264" s="5"/>
      <c r="FR264" s="5"/>
      <c r="FS264" s="4"/>
      <c r="FT264" s="6"/>
      <c r="FU264" s="4"/>
      <c r="FV264" s="6"/>
      <c r="FW264" s="5"/>
      <c r="FX264" s="5"/>
      <c r="FY264" s="4"/>
      <c r="FZ264" s="6"/>
      <c r="GA264" s="4"/>
      <c r="GB264" s="6"/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  <c r="IA264" s="4"/>
      <c r="IB264" s="6"/>
      <c r="IC264" s="4"/>
      <c r="ID264" s="6"/>
      <c r="IE264" s="5"/>
      <c r="IF264" s="5"/>
      <c r="IG264" s="4"/>
      <c r="IH264" s="6"/>
      <c r="II264" s="4"/>
      <c r="IJ264" s="6"/>
      <c r="IK264" s="5"/>
      <c r="IL264" s="5"/>
      <c r="IM264" s="4"/>
      <c r="IN264" s="6"/>
      <c r="IO264" s="4"/>
      <c r="IP264" s="6"/>
      <c r="IQ264" s="5"/>
      <c r="IR264" s="5"/>
      <c r="IS264" s="4"/>
      <c r="IT264" s="6"/>
      <c r="IU264" s="4"/>
      <c r="IV264" s="6"/>
      <c r="IW264" s="5"/>
      <c r="IX264" s="5"/>
      <c r="IY264" s="4"/>
      <c r="IZ264" s="6"/>
      <c r="JA264" s="4"/>
      <c r="JB264" s="6"/>
      <c r="JC264" s="5"/>
      <c r="JD264" s="5"/>
      <c r="JE264" s="4"/>
      <c r="JF264" s="6"/>
      <c r="JG264" s="4"/>
      <c r="JH264" s="6"/>
      <c r="JI264" s="5"/>
      <c r="JJ264" s="5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  <c r="JW264" s="4"/>
      <c r="JX264" s="4"/>
      <c r="JY264" s="4"/>
      <c r="JZ264" s="4"/>
      <c r="KA264" s="4"/>
      <c r="KB264" s="4"/>
      <c r="KC264" s="4"/>
      <c r="KD264" s="4"/>
      <c r="KE264" s="4"/>
      <c r="KF264" s="4"/>
      <c r="KG264" s="4"/>
      <c r="KH264" s="4"/>
      <c r="KI264" s="4"/>
      <c r="KJ264" s="4"/>
      <c r="KK264" s="4"/>
      <c r="KL264" s="4"/>
      <c r="KM264" s="4"/>
      <c r="KN264" s="4"/>
      <c r="KO264" s="4"/>
      <c r="KP264" s="4"/>
      <c r="KQ264" s="4"/>
      <c r="KR264" s="4"/>
      <c r="KS264" s="4"/>
      <c r="KT264" s="4"/>
      <c r="KU264" s="4"/>
      <c r="KV264" s="4"/>
      <c r="KW264" s="4"/>
      <c r="KX264" s="4"/>
      <c r="KY264" s="4"/>
      <c r="KZ264" s="4"/>
      <c r="LA264" s="4"/>
      <c r="LB264" s="4"/>
      <c r="LC264" s="4"/>
      <c r="LD264" s="4"/>
      <c r="LE264" s="4"/>
      <c r="LF264" s="4"/>
      <c r="LG264" s="4"/>
      <c r="LH264" s="4"/>
      <c r="LI264" s="4"/>
      <c r="LJ264" s="4"/>
      <c r="LK264" s="4"/>
      <c r="LL264" s="4"/>
      <c r="LM264" s="4"/>
    </row>
    <row r="265">
      <c r="A265" s="3" t="s">
        <v>136</v>
      </c>
      <c r="B265" s="3" t="s">
        <v>181</v>
      </c>
      <c r="C265" s="3" t="s">
        <v>138</v>
      </c>
      <c r="D265" s="3" t="s">
        <v>139</v>
      </c>
      <c r="E265" s="3" t="s">
        <v>162</v>
      </c>
      <c r="F265" s="3" t="s">
        <v>162</v>
      </c>
      <c r="G265" s="3" t="s">
        <v>162</v>
      </c>
      <c r="H265" s="3" t="s">
        <v>146</v>
      </c>
      <c r="I265" s="3" t="s">
        <v>346</v>
      </c>
      <c r="J265" s="3" t="s">
        <v>241</v>
      </c>
      <c r="K265" s="4">
        <v>448</v>
      </c>
      <c r="L265" s="4">
        <f>=ROUNDDOWN(63.0985915492958,0)</f>
      </c>
      <c r="M265" s="4"/>
      <c r="N265" s="5"/>
      <c r="O265" s="4"/>
      <c r="P265" s="4">
        <f>=ROUNDDOWN({0},0)</f>
      </c>
      <c r="Q265" s="4"/>
      <c r="R265" s="5"/>
      <c r="S265" s="4">
        <v>35</v>
      </c>
      <c r="T265" s="6">
        <v>476.82</v>
      </c>
      <c r="U265" s="4">
        <v>1776</v>
      </c>
      <c r="V265" s="6">
        <v>21671.12</v>
      </c>
      <c r="W265" s="5">
        <v>-0.9803</v>
      </c>
      <c r="X265" s="5">
        <v>-0.978</v>
      </c>
      <c r="Y265" s="4"/>
      <c r="Z265" s="6"/>
      <c r="AA265" s="4">
        <v>1052</v>
      </c>
      <c r="AB265" s="6">
        <v>12553.28</v>
      </c>
      <c r="AC265" s="5"/>
      <c r="AD265" s="5"/>
      <c r="AE265" s="4">
        <v>2</v>
      </c>
      <c r="AF265" s="6">
        <v>27.42</v>
      </c>
      <c r="AG265" s="4">
        <v>2</v>
      </c>
      <c r="AH265" s="6">
        <v>34.9</v>
      </c>
      <c r="AI265" s="5"/>
      <c r="AJ265" s="5">
        <v>-0.2143</v>
      </c>
      <c r="AK265" s="4"/>
      <c r="AL265" s="6"/>
      <c r="AM265" s="4"/>
      <c r="AN265" s="6"/>
      <c r="AO265" s="5"/>
      <c r="AP265" s="5"/>
      <c r="AQ265" s="4">
        <v>10</v>
      </c>
      <c r="AR265" s="6">
        <v>144.9</v>
      </c>
      <c r="AS265" s="4">
        <v>56</v>
      </c>
      <c r="AT265" s="6">
        <v>877.91</v>
      </c>
      <c r="AU265" s="5">
        <v>-0.8214</v>
      </c>
      <c r="AV265" s="5">
        <v>-0.8349</v>
      </c>
      <c r="AW265" s="4">
        <v>5</v>
      </c>
      <c r="AX265" s="6">
        <v>77.21</v>
      </c>
      <c r="AY265" s="4">
        <v>78</v>
      </c>
      <c r="AZ265" s="6">
        <v>1329.14</v>
      </c>
      <c r="BA265" s="5">
        <v>-0.9359</v>
      </c>
      <c r="BB265" s="5">
        <v>-0.9419</v>
      </c>
      <c r="BC265" s="4">
        <v>1</v>
      </c>
      <c r="BD265" s="6">
        <v>12.97</v>
      </c>
      <c r="BE265" s="4">
        <v>3</v>
      </c>
      <c r="BF265" s="6">
        <v>38.91</v>
      </c>
      <c r="BG265" s="5">
        <v>-0.6667</v>
      </c>
      <c r="BH265" s="5">
        <v>-0.6667</v>
      </c>
      <c r="BI265" s="4"/>
      <c r="BJ265" s="6"/>
      <c r="BK265" s="4">
        <v>482</v>
      </c>
      <c r="BL265" s="6">
        <v>5340.14</v>
      </c>
      <c r="BM265" s="5"/>
      <c r="BN265" s="5"/>
      <c r="BO265" s="4">
        <v>7</v>
      </c>
      <c r="BP265" s="6">
        <v>60.01</v>
      </c>
      <c r="BQ265" s="4">
        <v>46</v>
      </c>
      <c r="BR265" s="6">
        <v>623.38</v>
      </c>
      <c r="BS265" s="5">
        <v>-0.8478</v>
      </c>
      <c r="BT265" s="5">
        <v>-0.9037</v>
      </c>
      <c r="BU265" s="4">
        <v>1</v>
      </c>
      <c r="BV265" s="6">
        <v>15.49</v>
      </c>
      <c r="BW265" s="4">
        <v>4</v>
      </c>
      <c r="BX265" s="6">
        <v>70.04</v>
      </c>
      <c r="BY265" s="5">
        <v>-0.75</v>
      </c>
      <c r="BZ265" s="5">
        <v>-0.7788</v>
      </c>
      <c r="CA265" s="4">
        <v>3</v>
      </c>
      <c r="CB265" s="6">
        <v>54.42</v>
      </c>
      <c r="CC265" s="4">
        <v>7</v>
      </c>
      <c r="CD265" s="6">
        <v>100.22</v>
      </c>
      <c r="CE265" s="5">
        <v>-0.5714</v>
      </c>
      <c r="CF265" s="5">
        <v>-0.457</v>
      </c>
      <c r="CG265" s="4"/>
      <c r="CH265" s="6"/>
      <c r="CI265" s="4">
        <v>1</v>
      </c>
      <c r="CJ265" s="6">
        <v>17.38</v>
      </c>
      <c r="CK265" s="5"/>
      <c r="CL265" s="5"/>
      <c r="CM265" s="4"/>
      <c r="CN265" s="6"/>
      <c r="CO265" s="4"/>
      <c r="CP265" s="6"/>
      <c r="CQ265" s="5"/>
      <c r="CR265" s="5"/>
      <c r="CS265" s="4"/>
      <c r="CT265" s="6"/>
      <c r="CU265" s="4">
        <v>5</v>
      </c>
      <c r="CV265" s="6">
        <v>80.35</v>
      </c>
      <c r="CW265" s="5"/>
      <c r="CX265" s="5"/>
      <c r="CY265" s="4">
        <v>3</v>
      </c>
      <c r="CZ265" s="6">
        <v>38.99</v>
      </c>
      <c r="DA265" s="4">
        <v>28</v>
      </c>
      <c r="DB265" s="6">
        <v>412.02</v>
      </c>
      <c r="DC265" s="5">
        <v>-0.8929</v>
      </c>
      <c r="DD265" s="5">
        <v>-0.9054</v>
      </c>
      <c r="DE265" s="4"/>
      <c r="DF265" s="6"/>
      <c r="DG265" s="4"/>
      <c r="DH265" s="6"/>
      <c r="DI265" s="5"/>
      <c r="DJ265" s="5"/>
      <c r="DK265" s="4"/>
      <c r="DL265" s="6"/>
      <c r="DM265" s="4"/>
      <c r="DN265" s="6"/>
      <c r="DO265" s="5"/>
      <c r="DP265" s="5"/>
      <c r="DQ265" s="4">
        <v>1</v>
      </c>
      <c r="DR265" s="6">
        <v>16.98</v>
      </c>
      <c r="DS265" s="4">
        <v>5</v>
      </c>
      <c r="DT265" s="6">
        <v>88.29</v>
      </c>
      <c r="DU265" s="5">
        <v>-0.8</v>
      </c>
      <c r="DV265" s="5">
        <v>-0.8077</v>
      </c>
      <c r="DW265" s="4"/>
      <c r="DX265" s="6"/>
      <c r="DY265" s="4"/>
      <c r="DZ265" s="6"/>
      <c r="EA265" s="5"/>
      <c r="EB265" s="5"/>
      <c r="EC265" s="4">
        <v>2</v>
      </c>
      <c r="ED265" s="6">
        <v>28.43</v>
      </c>
      <c r="EE265" s="4">
        <v>2</v>
      </c>
      <c r="EF265" s="6">
        <v>32.92</v>
      </c>
      <c r="EG265" s="5"/>
      <c r="EH265" s="5">
        <v>-0.1364</v>
      </c>
      <c r="EI265" s="4"/>
      <c r="EJ265" s="6"/>
      <c r="EK265" s="4"/>
      <c r="EL265" s="6"/>
      <c r="EM265" s="5"/>
      <c r="EN265" s="5"/>
      <c r="EO265" s="4"/>
      <c r="EP265" s="6"/>
      <c r="EQ265" s="4"/>
      <c r="ER265" s="6"/>
      <c r="ES265" s="5"/>
      <c r="ET265" s="5"/>
      <c r="EU265" s="4"/>
      <c r="EV265" s="6"/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>
        <v>5</v>
      </c>
      <c r="FV265" s="6">
        <v>72.24</v>
      </c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/>
      <c r="GH265" s="6"/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  <c r="IA265" s="4"/>
      <c r="IB265" s="6"/>
      <c r="IC265" s="4"/>
      <c r="ID265" s="6"/>
      <c r="IE265" s="5"/>
      <c r="IF265" s="5"/>
      <c r="IG265" s="4"/>
      <c r="IH265" s="6"/>
      <c r="II265" s="4"/>
      <c r="IJ265" s="6"/>
      <c r="IK265" s="5"/>
      <c r="IL265" s="5"/>
      <c r="IM265" s="4"/>
      <c r="IN265" s="6"/>
      <c r="IO265" s="4"/>
      <c r="IP265" s="6"/>
      <c r="IQ265" s="5"/>
      <c r="IR265" s="5"/>
      <c r="IS265" s="4"/>
      <c r="IT265" s="6"/>
      <c r="IU265" s="4"/>
      <c r="IV265" s="6"/>
      <c r="IW265" s="5"/>
      <c r="IX265" s="5"/>
      <c r="IY265" s="4"/>
      <c r="IZ265" s="6"/>
      <c r="JA265" s="4"/>
      <c r="JB265" s="6"/>
      <c r="JC265" s="5"/>
      <c r="JD265" s="5"/>
      <c r="JE265" s="4"/>
      <c r="JF265" s="6"/>
      <c r="JG265" s="4"/>
      <c r="JH265" s="6"/>
      <c r="JI265" s="5"/>
      <c r="JJ265" s="5"/>
      <c r="JK265" s="4">
        <v>448</v>
      </c>
      <c r="JL265" s="4"/>
      <c r="JM265" s="4"/>
      <c r="JN265" s="4"/>
      <c r="JO265" s="4"/>
      <c r="JP265" s="4"/>
      <c r="JQ265" s="4"/>
      <c r="JR265" s="4"/>
      <c r="JS265" s="4"/>
      <c r="JT265" s="4"/>
      <c r="JU265" s="4"/>
      <c r="JV265" s="4"/>
      <c r="JW265" s="4"/>
      <c r="JX265" s="4"/>
      <c r="JY265" s="4"/>
      <c r="JZ265" s="4"/>
      <c r="KA265" s="4"/>
      <c r="KB265" s="4"/>
      <c r="KC265" s="4"/>
      <c r="KD265" s="4"/>
      <c r="KE265" s="4"/>
      <c r="KF265" s="4"/>
      <c r="KG265" s="4"/>
      <c r="KH265" s="4"/>
      <c r="KI265" s="4"/>
      <c r="KJ265" s="4"/>
      <c r="KK265" s="4"/>
      <c r="KL265" s="4"/>
      <c r="KM265" s="4"/>
      <c r="KN265" s="4"/>
      <c r="KO265" s="4"/>
      <c r="KP265" s="4"/>
      <c r="KQ265" s="4"/>
      <c r="KR265" s="4"/>
      <c r="KS265" s="4"/>
      <c r="KT265" s="4"/>
      <c r="KU265" s="4"/>
      <c r="KV265" s="4"/>
      <c r="KW265" s="4"/>
      <c r="KX265" s="4"/>
      <c r="KY265" s="4"/>
      <c r="KZ265" s="4"/>
      <c r="LA265" s="4"/>
      <c r="LB265" s="4"/>
      <c r="LC265" s="4"/>
      <c r="LD265" s="4"/>
      <c r="LE265" s="4"/>
      <c r="LF265" s="4"/>
      <c r="LG265" s="4"/>
      <c r="LH265" s="4"/>
      <c r="LI265" s="4"/>
      <c r="LJ265" s="4"/>
      <c r="LK265" s="4"/>
      <c r="LL265" s="4"/>
      <c r="LM265" s="4"/>
    </row>
    <row r="266">
      <c r="A266" s="3" t="s">
        <v>136</v>
      </c>
      <c r="B266" s="3" t="s">
        <v>181</v>
      </c>
      <c r="C266" s="3" t="s">
        <v>138</v>
      </c>
      <c r="D266" s="3" t="s">
        <v>139</v>
      </c>
      <c r="E266" s="3" t="s">
        <v>162</v>
      </c>
      <c r="F266" s="3" t="s">
        <v>162</v>
      </c>
      <c r="G266" s="3" t="s">
        <v>162</v>
      </c>
      <c r="H266" s="3" t="s">
        <v>146</v>
      </c>
      <c r="I266" s="3" t="s">
        <v>234</v>
      </c>
      <c r="J266" s="3" t="s">
        <v>241</v>
      </c>
      <c r="K266" s="4">
        <v>295</v>
      </c>
      <c r="L266" s="4">
        <f>=ROUNDDOWN(37.8205128205128,0)</f>
      </c>
      <c r="M266" s="4"/>
      <c r="N266" s="5"/>
      <c r="O266" s="4"/>
      <c r="P266" s="4">
        <f>=ROUNDDOWN({0},0)</f>
      </c>
      <c r="Q266" s="4"/>
      <c r="R266" s="5"/>
      <c r="S266" s="4">
        <v>35</v>
      </c>
      <c r="T266" s="6">
        <v>444.16</v>
      </c>
      <c r="U266" s="4">
        <v>468</v>
      </c>
      <c r="V266" s="6">
        <v>5510.35</v>
      </c>
      <c r="W266" s="5">
        <v>-0.9252</v>
      </c>
      <c r="X266" s="5">
        <v>-0.9194</v>
      </c>
      <c r="Y266" s="4"/>
      <c r="Z266" s="6"/>
      <c r="AA266" s="4">
        <v>57</v>
      </c>
      <c r="AB266" s="6">
        <v>696.91</v>
      </c>
      <c r="AC266" s="5"/>
      <c r="AD266" s="5"/>
      <c r="AE266" s="4">
        <v>1</v>
      </c>
      <c r="AF266" s="6">
        <v>13.71</v>
      </c>
      <c r="AG266" s="4">
        <v>4</v>
      </c>
      <c r="AH266" s="6">
        <v>58.58</v>
      </c>
      <c r="AI266" s="5">
        <v>-0.75</v>
      </c>
      <c r="AJ266" s="5">
        <v>-0.766</v>
      </c>
      <c r="AK266" s="4"/>
      <c r="AL266" s="6"/>
      <c r="AM266" s="4"/>
      <c r="AN266" s="6"/>
      <c r="AO266" s="5"/>
      <c r="AP266" s="5"/>
      <c r="AQ266" s="4">
        <v>1</v>
      </c>
      <c r="AR266" s="6">
        <v>12.74</v>
      </c>
      <c r="AS266" s="4">
        <v>60</v>
      </c>
      <c r="AT266" s="6">
        <v>879.24</v>
      </c>
      <c r="AU266" s="5">
        <v>-0.9833</v>
      </c>
      <c r="AV266" s="5">
        <v>-0.9855</v>
      </c>
      <c r="AW266" s="4">
        <v>2</v>
      </c>
      <c r="AX266" s="6">
        <v>28.58</v>
      </c>
      <c r="AY266" s="4">
        <v>35</v>
      </c>
      <c r="AZ266" s="6">
        <v>530.15</v>
      </c>
      <c r="BA266" s="5">
        <v>-0.9429</v>
      </c>
      <c r="BB266" s="5">
        <v>-0.9461</v>
      </c>
      <c r="BC266" s="4">
        <v>18</v>
      </c>
      <c r="BD266" s="6">
        <v>233.46</v>
      </c>
      <c r="BE266" s="4">
        <v>11</v>
      </c>
      <c r="BF266" s="6">
        <v>142.67</v>
      </c>
      <c r="BG266" s="5">
        <v>0.6364</v>
      </c>
      <c r="BH266" s="5">
        <v>0.6364</v>
      </c>
      <c r="BI266" s="4"/>
      <c r="BJ266" s="6"/>
      <c r="BK266" s="4">
        <v>241</v>
      </c>
      <c r="BL266" s="6">
        <v>2450.28</v>
      </c>
      <c r="BM266" s="5"/>
      <c r="BN266" s="5"/>
      <c r="BO266" s="4">
        <v>1</v>
      </c>
      <c r="BP266" s="6">
        <v>8.29</v>
      </c>
      <c r="BQ266" s="4">
        <v>6</v>
      </c>
      <c r="BR266" s="6">
        <v>69.34</v>
      </c>
      <c r="BS266" s="5">
        <v>-0.8333</v>
      </c>
      <c r="BT266" s="5">
        <v>-0.8804</v>
      </c>
      <c r="BU266" s="4"/>
      <c r="BV266" s="6"/>
      <c r="BW266" s="4">
        <v>1</v>
      </c>
      <c r="BX266" s="6">
        <v>16.59</v>
      </c>
      <c r="BY266" s="5"/>
      <c r="BZ266" s="5"/>
      <c r="CA266" s="4"/>
      <c r="CB266" s="6"/>
      <c r="CC266" s="4">
        <v>3</v>
      </c>
      <c r="CD266" s="6">
        <v>47.54</v>
      </c>
      <c r="CE266" s="5"/>
      <c r="CF266" s="5"/>
      <c r="CG266" s="4"/>
      <c r="CH266" s="6"/>
      <c r="CI266" s="4">
        <v>2</v>
      </c>
      <c r="CJ266" s="6">
        <v>28.96</v>
      </c>
      <c r="CK266" s="5"/>
      <c r="CL266" s="5"/>
      <c r="CM266" s="4"/>
      <c r="CN266" s="6"/>
      <c r="CO266" s="4"/>
      <c r="CP266" s="6"/>
      <c r="CQ266" s="5"/>
      <c r="CR266" s="5"/>
      <c r="CS266" s="4"/>
      <c r="CT266" s="6"/>
      <c r="CU266" s="4">
        <v>7</v>
      </c>
      <c r="CV266" s="6">
        <v>98.12</v>
      </c>
      <c r="CW266" s="5"/>
      <c r="CX266" s="5"/>
      <c r="CY266" s="4">
        <v>10</v>
      </c>
      <c r="CZ266" s="6">
        <v>119.1</v>
      </c>
      <c r="DA266" s="4">
        <v>39</v>
      </c>
      <c r="DB266" s="6">
        <v>464.49</v>
      </c>
      <c r="DC266" s="5">
        <v>-0.7436</v>
      </c>
      <c r="DD266" s="5">
        <v>-0.7436</v>
      </c>
      <c r="DE266" s="4"/>
      <c r="DF266" s="6"/>
      <c r="DG266" s="4"/>
      <c r="DH266" s="6"/>
      <c r="DI266" s="5"/>
      <c r="DJ266" s="5"/>
      <c r="DK266" s="4"/>
      <c r="DL266" s="6"/>
      <c r="DM266" s="4"/>
      <c r="DN266" s="6"/>
      <c r="DO266" s="5"/>
      <c r="DP266" s="5"/>
      <c r="DQ266" s="4">
        <v>1</v>
      </c>
      <c r="DR266" s="6">
        <v>14.97</v>
      </c>
      <c r="DS266" s="4">
        <v>1</v>
      </c>
      <c r="DT266" s="6">
        <v>14.97</v>
      </c>
      <c r="DU266" s="5"/>
      <c r="DV266" s="5"/>
      <c r="DW266" s="4"/>
      <c r="DX266" s="6"/>
      <c r="DY266" s="4"/>
      <c r="DZ266" s="6"/>
      <c r="EA266" s="5"/>
      <c r="EB266" s="5"/>
      <c r="EC266" s="4">
        <v>1</v>
      </c>
      <c r="ED266" s="6">
        <v>13.31</v>
      </c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/>
      <c r="FP266" s="6"/>
      <c r="FQ266" s="5"/>
      <c r="FR266" s="5"/>
      <c r="FS266" s="4"/>
      <c r="FT266" s="6"/>
      <c r="FU266" s="4">
        <v>1</v>
      </c>
      <c r="FV266" s="6">
        <v>12.51</v>
      </c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  <c r="IA266" s="4"/>
      <c r="IB266" s="6"/>
      <c r="IC266" s="4"/>
      <c r="ID266" s="6"/>
      <c r="IE266" s="5"/>
      <c r="IF266" s="5"/>
      <c r="IG266" s="4"/>
      <c r="IH266" s="6"/>
      <c r="II266" s="4"/>
      <c r="IJ266" s="6"/>
      <c r="IK266" s="5"/>
      <c r="IL266" s="5"/>
      <c r="IM266" s="4"/>
      <c r="IN266" s="6"/>
      <c r="IO266" s="4"/>
      <c r="IP266" s="6"/>
      <c r="IQ266" s="5"/>
      <c r="IR266" s="5"/>
      <c r="IS266" s="4"/>
      <c r="IT266" s="6"/>
      <c r="IU266" s="4"/>
      <c r="IV266" s="6"/>
      <c r="IW266" s="5"/>
      <c r="IX266" s="5"/>
      <c r="IY266" s="4"/>
      <c r="IZ266" s="6"/>
      <c r="JA266" s="4"/>
      <c r="JB266" s="6"/>
      <c r="JC266" s="5"/>
      <c r="JD266" s="5"/>
      <c r="JE266" s="4"/>
      <c r="JF266" s="6"/>
      <c r="JG266" s="4"/>
      <c r="JH266" s="6"/>
      <c r="JI266" s="5"/>
      <c r="JJ266" s="5"/>
      <c r="JK266" s="4">
        <v>295</v>
      </c>
      <c r="JL266" s="4"/>
      <c r="JM266" s="4"/>
      <c r="JN266" s="4"/>
      <c r="JO266" s="4"/>
      <c r="JP266" s="4"/>
      <c r="JQ266" s="4"/>
      <c r="JR266" s="4"/>
      <c r="JS266" s="4"/>
      <c r="JT266" s="4"/>
      <c r="JU266" s="4"/>
      <c r="JV266" s="4"/>
      <c r="JW266" s="4"/>
      <c r="JX266" s="4"/>
      <c r="JY266" s="4"/>
      <c r="JZ266" s="4"/>
      <c r="KA266" s="4"/>
      <c r="KB266" s="4"/>
      <c r="KC266" s="4"/>
      <c r="KD266" s="4"/>
      <c r="KE266" s="4"/>
      <c r="KF266" s="4"/>
      <c r="KG266" s="4"/>
      <c r="KH266" s="4"/>
      <c r="KI266" s="4"/>
      <c r="KJ266" s="4"/>
      <c r="KK266" s="4"/>
      <c r="KL266" s="4"/>
      <c r="KM266" s="4"/>
      <c r="KN266" s="4"/>
      <c r="KO266" s="4"/>
      <c r="KP266" s="4"/>
      <c r="KQ266" s="4"/>
      <c r="KR266" s="4"/>
      <c r="KS266" s="4"/>
      <c r="KT266" s="4"/>
      <c r="KU266" s="4"/>
      <c r="KV266" s="4"/>
      <c r="KW266" s="4"/>
      <c r="KX266" s="4"/>
      <c r="KY266" s="4"/>
      <c r="KZ266" s="4"/>
      <c r="LA266" s="4"/>
      <c r="LB266" s="4"/>
      <c r="LC266" s="4"/>
      <c r="LD266" s="4"/>
      <c r="LE266" s="4"/>
      <c r="LF266" s="4"/>
      <c r="LG266" s="4"/>
      <c r="LH266" s="4"/>
      <c r="LI266" s="4"/>
      <c r="LJ266" s="4"/>
      <c r="LK266" s="4"/>
      <c r="LL266" s="4"/>
      <c r="LM266" s="4"/>
    </row>
    <row r="267">
      <c r="A267" s="3" t="s">
        <v>136</v>
      </c>
      <c r="B267" s="3" t="s">
        <v>181</v>
      </c>
      <c r="C267" s="3" t="s">
        <v>138</v>
      </c>
      <c r="D267" s="3" t="s">
        <v>139</v>
      </c>
      <c r="E267" s="3" t="s">
        <v>162</v>
      </c>
      <c r="F267" s="3" t="s">
        <v>188</v>
      </c>
      <c r="G267" s="3" t="s">
        <v>188</v>
      </c>
      <c r="H267" s="3" t="s">
        <v>146</v>
      </c>
      <c r="I267" s="3" t="s">
        <v>234</v>
      </c>
      <c r="J267" s="3" t="s">
        <v>241</v>
      </c>
      <c r="K267" s="4"/>
      <c r="L267" s="4">
        <f>=ROUNDDOWN({0},0)</f>
      </c>
      <c r="M267" s="4"/>
      <c r="N267" s="5"/>
      <c r="O267" s="4"/>
      <c r="P267" s="4">
        <f>=ROUNDDOWN({0},0)</f>
      </c>
      <c r="Q267" s="4"/>
      <c r="R267" s="5"/>
      <c r="S267" s="4"/>
      <c r="T267" s="6"/>
      <c r="U267" s="4">
        <v>213</v>
      </c>
      <c r="V267" s="6">
        <v>2698.13</v>
      </c>
      <c r="W267" s="5"/>
      <c r="X267" s="5"/>
      <c r="Y267" s="4"/>
      <c r="Z267" s="6"/>
      <c r="AA267" s="4">
        <v>82</v>
      </c>
      <c r="AB267" s="6">
        <v>920.23</v>
      </c>
      <c r="AC267" s="5"/>
      <c r="AD267" s="5"/>
      <c r="AE267" s="4"/>
      <c r="AF267" s="6"/>
      <c r="AG267" s="4"/>
      <c r="AH267" s="6"/>
      <c r="AI267" s="5"/>
      <c r="AJ267" s="5"/>
      <c r="AK267" s="4"/>
      <c r="AL267" s="6"/>
      <c r="AM267" s="4"/>
      <c r="AN267" s="6"/>
      <c r="AO267" s="5"/>
      <c r="AP267" s="5"/>
      <c r="AQ267" s="4"/>
      <c r="AR267" s="6"/>
      <c r="AS267" s="4">
        <v>38</v>
      </c>
      <c r="AT267" s="6">
        <v>605.53</v>
      </c>
      <c r="AU267" s="5"/>
      <c r="AV267" s="5"/>
      <c r="AW267" s="4"/>
      <c r="AX267" s="6"/>
      <c r="AY267" s="4">
        <v>14</v>
      </c>
      <c r="AZ267" s="6">
        <v>254.66</v>
      </c>
      <c r="BA267" s="5"/>
      <c r="BB267" s="5"/>
      <c r="BC267" s="4"/>
      <c r="BD267" s="6"/>
      <c r="BE267" s="4"/>
      <c r="BF267" s="6"/>
      <c r="BG267" s="5"/>
      <c r="BH267" s="5"/>
      <c r="BI267" s="4"/>
      <c r="BJ267" s="6"/>
      <c r="BK267" s="4">
        <v>71</v>
      </c>
      <c r="BL267" s="6">
        <v>794.34</v>
      </c>
      <c r="BM267" s="5"/>
      <c r="BN267" s="5"/>
      <c r="BO267" s="4"/>
      <c r="BP267" s="6"/>
      <c r="BQ267" s="4">
        <v>1</v>
      </c>
      <c r="BR267" s="6">
        <v>17</v>
      </c>
      <c r="BS267" s="5"/>
      <c r="BT267" s="5"/>
      <c r="BU267" s="4"/>
      <c r="BV267" s="6"/>
      <c r="BW267" s="4"/>
      <c r="BX267" s="6"/>
      <c r="BY267" s="5"/>
      <c r="BZ267" s="5"/>
      <c r="CA267" s="4"/>
      <c r="CB267" s="6"/>
      <c r="CC267" s="4">
        <v>1</v>
      </c>
      <c r="CD267" s="6">
        <v>13.11</v>
      </c>
      <c r="CE267" s="5"/>
      <c r="CF267" s="5"/>
      <c r="CG267" s="4"/>
      <c r="CH267" s="6"/>
      <c r="CI267" s="4">
        <v>1</v>
      </c>
      <c r="CJ267" s="6">
        <v>14.49</v>
      </c>
      <c r="CK267" s="5"/>
      <c r="CL267" s="5"/>
      <c r="CM267" s="4"/>
      <c r="CN267" s="6"/>
      <c r="CO267" s="4"/>
      <c r="CP267" s="6"/>
      <c r="CQ267" s="5"/>
      <c r="CR267" s="5"/>
      <c r="CS267" s="4"/>
      <c r="CT267" s="6"/>
      <c r="CU267" s="4">
        <v>1</v>
      </c>
      <c r="CV267" s="6">
        <v>18.38</v>
      </c>
      <c r="CW267" s="5"/>
      <c r="CX267" s="5"/>
      <c r="CY267" s="4"/>
      <c r="CZ267" s="6"/>
      <c r="DA267" s="4">
        <v>3</v>
      </c>
      <c r="DB267" s="6">
        <v>43.32</v>
      </c>
      <c r="DC267" s="5"/>
      <c r="DD267" s="5"/>
      <c r="DE267" s="4"/>
      <c r="DF267" s="6"/>
      <c r="DG267" s="4"/>
      <c r="DH267" s="6"/>
      <c r="DI267" s="5"/>
      <c r="DJ267" s="5"/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/>
      <c r="DX267" s="6"/>
      <c r="DY267" s="4"/>
      <c r="DZ267" s="6"/>
      <c r="EA267" s="5"/>
      <c r="EB267" s="5"/>
      <c r="EC267" s="4"/>
      <c r="ED267" s="6"/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/>
      <c r="FN267" s="6"/>
      <c r="FO267" s="4"/>
      <c r="FP267" s="6"/>
      <c r="FQ267" s="5"/>
      <c r="FR267" s="5"/>
      <c r="FS267" s="4"/>
      <c r="FT267" s="6"/>
      <c r="FU267" s="4">
        <v>1</v>
      </c>
      <c r="FV267" s="6">
        <v>17.07</v>
      </c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  <c r="IA267" s="4"/>
      <c r="IB267" s="6"/>
      <c r="IC267" s="4"/>
      <c r="ID267" s="6"/>
      <c r="IE267" s="5"/>
      <c r="IF267" s="5"/>
      <c r="IG267" s="4"/>
      <c r="IH267" s="6"/>
      <c r="II267" s="4"/>
      <c r="IJ267" s="6"/>
      <c r="IK267" s="5"/>
      <c r="IL267" s="5"/>
      <c r="IM267" s="4"/>
      <c r="IN267" s="6"/>
      <c r="IO267" s="4"/>
      <c r="IP267" s="6"/>
      <c r="IQ267" s="5"/>
      <c r="IR267" s="5"/>
      <c r="IS267" s="4"/>
      <c r="IT267" s="6"/>
      <c r="IU267" s="4"/>
      <c r="IV267" s="6"/>
      <c r="IW267" s="5"/>
      <c r="IX267" s="5"/>
      <c r="IY267" s="4"/>
      <c r="IZ267" s="6"/>
      <c r="JA267" s="4"/>
      <c r="JB267" s="6"/>
      <c r="JC267" s="5"/>
      <c r="JD267" s="5"/>
      <c r="JE267" s="4"/>
      <c r="JF267" s="6"/>
      <c r="JG267" s="4"/>
      <c r="JH267" s="6"/>
      <c r="JI267" s="5"/>
      <c r="JJ267" s="5"/>
      <c r="JK267" s="4"/>
      <c r="JL267" s="4"/>
      <c r="JM267" s="4"/>
      <c r="JN267" s="4"/>
      <c r="JO267" s="4"/>
      <c r="JP267" s="4"/>
      <c r="JQ267" s="4"/>
      <c r="JR267" s="4"/>
      <c r="JS267" s="4"/>
      <c r="JT267" s="4"/>
      <c r="JU267" s="4"/>
      <c r="JV267" s="4"/>
      <c r="JW267" s="4"/>
      <c r="JX267" s="4"/>
      <c r="JY267" s="4"/>
      <c r="JZ267" s="4"/>
      <c r="KA267" s="4"/>
      <c r="KB267" s="4"/>
      <c r="KC267" s="4"/>
      <c r="KD267" s="4"/>
      <c r="KE267" s="4"/>
      <c r="KF267" s="4"/>
      <c r="KG267" s="4"/>
      <c r="KH267" s="4"/>
      <c r="KI267" s="4"/>
      <c r="KJ267" s="4"/>
      <c r="KK267" s="4"/>
      <c r="KL267" s="4"/>
      <c r="KM267" s="4"/>
      <c r="KN267" s="4"/>
      <c r="KO267" s="4"/>
      <c r="KP267" s="4"/>
      <c r="KQ267" s="4"/>
      <c r="KR267" s="4"/>
      <c r="KS267" s="4"/>
      <c r="KT267" s="4"/>
      <c r="KU267" s="4"/>
      <c r="KV267" s="4"/>
      <c r="KW267" s="4"/>
      <c r="KX267" s="4"/>
      <c r="KY267" s="4"/>
      <c r="KZ267" s="4"/>
      <c r="LA267" s="4"/>
      <c r="LB267" s="4"/>
      <c r="LC267" s="4"/>
      <c r="LD267" s="4"/>
      <c r="LE267" s="4"/>
      <c r="LF267" s="4"/>
      <c r="LG267" s="4"/>
      <c r="LH267" s="4"/>
      <c r="LI267" s="4"/>
      <c r="LJ267" s="4"/>
      <c r="LK267" s="4"/>
      <c r="LL267" s="4"/>
      <c r="LM267" s="4"/>
    </row>
    <row r="268">
      <c r="A268" s="3" t="s">
        <v>136</v>
      </c>
      <c r="B268" s="3" t="s">
        <v>181</v>
      </c>
      <c r="C268" s="3" t="s">
        <v>138</v>
      </c>
      <c r="D268" s="3" t="s">
        <v>139</v>
      </c>
      <c r="E268" s="3" t="s">
        <v>162</v>
      </c>
      <c r="F268" s="3" t="s">
        <v>162</v>
      </c>
      <c r="G268" s="3" t="s">
        <v>162</v>
      </c>
      <c r="H268" s="3" t="s">
        <v>146</v>
      </c>
      <c r="I268" s="3" t="s">
        <v>232</v>
      </c>
      <c r="J268" s="3" t="s">
        <v>241</v>
      </c>
      <c r="K268" s="4">
        <v>27</v>
      </c>
      <c r="L268" s="4">
        <f>=ROUNDDOWN(11.25,0)</f>
      </c>
      <c r="M268" s="4"/>
      <c r="N268" s="5"/>
      <c r="O268" s="4"/>
      <c r="P268" s="4">
        <f>=ROUNDDOWN({0},0)</f>
      </c>
      <c r="Q268" s="4"/>
      <c r="R268" s="5"/>
      <c r="S268" s="4">
        <v>11</v>
      </c>
      <c r="T268" s="6">
        <v>135.8</v>
      </c>
      <c r="U268" s="4">
        <v>330</v>
      </c>
      <c r="V268" s="6">
        <v>4141.53</v>
      </c>
      <c r="W268" s="5">
        <v>-0.9667</v>
      </c>
      <c r="X268" s="5">
        <v>-0.9672</v>
      </c>
      <c r="Y268" s="4"/>
      <c r="Z268" s="6"/>
      <c r="AA268" s="4">
        <v>31</v>
      </c>
      <c r="AB268" s="6">
        <v>465.89</v>
      </c>
      <c r="AC268" s="5"/>
      <c r="AD268" s="5"/>
      <c r="AE268" s="4">
        <v>1</v>
      </c>
      <c r="AF268" s="6">
        <v>13.71</v>
      </c>
      <c r="AG268" s="4">
        <v>1</v>
      </c>
      <c r="AH268" s="6">
        <v>13.71</v>
      </c>
      <c r="AI268" s="5"/>
      <c r="AJ268" s="5"/>
      <c r="AK268" s="4"/>
      <c r="AL268" s="6"/>
      <c r="AM268" s="4"/>
      <c r="AN268" s="6"/>
      <c r="AO268" s="5"/>
      <c r="AP268" s="5"/>
      <c r="AQ268" s="4"/>
      <c r="AR268" s="6"/>
      <c r="AS268" s="4">
        <v>16</v>
      </c>
      <c r="AT268" s="6">
        <v>231.84</v>
      </c>
      <c r="AU268" s="5"/>
      <c r="AV268" s="5"/>
      <c r="AW268" s="4"/>
      <c r="AX268" s="6"/>
      <c r="AY268" s="4">
        <v>42</v>
      </c>
      <c r="AZ268" s="6">
        <v>673.62</v>
      </c>
      <c r="BA268" s="5"/>
      <c r="BB268" s="5"/>
      <c r="BC268" s="4"/>
      <c r="BD268" s="6"/>
      <c r="BE268" s="4">
        <v>4</v>
      </c>
      <c r="BF268" s="6">
        <v>51.88</v>
      </c>
      <c r="BG268" s="5"/>
      <c r="BH268" s="5"/>
      <c r="BI268" s="4"/>
      <c r="BJ268" s="6"/>
      <c r="BK268" s="4">
        <v>166</v>
      </c>
      <c r="BL268" s="6">
        <v>1725.49</v>
      </c>
      <c r="BM268" s="5"/>
      <c r="BN268" s="5"/>
      <c r="BO268" s="4">
        <v>1</v>
      </c>
      <c r="BP268" s="6">
        <v>8.29</v>
      </c>
      <c r="BQ268" s="4">
        <v>11</v>
      </c>
      <c r="BR268" s="6">
        <v>140.46</v>
      </c>
      <c r="BS268" s="5">
        <v>-0.9091</v>
      </c>
      <c r="BT268" s="5">
        <v>-0.941</v>
      </c>
      <c r="BU268" s="4"/>
      <c r="BV268" s="6"/>
      <c r="BW268" s="4">
        <v>3</v>
      </c>
      <c r="BX268" s="6">
        <v>48.67</v>
      </c>
      <c r="BY268" s="5"/>
      <c r="BZ268" s="5"/>
      <c r="CA268" s="4"/>
      <c r="CB268" s="6"/>
      <c r="CC268" s="4"/>
      <c r="CD268" s="6"/>
      <c r="CE268" s="5"/>
      <c r="CF268" s="5"/>
      <c r="CG268" s="4"/>
      <c r="CH268" s="6"/>
      <c r="CI268" s="4">
        <v>9</v>
      </c>
      <c r="CJ268" s="6">
        <v>132.06</v>
      </c>
      <c r="CK268" s="5"/>
      <c r="CL268" s="5"/>
      <c r="CM268" s="4"/>
      <c r="CN268" s="6"/>
      <c r="CO268" s="4"/>
      <c r="CP268" s="6"/>
      <c r="CQ268" s="5"/>
      <c r="CR268" s="5"/>
      <c r="CS268" s="4"/>
      <c r="CT268" s="6"/>
      <c r="CU268" s="4"/>
      <c r="CV268" s="6"/>
      <c r="CW268" s="5"/>
      <c r="CX268" s="5"/>
      <c r="CY268" s="4">
        <v>7</v>
      </c>
      <c r="CZ268" s="6">
        <v>83.86</v>
      </c>
      <c r="DA268" s="4">
        <v>30</v>
      </c>
      <c r="DB268" s="6">
        <v>374.07</v>
      </c>
      <c r="DC268" s="5">
        <v>-0.7667</v>
      </c>
      <c r="DD268" s="5">
        <v>-0.7758</v>
      </c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>
        <v>2</v>
      </c>
      <c r="DR268" s="6">
        <v>29.94</v>
      </c>
      <c r="DS268" s="4">
        <v>15</v>
      </c>
      <c r="DT268" s="6">
        <v>253.69</v>
      </c>
      <c r="DU268" s="5">
        <v>-0.8667</v>
      </c>
      <c r="DV268" s="5">
        <v>-0.882</v>
      </c>
      <c r="DW268" s="4"/>
      <c r="DX268" s="6"/>
      <c r="DY268" s="4"/>
      <c r="DZ268" s="6"/>
      <c r="EA268" s="5"/>
      <c r="EB268" s="5"/>
      <c r="EC268" s="4"/>
      <c r="ED268" s="6"/>
      <c r="EE268" s="4"/>
      <c r="EF268" s="6"/>
      <c r="EG268" s="5"/>
      <c r="EH268" s="5"/>
      <c r="EI268" s="4"/>
      <c r="EJ268" s="6"/>
      <c r="EK268" s="4"/>
      <c r="EL268" s="6"/>
      <c r="EM268" s="5"/>
      <c r="EN268" s="5"/>
      <c r="EO268" s="4"/>
      <c r="EP268" s="6"/>
      <c r="EQ268" s="4"/>
      <c r="ER268" s="6"/>
      <c r="ES268" s="5"/>
      <c r="ET268" s="5"/>
      <c r="EU268" s="4"/>
      <c r="EV268" s="6"/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>
        <v>2</v>
      </c>
      <c r="FV268" s="6">
        <v>30.15</v>
      </c>
      <c r="FW268" s="5"/>
      <c r="FX268" s="5"/>
      <c r="FY268" s="4"/>
      <c r="FZ268" s="6"/>
      <c r="GA268" s="4"/>
      <c r="GB268" s="6"/>
      <c r="GC268" s="5"/>
      <c r="GD268" s="5"/>
      <c r="GE268" s="4"/>
      <c r="GF268" s="6"/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  <c r="IA268" s="4"/>
      <c r="IB268" s="6"/>
      <c r="IC268" s="4"/>
      <c r="ID268" s="6"/>
      <c r="IE268" s="5"/>
      <c r="IF268" s="5"/>
      <c r="IG268" s="4"/>
      <c r="IH268" s="6"/>
      <c r="II268" s="4"/>
      <c r="IJ268" s="6"/>
      <c r="IK268" s="5"/>
      <c r="IL268" s="5"/>
      <c r="IM268" s="4"/>
      <c r="IN268" s="6"/>
      <c r="IO268" s="4"/>
      <c r="IP268" s="6"/>
      <c r="IQ268" s="5"/>
      <c r="IR268" s="5"/>
      <c r="IS268" s="4"/>
      <c r="IT268" s="6"/>
      <c r="IU268" s="4"/>
      <c r="IV268" s="6"/>
      <c r="IW268" s="5"/>
      <c r="IX268" s="5"/>
      <c r="IY268" s="4"/>
      <c r="IZ268" s="6"/>
      <c r="JA268" s="4"/>
      <c r="JB268" s="6"/>
      <c r="JC268" s="5"/>
      <c r="JD268" s="5"/>
      <c r="JE268" s="4"/>
      <c r="JF268" s="6"/>
      <c r="JG268" s="4"/>
      <c r="JH268" s="6"/>
      <c r="JI268" s="5"/>
      <c r="JJ268" s="5"/>
      <c r="JK268" s="4">
        <v>27</v>
      </c>
      <c r="JL268" s="4"/>
      <c r="JM268" s="4"/>
      <c r="JN268" s="4"/>
      <c r="JO268" s="4"/>
      <c r="JP268" s="4"/>
      <c r="JQ268" s="4"/>
      <c r="JR268" s="4"/>
      <c r="JS268" s="4"/>
      <c r="JT268" s="4"/>
      <c r="JU268" s="4"/>
      <c r="JV268" s="4"/>
      <c r="JW268" s="4"/>
      <c r="JX268" s="4"/>
      <c r="JY268" s="4"/>
      <c r="JZ268" s="4"/>
      <c r="KA268" s="4"/>
      <c r="KB268" s="4"/>
      <c r="KC268" s="4"/>
      <c r="KD268" s="4"/>
      <c r="KE268" s="4"/>
      <c r="KF268" s="4"/>
      <c r="KG268" s="4"/>
      <c r="KH268" s="4"/>
      <c r="KI268" s="4"/>
      <c r="KJ268" s="4"/>
      <c r="KK268" s="4"/>
      <c r="KL268" s="4"/>
      <c r="KM268" s="4"/>
      <c r="KN268" s="4"/>
      <c r="KO268" s="4"/>
      <c r="KP268" s="4"/>
      <c r="KQ268" s="4"/>
      <c r="KR268" s="4"/>
      <c r="KS268" s="4"/>
      <c r="KT268" s="4"/>
      <c r="KU268" s="4"/>
      <c r="KV268" s="4"/>
      <c r="KW268" s="4"/>
      <c r="KX268" s="4"/>
      <c r="KY268" s="4"/>
      <c r="KZ268" s="4"/>
      <c r="LA268" s="4"/>
      <c r="LB268" s="4"/>
      <c r="LC268" s="4"/>
      <c r="LD268" s="4"/>
      <c r="LE268" s="4"/>
      <c r="LF268" s="4"/>
      <c r="LG268" s="4"/>
      <c r="LH268" s="4"/>
      <c r="LI268" s="4"/>
      <c r="LJ268" s="4"/>
      <c r="LK268" s="4"/>
      <c r="LL268" s="4"/>
      <c r="LM268" s="4"/>
    </row>
    <row r="269">
      <c r="A269" s="3" t="s">
        <v>136</v>
      </c>
      <c r="B269" s="3" t="s">
        <v>181</v>
      </c>
      <c r="C269" s="3" t="s">
        <v>138</v>
      </c>
      <c r="D269" s="3" t="s">
        <v>139</v>
      </c>
      <c r="E269" s="3" t="s">
        <v>162</v>
      </c>
      <c r="F269" s="3" t="s">
        <v>162</v>
      </c>
      <c r="G269" s="3" t="s">
        <v>162</v>
      </c>
      <c r="H269" s="3" t="s">
        <v>146</v>
      </c>
      <c r="I269" s="3" t="s">
        <v>258</v>
      </c>
      <c r="J269" s="3" t="s">
        <v>241</v>
      </c>
      <c r="K269" s="4">
        <v>47</v>
      </c>
      <c r="L269" s="4">
        <f>=ROUNDDOWN(235,0)</f>
      </c>
      <c r="M269" s="4"/>
      <c r="N269" s="5"/>
      <c r="O269" s="4"/>
      <c r="P269" s="4">
        <f>=ROUNDDOWN({0},0)</f>
      </c>
      <c r="Q269" s="4"/>
      <c r="R269" s="5"/>
      <c r="S269" s="4">
        <v>10</v>
      </c>
      <c r="T269" s="6">
        <v>117.16</v>
      </c>
      <c r="U269" s="4">
        <v>82</v>
      </c>
      <c r="V269" s="6">
        <v>893.22</v>
      </c>
      <c r="W269" s="5">
        <v>-0.878</v>
      </c>
      <c r="X269" s="5">
        <v>-0.8688</v>
      </c>
      <c r="Y269" s="4"/>
      <c r="Z269" s="6"/>
      <c r="AA269" s="4">
        <v>3</v>
      </c>
      <c r="AB269" s="6">
        <v>30.87</v>
      </c>
      <c r="AC269" s="5"/>
      <c r="AD269" s="5"/>
      <c r="AE269" s="4"/>
      <c r="AF269" s="6"/>
      <c r="AG269" s="4">
        <v>1</v>
      </c>
      <c r="AH269" s="6">
        <v>8.29</v>
      </c>
      <c r="AI269" s="5"/>
      <c r="AJ269" s="5"/>
      <c r="AK269" s="4"/>
      <c r="AL269" s="6"/>
      <c r="AM269" s="4"/>
      <c r="AN269" s="6"/>
      <c r="AO269" s="5"/>
      <c r="AP269" s="5"/>
      <c r="AQ269" s="4">
        <v>5</v>
      </c>
      <c r="AR269" s="6">
        <v>60.4</v>
      </c>
      <c r="AS269" s="4"/>
      <c r="AT269" s="6"/>
      <c r="AU269" s="5"/>
      <c r="AV269" s="5"/>
      <c r="AW269" s="4">
        <v>1</v>
      </c>
      <c r="AX269" s="6">
        <v>11.03</v>
      </c>
      <c r="AY269" s="4">
        <v>10</v>
      </c>
      <c r="AZ269" s="6">
        <v>110.3</v>
      </c>
      <c r="BA269" s="5">
        <v>-0.9</v>
      </c>
      <c r="BB269" s="5">
        <v>-0.9</v>
      </c>
      <c r="BC269" s="4"/>
      <c r="BD269" s="6"/>
      <c r="BE269" s="4"/>
      <c r="BF269" s="6"/>
      <c r="BG269" s="5"/>
      <c r="BH269" s="5"/>
      <c r="BI269" s="4"/>
      <c r="BJ269" s="6"/>
      <c r="BK269" s="4">
        <v>35</v>
      </c>
      <c r="BL269" s="6">
        <v>320.63</v>
      </c>
      <c r="BM269" s="5"/>
      <c r="BN269" s="5"/>
      <c r="BO269" s="4">
        <v>1</v>
      </c>
      <c r="BP269" s="6">
        <v>8.26</v>
      </c>
      <c r="BQ269" s="4">
        <v>2</v>
      </c>
      <c r="BR269" s="6">
        <v>16.52</v>
      </c>
      <c r="BS269" s="5">
        <v>-0.5</v>
      </c>
      <c r="BT269" s="5">
        <v>-0.5</v>
      </c>
      <c r="BU269" s="4"/>
      <c r="BV269" s="6"/>
      <c r="BW269" s="4"/>
      <c r="BX269" s="6"/>
      <c r="BY269" s="5"/>
      <c r="BZ269" s="5"/>
      <c r="CA269" s="4"/>
      <c r="CB269" s="6"/>
      <c r="CC269" s="4">
        <v>2</v>
      </c>
      <c r="CD269" s="6">
        <v>25.2</v>
      </c>
      <c r="CE269" s="5"/>
      <c r="CF269" s="5"/>
      <c r="CG269" s="4">
        <v>2</v>
      </c>
      <c r="CH269" s="6">
        <v>24.16</v>
      </c>
      <c r="CI269" s="4">
        <v>9</v>
      </c>
      <c r="CJ269" s="6">
        <v>112.01</v>
      </c>
      <c r="CK269" s="5">
        <v>-0.7778</v>
      </c>
      <c r="CL269" s="5">
        <v>-0.7843</v>
      </c>
      <c r="CM269" s="4"/>
      <c r="CN269" s="6"/>
      <c r="CO269" s="4"/>
      <c r="CP269" s="6"/>
      <c r="CQ269" s="5"/>
      <c r="CR269" s="5"/>
      <c r="CS269" s="4"/>
      <c r="CT269" s="6"/>
      <c r="CU269" s="4"/>
      <c r="CV269" s="6"/>
      <c r="CW269" s="5"/>
      <c r="CX269" s="5"/>
      <c r="CY269" s="4"/>
      <c r="CZ269" s="6"/>
      <c r="DA269" s="4">
        <v>17</v>
      </c>
      <c r="DB269" s="6">
        <v>238.68</v>
      </c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>
        <v>1</v>
      </c>
      <c r="DT269" s="6">
        <v>12.2</v>
      </c>
      <c r="DU269" s="5"/>
      <c r="DV269" s="5"/>
      <c r="DW269" s="4"/>
      <c r="DX269" s="6"/>
      <c r="DY269" s="4"/>
      <c r="DZ269" s="6"/>
      <c r="EA269" s="5"/>
      <c r="EB269" s="5"/>
      <c r="EC269" s="4">
        <v>1</v>
      </c>
      <c r="ED269" s="6">
        <v>13.31</v>
      </c>
      <c r="EE269" s="4"/>
      <c r="EF269" s="6"/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>
        <v>2</v>
      </c>
      <c r="FV269" s="6">
        <v>18.52</v>
      </c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  <c r="IA269" s="4"/>
      <c r="IB269" s="6"/>
      <c r="IC269" s="4"/>
      <c r="ID269" s="6"/>
      <c r="IE269" s="5"/>
      <c r="IF269" s="5"/>
      <c r="IG269" s="4"/>
      <c r="IH269" s="6"/>
      <c r="II269" s="4"/>
      <c r="IJ269" s="6"/>
      <c r="IK269" s="5"/>
      <c r="IL269" s="5"/>
      <c r="IM269" s="4"/>
      <c r="IN269" s="6"/>
      <c r="IO269" s="4"/>
      <c r="IP269" s="6"/>
      <c r="IQ269" s="5"/>
      <c r="IR269" s="5"/>
      <c r="IS269" s="4"/>
      <c r="IT269" s="6"/>
      <c r="IU269" s="4"/>
      <c r="IV269" s="6"/>
      <c r="IW269" s="5"/>
      <c r="IX269" s="5"/>
      <c r="IY269" s="4"/>
      <c r="IZ269" s="6"/>
      <c r="JA269" s="4"/>
      <c r="JB269" s="6"/>
      <c r="JC269" s="5"/>
      <c r="JD269" s="5"/>
      <c r="JE269" s="4"/>
      <c r="JF269" s="6"/>
      <c r="JG269" s="4"/>
      <c r="JH269" s="6"/>
      <c r="JI269" s="5"/>
      <c r="JJ269" s="5"/>
      <c r="JK269" s="4">
        <v>47</v>
      </c>
      <c r="JL269" s="4"/>
      <c r="JM269" s="4"/>
      <c r="JN269" s="4"/>
      <c r="JO269" s="4"/>
      <c r="JP269" s="4"/>
      <c r="JQ269" s="4"/>
      <c r="JR269" s="4"/>
      <c r="JS269" s="4"/>
      <c r="JT269" s="4"/>
      <c r="JU269" s="4"/>
      <c r="JV269" s="4"/>
      <c r="JW269" s="4"/>
      <c r="JX269" s="4"/>
      <c r="JY269" s="4"/>
      <c r="JZ269" s="4"/>
      <c r="KA269" s="4"/>
      <c r="KB269" s="4"/>
      <c r="KC269" s="4"/>
      <c r="KD269" s="4"/>
      <c r="KE269" s="4"/>
      <c r="KF269" s="4"/>
      <c r="KG269" s="4"/>
      <c r="KH269" s="4"/>
      <c r="KI269" s="4"/>
      <c r="KJ269" s="4"/>
      <c r="KK269" s="4"/>
      <c r="KL269" s="4"/>
      <c r="KM269" s="4"/>
      <c r="KN269" s="4"/>
      <c r="KO269" s="4"/>
      <c r="KP269" s="4"/>
      <c r="KQ269" s="4"/>
      <c r="KR269" s="4"/>
      <c r="KS269" s="4"/>
      <c r="KT269" s="4"/>
      <c r="KU269" s="4"/>
      <c r="KV269" s="4"/>
      <c r="KW269" s="4"/>
      <c r="KX269" s="4"/>
      <c r="KY269" s="4"/>
      <c r="KZ269" s="4"/>
      <c r="LA269" s="4"/>
      <c r="LB269" s="4"/>
      <c r="LC269" s="4"/>
      <c r="LD269" s="4"/>
      <c r="LE269" s="4"/>
      <c r="LF269" s="4"/>
      <c r="LG269" s="4"/>
      <c r="LH269" s="4"/>
      <c r="LI269" s="4"/>
      <c r="LJ269" s="4"/>
      <c r="LK269" s="4"/>
      <c r="LL269" s="4"/>
      <c r="LM269" s="4"/>
    </row>
    <row r="270">
      <c r="A270" s="3" t="s">
        <v>136</v>
      </c>
      <c r="B270" s="3" t="s">
        <v>181</v>
      </c>
      <c r="C270" s="3" t="s">
        <v>138</v>
      </c>
      <c r="D270" s="3" t="s">
        <v>139</v>
      </c>
      <c r="E270" s="3" t="s">
        <v>162</v>
      </c>
      <c r="F270" s="3" t="s">
        <v>188</v>
      </c>
      <c r="G270" s="3" t="s">
        <v>188</v>
      </c>
      <c r="H270" s="3" t="s">
        <v>146</v>
      </c>
      <c r="I270" s="3" t="s">
        <v>258</v>
      </c>
      <c r="J270" s="3" t="s">
        <v>241</v>
      </c>
      <c r="K270" s="4"/>
      <c r="L270" s="4">
        <f>=ROUNDDOWN({0},0)</f>
      </c>
      <c r="M270" s="4"/>
      <c r="N270" s="5"/>
      <c r="O270" s="4"/>
      <c r="P270" s="4">
        <f>=ROUNDDOWN({0},0)</f>
      </c>
      <c r="Q270" s="4"/>
      <c r="R270" s="5"/>
      <c r="S270" s="4"/>
      <c r="T270" s="6"/>
      <c r="U270" s="4">
        <v>21</v>
      </c>
      <c r="V270" s="6">
        <v>232.66</v>
      </c>
      <c r="W270" s="5"/>
      <c r="X270" s="5"/>
      <c r="Y270" s="4"/>
      <c r="Z270" s="6"/>
      <c r="AA270" s="4"/>
      <c r="AB270" s="6"/>
      <c r="AC270" s="5"/>
      <c r="AD270" s="5"/>
      <c r="AE270" s="4"/>
      <c r="AF270" s="6"/>
      <c r="AG270" s="4"/>
      <c r="AH270" s="6"/>
      <c r="AI270" s="5"/>
      <c r="AJ270" s="5"/>
      <c r="AK270" s="4"/>
      <c r="AL270" s="6"/>
      <c r="AM270" s="4"/>
      <c r="AN270" s="6"/>
      <c r="AO270" s="5"/>
      <c r="AP270" s="5"/>
      <c r="AQ270" s="4"/>
      <c r="AR270" s="6"/>
      <c r="AS270" s="4">
        <v>1</v>
      </c>
      <c r="AT270" s="6">
        <v>12.93</v>
      </c>
      <c r="AU270" s="5"/>
      <c r="AV270" s="5"/>
      <c r="AW270" s="4"/>
      <c r="AX270" s="6"/>
      <c r="AY270" s="4"/>
      <c r="AZ270" s="6"/>
      <c r="BA270" s="5"/>
      <c r="BB270" s="5"/>
      <c r="BC270" s="4"/>
      <c r="BD270" s="6"/>
      <c r="BE270" s="4">
        <v>12</v>
      </c>
      <c r="BF270" s="6">
        <v>137.88</v>
      </c>
      <c r="BG270" s="5"/>
      <c r="BH270" s="5"/>
      <c r="BI270" s="4"/>
      <c r="BJ270" s="6"/>
      <c r="BK270" s="4">
        <v>3</v>
      </c>
      <c r="BL270" s="6">
        <v>27.15</v>
      </c>
      <c r="BM270" s="5"/>
      <c r="BN270" s="5"/>
      <c r="BO270" s="4"/>
      <c r="BP270" s="6"/>
      <c r="BQ270" s="4"/>
      <c r="BR270" s="6"/>
      <c r="BS270" s="5"/>
      <c r="BT270" s="5"/>
      <c r="BU270" s="4"/>
      <c r="BV270" s="6"/>
      <c r="BW270" s="4"/>
      <c r="BX270" s="6"/>
      <c r="BY270" s="5"/>
      <c r="BZ270" s="5"/>
      <c r="CA270" s="4"/>
      <c r="CB270" s="6"/>
      <c r="CC270" s="4"/>
      <c r="CD270" s="6"/>
      <c r="CE270" s="5"/>
      <c r="CF270" s="5"/>
      <c r="CG270" s="4"/>
      <c r="CH270" s="6"/>
      <c r="CI270" s="4"/>
      <c r="CJ270" s="6"/>
      <c r="CK270" s="5"/>
      <c r="CL270" s="5"/>
      <c r="CM270" s="4"/>
      <c r="CN270" s="6"/>
      <c r="CO270" s="4"/>
      <c r="CP270" s="6"/>
      <c r="CQ270" s="5"/>
      <c r="CR270" s="5"/>
      <c r="CS270" s="4"/>
      <c r="CT270" s="6"/>
      <c r="CU270" s="4">
        <v>1</v>
      </c>
      <c r="CV270" s="6">
        <v>13.61</v>
      </c>
      <c r="CW270" s="5"/>
      <c r="CX270" s="5"/>
      <c r="CY270" s="4"/>
      <c r="CZ270" s="6"/>
      <c r="DA270" s="4"/>
      <c r="DB270" s="6"/>
      <c r="DC270" s="5"/>
      <c r="DD270" s="5"/>
      <c r="DE270" s="4"/>
      <c r="DF270" s="6"/>
      <c r="DG270" s="4"/>
      <c r="DH270" s="6"/>
      <c r="DI270" s="5"/>
      <c r="DJ270" s="5"/>
      <c r="DK270" s="4"/>
      <c r="DL270" s="6"/>
      <c r="DM270" s="4"/>
      <c r="DN270" s="6"/>
      <c r="DO270" s="5"/>
      <c r="DP270" s="5"/>
      <c r="DQ270" s="4"/>
      <c r="DR270" s="6"/>
      <c r="DS270" s="4"/>
      <c r="DT270" s="6"/>
      <c r="DU270" s="5"/>
      <c r="DV270" s="5"/>
      <c r="DW270" s="4"/>
      <c r="DX270" s="6"/>
      <c r="DY270" s="4"/>
      <c r="DZ270" s="6"/>
      <c r="EA270" s="5"/>
      <c r="EB270" s="5"/>
      <c r="EC270" s="4"/>
      <c r="ED270" s="6"/>
      <c r="EE270" s="4">
        <v>1</v>
      </c>
      <c r="EF270" s="6">
        <v>13.31</v>
      </c>
      <c r="EG270" s="5"/>
      <c r="EH270" s="5"/>
      <c r="EI270" s="4"/>
      <c r="EJ270" s="6"/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/>
      <c r="EV270" s="6"/>
      <c r="EW270" s="4"/>
      <c r="EX270" s="6"/>
      <c r="EY270" s="5"/>
      <c r="EZ270" s="5"/>
      <c r="FA270" s="4"/>
      <c r="FB270" s="6"/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>
        <v>3</v>
      </c>
      <c r="FV270" s="6">
        <v>27.78</v>
      </c>
      <c r="FW270" s="5"/>
      <c r="FX270" s="5"/>
      <c r="FY270" s="4"/>
      <c r="FZ270" s="6"/>
      <c r="GA270" s="4"/>
      <c r="GB270" s="6"/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  <c r="IA270" s="4"/>
      <c r="IB270" s="6"/>
      <c r="IC270" s="4"/>
      <c r="ID270" s="6"/>
      <c r="IE270" s="5"/>
      <c r="IF270" s="5"/>
      <c r="IG270" s="4"/>
      <c r="IH270" s="6"/>
      <c r="II270" s="4"/>
      <c r="IJ270" s="6"/>
      <c r="IK270" s="5"/>
      <c r="IL270" s="5"/>
      <c r="IM270" s="4"/>
      <c r="IN270" s="6"/>
      <c r="IO270" s="4"/>
      <c r="IP270" s="6"/>
      <c r="IQ270" s="5"/>
      <c r="IR270" s="5"/>
      <c r="IS270" s="4"/>
      <c r="IT270" s="6"/>
      <c r="IU270" s="4"/>
      <c r="IV270" s="6"/>
      <c r="IW270" s="5"/>
      <c r="IX270" s="5"/>
      <c r="IY270" s="4"/>
      <c r="IZ270" s="6"/>
      <c r="JA270" s="4"/>
      <c r="JB270" s="6"/>
      <c r="JC270" s="5"/>
      <c r="JD270" s="5"/>
      <c r="JE270" s="4"/>
      <c r="JF270" s="6"/>
      <c r="JG270" s="4"/>
      <c r="JH270" s="6"/>
      <c r="JI270" s="5"/>
      <c r="JJ270" s="5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  <c r="JW270" s="4"/>
      <c r="JX270" s="4"/>
      <c r="JY270" s="4"/>
      <c r="JZ270" s="4"/>
      <c r="KA270" s="4"/>
      <c r="KB270" s="4"/>
      <c r="KC270" s="4"/>
      <c r="KD270" s="4"/>
      <c r="KE270" s="4"/>
      <c r="KF270" s="4"/>
      <c r="KG270" s="4"/>
      <c r="KH270" s="4"/>
      <c r="KI270" s="4"/>
      <c r="KJ270" s="4"/>
      <c r="KK270" s="4"/>
      <c r="KL270" s="4"/>
      <c r="KM270" s="4"/>
      <c r="KN270" s="4"/>
      <c r="KO270" s="4"/>
      <c r="KP270" s="4"/>
      <c r="KQ270" s="4"/>
      <c r="KR270" s="4"/>
      <c r="KS270" s="4"/>
      <c r="KT270" s="4"/>
      <c r="KU270" s="4"/>
      <c r="KV270" s="4"/>
      <c r="KW270" s="4"/>
      <c r="KX270" s="4"/>
      <c r="KY270" s="4"/>
      <c r="KZ270" s="4"/>
      <c r="LA270" s="4"/>
      <c r="LB270" s="4"/>
      <c r="LC270" s="4"/>
      <c r="LD270" s="4"/>
      <c r="LE270" s="4"/>
      <c r="LF270" s="4"/>
      <c r="LG270" s="4"/>
      <c r="LH270" s="4"/>
      <c r="LI270" s="4"/>
      <c r="LJ270" s="4"/>
      <c r="LK270" s="4"/>
      <c r="LL270" s="4"/>
      <c r="LM270" s="4"/>
    </row>
    <row r="271">
      <c r="A271" s="3" t="s">
        <v>136</v>
      </c>
      <c r="B271" s="3" t="s">
        <v>181</v>
      </c>
      <c r="C271" s="3" t="s">
        <v>138</v>
      </c>
      <c r="D271" s="3" t="s">
        <v>139</v>
      </c>
      <c r="E271" s="3" t="s">
        <v>162</v>
      </c>
      <c r="F271" s="3" t="s">
        <v>162</v>
      </c>
      <c r="G271" s="3" t="s">
        <v>162</v>
      </c>
      <c r="H271" s="3" t="s">
        <v>146</v>
      </c>
      <c r="I271" s="3" t="s">
        <v>257</v>
      </c>
      <c r="J271" s="3" t="s">
        <v>241</v>
      </c>
      <c r="K271" s="4"/>
      <c r="L271" s="4">
        <f>=ROUNDDOWN({0},0)</f>
      </c>
      <c r="M271" s="4"/>
      <c r="N271" s="5"/>
      <c r="O271" s="4"/>
      <c r="P271" s="4">
        <f>=ROUNDDOWN({0},0)</f>
      </c>
      <c r="Q271" s="4"/>
      <c r="R271" s="5"/>
      <c r="S271" s="4"/>
      <c r="T271" s="6"/>
      <c r="U271" s="4">
        <v>493</v>
      </c>
      <c r="V271" s="6">
        <v>6353.17</v>
      </c>
      <c r="W271" s="5"/>
      <c r="X271" s="5"/>
      <c r="Y271" s="4"/>
      <c r="Z271" s="6"/>
      <c r="AA271" s="4">
        <v>111</v>
      </c>
      <c r="AB271" s="6">
        <v>1546.87</v>
      </c>
      <c r="AC271" s="5"/>
      <c r="AD271" s="5"/>
      <c r="AE271" s="4"/>
      <c r="AF271" s="6"/>
      <c r="AG271" s="4">
        <v>4</v>
      </c>
      <c r="AH271" s="6">
        <v>58.58</v>
      </c>
      <c r="AI271" s="5"/>
      <c r="AJ271" s="5"/>
      <c r="AK271" s="4"/>
      <c r="AL271" s="6"/>
      <c r="AM271" s="4"/>
      <c r="AN271" s="6"/>
      <c r="AO271" s="5"/>
      <c r="AP271" s="5"/>
      <c r="AQ271" s="4"/>
      <c r="AR271" s="6"/>
      <c r="AS271" s="4">
        <v>51</v>
      </c>
      <c r="AT271" s="6">
        <v>779.45</v>
      </c>
      <c r="AU271" s="5"/>
      <c r="AV271" s="5"/>
      <c r="AW271" s="4"/>
      <c r="AX271" s="6"/>
      <c r="AY271" s="4">
        <v>43</v>
      </c>
      <c r="AZ271" s="6">
        <v>705.07</v>
      </c>
      <c r="BA271" s="5"/>
      <c r="BB271" s="5"/>
      <c r="BC271" s="4"/>
      <c r="BD271" s="6"/>
      <c r="BE271" s="4">
        <v>5</v>
      </c>
      <c r="BF271" s="6">
        <v>64.85</v>
      </c>
      <c r="BG271" s="5"/>
      <c r="BH271" s="5"/>
      <c r="BI271" s="4"/>
      <c r="BJ271" s="6"/>
      <c r="BK271" s="4">
        <v>182</v>
      </c>
      <c r="BL271" s="6">
        <v>1842.07</v>
      </c>
      <c r="BM271" s="5"/>
      <c r="BN271" s="5"/>
      <c r="BO271" s="4"/>
      <c r="BP271" s="6"/>
      <c r="BQ271" s="4">
        <v>23</v>
      </c>
      <c r="BR271" s="6">
        <v>299.72</v>
      </c>
      <c r="BS271" s="5"/>
      <c r="BT271" s="5"/>
      <c r="BU271" s="4"/>
      <c r="BV271" s="6"/>
      <c r="BW271" s="4">
        <v>4</v>
      </c>
      <c r="BX271" s="6">
        <v>63.24</v>
      </c>
      <c r="BY271" s="5"/>
      <c r="BZ271" s="5"/>
      <c r="CA271" s="4"/>
      <c r="CB271" s="6"/>
      <c r="CC271" s="4">
        <v>10</v>
      </c>
      <c r="CD271" s="6">
        <v>123.35</v>
      </c>
      <c r="CE271" s="5"/>
      <c r="CF271" s="5"/>
      <c r="CG271" s="4"/>
      <c r="CH271" s="6"/>
      <c r="CI271" s="4">
        <v>30</v>
      </c>
      <c r="CJ271" s="6">
        <v>469.56</v>
      </c>
      <c r="CK271" s="5"/>
      <c r="CL271" s="5"/>
      <c r="CM271" s="4"/>
      <c r="CN271" s="6"/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>
        <v>21</v>
      </c>
      <c r="DB271" s="6">
        <v>267.88</v>
      </c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>
        <v>5</v>
      </c>
      <c r="DT271" s="6">
        <v>74.85</v>
      </c>
      <c r="DU271" s="5"/>
      <c r="DV271" s="5"/>
      <c r="DW271" s="4"/>
      <c r="DX271" s="6"/>
      <c r="DY271" s="4"/>
      <c r="DZ271" s="6"/>
      <c r="EA271" s="5"/>
      <c r="EB271" s="5"/>
      <c r="EC271" s="4"/>
      <c r="ED271" s="6"/>
      <c r="EE271" s="4">
        <v>1</v>
      </c>
      <c r="EF271" s="6">
        <v>13.31</v>
      </c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/>
      <c r="FH271" s="6"/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>
        <v>3</v>
      </c>
      <c r="FV271" s="6">
        <v>44.37</v>
      </c>
      <c r="FW271" s="5"/>
      <c r="FX271" s="5"/>
      <c r="FY271" s="4"/>
      <c r="FZ271" s="6"/>
      <c r="GA271" s="4"/>
      <c r="GB271" s="6"/>
      <c r="GC271" s="5"/>
      <c r="GD271" s="5"/>
      <c r="GE271" s="4"/>
      <c r="GF271" s="6"/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  <c r="IA271" s="4"/>
      <c r="IB271" s="6"/>
      <c r="IC271" s="4"/>
      <c r="ID271" s="6"/>
      <c r="IE271" s="5"/>
      <c r="IF271" s="5"/>
      <c r="IG271" s="4"/>
      <c r="IH271" s="6"/>
      <c r="II271" s="4"/>
      <c r="IJ271" s="6"/>
      <c r="IK271" s="5"/>
      <c r="IL271" s="5"/>
      <c r="IM271" s="4"/>
      <c r="IN271" s="6"/>
      <c r="IO271" s="4"/>
      <c r="IP271" s="6"/>
      <c r="IQ271" s="5"/>
      <c r="IR271" s="5"/>
      <c r="IS271" s="4"/>
      <c r="IT271" s="6"/>
      <c r="IU271" s="4"/>
      <c r="IV271" s="6"/>
      <c r="IW271" s="5"/>
      <c r="IX271" s="5"/>
      <c r="IY271" s="4"/>
      <c r="IZ271" s="6"/>
      <c r="JA271" s="4"/>
      <c r="JB271" s="6"/>
      <c r="JC271" s="5"/>
      <c r="JD271" s="5"/>
      <c r="JE271" s="4"/>
      <c r="JF271" s="6"/>
      <c r="JG271" s="4"/>
      <c r="JH271" s="6"/>
      <c r="JI271" s="5"/>
      <c r="JJ271" s="5"/>
      <c r="JK271" s="4"/>
      <c r="JL271" s="4"/>
      <c r="JM271" s="4"/>
      <c r="JN271" s="4"/>
      <c r="JO271" s="4"/>
      <c r="JP271" s="4"/>
      <c r="JQ271" s="4"/>
      <c r="JR271" s="4"/>
      <c r="JS271" s="4"/>
      <c r="JT271" s="4"/>
      <c r="JU271" s="4"/>
      <c r="JV271" s="4"/>
      <c r="JW271" s="4"/>
      <c r="JX271" s="4"/>
      <c r="JY271" s="4"/>
      <c r="JZ271" s="4"/>
      <c r="KA271" s="4"/>
      <c r="KB271" s="4"/>
      <c r="KC271" s="4"/>
      <c r="KD271" s="4"/>
      <c r="KE271" s="4"/>
      <c r="KF271" s="4"/>
      <c r="KG271" s="4"/>
      <c r="KH271" s="4"/>
      <c r="KI271" s="4"/>
      <c r="KJ271" s="4"/>
      <c r="KK271" s="4"/>
      <c r="KL271" s="4"/>
      <c r="KM271" s="4"/>
      <c r="KN271" s="4"/>
      <c r="KO271" s="4"/>
      <c r="KP271" s="4"/>
      <c r="KQ271" s="4"/>
      <c r="KR271" s="4"/>
      <c r="KS271" s="4"/>
      <c r="KT271" s="4"/>
      <c r="KU271" s="4"/>
      <c r="KV271" s="4"/>
      <c r="KW271" s="4"/>
      <c r="KX271" s="4"/>
      <c r="KY271" s="4"/>
      <c r="KZ271" s="4"/>
      <c r="LA271" s="4"/>
      <c r="LB271" s="4"/>
      <c r="LC271" s="4"/>
      <c r="LD271" s="4"/>
      <c r="LE271" s="4"/>
      <c r="LF271" s="4"/>
      <c r="LG271" s="4"/>
      <c r="LH271" s="4"/>
      <c r="LI271" s="4"/>
      <c r="LJ271" s="4"/>
      <c r="LK271" s="4"/>
      <c r="LL271" s="4"/>
      <c r="LM271" s="4"/>
    </row>
    <row r="272">
      <c r="A272" s="3" t="s">
        <v>136</v>
      </c>
      <c r="B272" s="3" t="s">
        <v>181</v>
      </c>
      <c r="C272" s="3" t="s">
        <v>138</v>
      </c>
      <c r="D272" s="3" t="s">
        <v>139</v>
      </c>
      <c r="E272" s="3" t="s">
        <v>189</v>
      </c>
      <c r="F272" s="3" t="s">
        <v>189</v>
      </c>
      <c r="G272" s="3" t="s">
        <v>189</v>
      </c>
      <c r="H272" s="3" t="s">
        <v>146</v>
      </c>
      <c r="I272" s="3" t="s">
        <v>258</v>
      </c>
      <c r="J272" s="3" t="s">
        <v>241</v>
      </c>
      <c r="K272" s="4"/>
      <c r="L272" s="4">
        <f>=ROUNDDOWN({0},0)</f>
      </c>
      <c r="M272" s="4"/>
      <c r="N272" s="5"/>
      <c r="O272" s="4"/>
      <c r="P272" s="4">
        <f>=ROUNDDOWN({0},0)</f>
      </c>
      <c r="Q272" s="4"/>
      <c r="R272" s="5"/>
      <c r="S272" s="4"/>
      <c r="T272" s="6"/>
      <c r="U272" s="4">
        <v>15</v>
      </c>
      <c r="V272" s="6">
        <v>243.66</v>
      </c>
      <c r="W272" s="5"/>
      <c r="X272" s="5"/>
      <c r="Y272" s="4"/>
      <c r="Z272" s="6"/>
      <c r="AA272" s="4"/>
      <c r="AB272" s="6"/>
      <c r="AC272" s="5"/>
      <c r="AD272" s="5"/>
      <c r="AE272" s="4"/>
      <c r="AF272" s="6"/>
      <c r="AG272" s="4">
        <v>3</v>
      </c>
      <c r="AH272" s="6">
        <v>42.6</v>
      </c>
      <c r="AI272" s="5"/>
      <c r="AJ272" s="5"/>
      <c r="AK272" s="4"/>
      <c r="AL272" s="6"/>
      <c r="AM272" s="4"/>
      <c r="AN272" s="6"/>
      <c r="AO272" s="5"/>
      <c r="AP272" s="5"/>
      <c r="AQ272" s="4"/>
      <c r="AR272" s="6"/>
      <c r="AS272" s="4"/>
      <c r="AT272" s="6"/>
      <c r="AU272" s="5"/>
      <c r="AV272" s="5"/>
      <c r="AW272" s="4"/>
      <c r="AX272" s="6"/>
      <c r="AY272" s="4"/>
      <c r="AZ272" s="6"/>
      <c r="BA272" s="5"/>
      <c r="BB272" s="5"/>
      <c r="BC272" s="4"/>
      <c r="BD272" s="6"/>
      <c r="BE272" s="4"/>
      <c r="BF272" s="6"/>
      <c r="BG272" s="5"/>
      <c r="BH272" s="5"/>
      <c r="BI272" s="4"/>
      <c r="BJ272" s="6"/>
      <c r="BK272" s="4">
        <v>7</v>
      </c>
      <c r="BL272" s="6">
        <v>92.05</v>
      </c>
      <c r="BM272" s="5"/>
      <c r="BN272" s="5"/>
      <c r="BO272" s="4"/>
      <c r="BP272" s="6"/>
      <c r="BQ272" s="4"/>
      <c r="BR272" s="6"/>
      <c r="BS272" s="5"/>
      <c r="BT272" s="5"/>
      <c r="BU272" s="4"/>
      <c r="BV272" s="6"/>
      <c r="BW272" s="4">
        <v>1</v>
      </c>
      <c r="BX272" s="6">
        <v>19.35</v>
      </c>
      <c r="BY272" s="5"/>
      <c r="BZ272" s="5"/>
      <c r="CA272" s="4"/>
      <c r="CB272" s="6"/>
      <c r="CC272" s="4">
        <v>2</v>
      </c>
      <c r="CD272" s="6">
        <v>34.76</v>
      </c>
      <c r="CE272" s="5"/>
      <c r="CF272" s="5"/>
      <c r="CG272" s="4"/>
      <c r="CH272" s="6"/>
      <c r="CI272" s="4"/>
      <c r="CJ272" s="6"/>
      <c r="CK272" s="5"/>
      <c r="CL272" s="5"/>
      <c r="CM272" s="4"/>
      <c r="CN272" s="6"/>
      <c r="CO272" s="4"/>
      <c r="CP272" s="6"/>
      <c r="CQ272" s="5"/>
      <c r="CR272" s="5"/>
      <c r="CS272" s="4"/>
      <c r="CT272" s="6"/>
      <c r="CU272" s="4"/>
      <c r="CV272" s="6"/>
      <c r="CW272" s="5"/>
      <c r="CX272" s="5"/>
      <c r="CY272" s="4"/>
      <c r="CZ272" s="6"/>
      <c r="DA272" s="4"/>
      <c r="DB272" s="6"/>
      <c r="DC272" s="5"/>
      <c r="DD272" s="5"/>
      <c r="DE272" s="4"/>
      <c r="DF272" s="6"/>
      <c r="DG272" s="4"/>
      <c r="DH272" s="6"/>
      <c r="DI272" s="5"/>
      <c r="DJ272" s="5"/>
      <c r="DK272" s="4"/>
      <c r="DL272" s="6"/>
      <c r="DM272" s="4">
        <v>1</v>
      </c>
      <c r="DN272" s="6">
        <v>34.99</v>
      </c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/>
      <c r="ED272" s="6"/>
      <c r="EE272" s="4"/>
      <c r="EF272" s="6"/>
      <c r="EG272" s="5"/>
      <c r="EH272" s="5"/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/>
      <c r="FP272" s="6"/>
      <c r="FQ272" s="5"/>
      <c r="FR272" s="5"/>
      <c r="FS272" s="4"/>
      <c r="FT272" s="6"/>
      <c r="FU272" s="4">
        <v>1</v>
      </c>
      <c r="FV272" s="6">
        <v>19.91</v>
      </c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  <c r="IA272" s="4"/>
      <c r="IB272" s="6"/>
      <c r="IC272" s="4"/>
      <c r="ID272" s="6"/>
      <c r="IE272" s="5"/>
      <c r="IF272" s="5"/>
      <c r="IG272" s="4"/>
      <c r="IH272" s="6"/>
      <c r="II272" s="4"/>
      <c r="IJ272" s="6"/>
      <c r="IK272" s="5"/>
      <c r="IL272" s="5"/>
      <c r="IM272" s="4"/>
      <c r="IN272" s="6"/>
      <c r="IO272" s="4"/>
      <c r="IP272" s="6"/>
      <c r="IQ272" s="5"/>
      <c r="IR272" s="5"/>
      <c r="IS272" s="4"/>
      <c r="IT272" s="6"/>
      <c r="IU272" s="4"/>
      <c r="IV272" s="6"/>
      <c r="IW272" s="5"/>
      <c r="IX272" s="5"/>
      <c r="IY272" s="4"/>
      <c r="IZ272" s="6"/>
      <c r="JA272" s="4"/>
      <c r="JB272" s="6"/>
      <c r="JC272" s="5"/>
      <c r="JD272" s="5"/>
      <c r="JE272" s="4"/>
      <c r="JF272" s="6"/>
      <c r="JG272" s="4"/>
      <c r="JH272" s="6"/>
      <c r="JI272" s="5"/>
      <c r="JJ272" s="5"/>
      <c r="JK272" s="4"/>
      <c r="JL272" s="4"/>
      <c r="JM272" s="4"/>
      <c r="JN272" s="4"/>
      <c r="JO272" s="4"/>
      <c r="JP272" s="4"/>
      <c r="JQ272" s="4"/>
      <c r="JR272" s="4"/>
      <c r="JS272" s="4"/>
      <c r="JT272" s="4"/>
      <c r="JU272" s="4"/>
      <c r="JV272" s="4"/>
      <c r="JW272" s="4"/>
      <c r="JX272" s="4"/>
      <c r="JY272" s="4"/>
      <c r="JZ272" s="4"/>
      <c r="KA272" s="4"/>
      <c r="KB272" s="4"/>
      <c r="KC272" s="4"/>
      <c r="KD272" s="4"/>
      <c r="KE272" s="4"/>
      <c r="KF272" s="4"/>
      <c r="KG272" s="4"/>
      <c r="KH272" s="4"/>
      <c r="KI272" s="4"/>
      <c r="KJ272" s="4"/>
      <c r="KK272" s="4"/>
      <c r="KL272" s="4"/>
      <c r="KM272" s="4"/>
      <c r="KN272" s="4"/>
      <c r="KO272" s="4"/>
      <c r="KP272" s="4"/>
      <c r="KQ272" s="4"/>
      <c r="KR272" s="4"/>
      <c r="KS272" s="4"/>
      <c r="KT272" s="4"/>
      <c r="KU272" s="4"/>
      <c r="KV272" s="4"/>
      <c r="KW272" s="4"/>
      <c r="KX272" s="4"/>
      <c r="KY272" s="4"/>
      <c r="KZ272" s="4"/>
      <c r="LA272" s="4"/>
      <c r="LB272" s="4"/>
      <c r="LC272" s="4"/>
      <c r="LD272" s="4"/>
      <c r="LE272" s="4"/>
      <c r="LF272" s="4"/>
      <c r="LG272" s="4"/>
      <c r="LH272" s="4"/>
      <c r="LI272" s="4"/>
      <c r="LJ272" s="4"/>
      <c r="LK272" s="4"/>
      <c r="LL272" s="4"/>
      <c r="LM272" s="4"/>
    </row>
    <row r="273">
      <c r="A273" s="3" t="s">
        <v>136</v>
      </c>
      <c r="B273" s="3" t="s">
        <v>181</v>
      </c>
      <c r="C273" s="3" t="s">
        <v>138</v>
      </c>
      <c r="D273" s="3" t="s">
        <v>139</v>
      </c>
      <c r="E273" s="3" t="s">
        <v>189</v>
      </c>
      <c r="F273" s="3" t="s">
        <v>189</v>
      </c>
      <c r="G273" s="3" t="s">
        <v>189</v>
      </c>
      <c r="H273" s="3" t="s">
        <v>146</v>
      </c>
      <c r="I273" s="3" t="s">
        <v>227</v>
      </c>
      <c r="J273" s="3" t="s">
        <v>241</v>
      </c>
      <c r="K273" s="4"/>
      <c r="L273" s="4">
        <f>=ROUNDDOWN({0},0)</f>
      </c>
      <c r="M273" s="4"/>
      <c r="N273" s="5"/>
      <c r="O273" s="4"/>
      <c r="P273" s="4">
        <f>=ROUNDDOWN({0},0)</f>
      </c>
      <c r="Q273" s="4"/>
      <c r="R273" s="5"/>
      <c r="S273" s="4"/>
      <c r="T273" s="6"/>
      <c r="U273" s="4">
        <v>27</v>
      </c>
      <c r="V273" s="6">
        <v>531.91</v>
      </c>
      <c r="W273" s="5"/>
      <c r="X273" s="5"/>
      <c r="Y273" s="4"/>
      <c r="Z273" s="6"/>
      <c r="AA273" s="4"/>
      <c r="AB273" s="6"/>
      <c r="AC273" s="5"/>
      <c r="AD273" s="5"/>
      <c r="AE273" s="4"/>
      <c r="AF273" s="6"/>
      <c r="AG273" s="4"/>
      <c r="AH273" s="6"/>
      <c r="AI273" s="5"/>
      <c r="AJ273" s="5"/>
      <c r="AK273" s="4"/>
      <c r="AL273" s="6"/>
      <c r="AM273" s="4"/>
      <c r="AN273" s="6"/>
      <c r="AO273" s="5"/>
      <c r="AP273" s="5"/>
      <c r="AQ273" s="4"/>
      <c r="AR273" s="6"/>
      <c r="AS273" s="4"/>
      <c r="AT273" s="6"/>
      <c r="AU273" s="5"/>
      <c r="AV273" s="5"/>
      <c r="AW273" s="4"/>
      <c r="AX273" s="6"/>
      <c r="AY273" s="4"/>
      <c r="AZ273" s="6"/>
      <c r="BA273" s="5"/>
      <c r="BB273" s="5"/>
      <c r="BC273" s="4"/>
      <c r="BD273" s="6"/>
      <c r="BE273" s="4"/>
      <c r="BF273" s="6"/>
      <c r="BG273" s="5"/>
      <c r="BH273" s="5"/>
      <c r="BI273" s="4"/>
      <c r="BJ273" s="6"/>
      <c r="BK273" s="4"/>
      <c r="BL273" s="6"/>
      <c r="BM273" s="5"/>
      <c r="BN273" s="5"/>
      <c r="BO273" s="4"/>
      <c r="BP273" s="6"/>
      <c r="BQ273" s="4"/>
      <c r="BR273" s="6"/>
      <c r="BS273" s="5"/>
      <c r="BT273" s="5"/>
      <c r="BU273" s="4"/>
      <c r="BV273" s="6"/>
      <c r="BW273" s="4">
        <v>5</v>
      </c>
      <c r="BX273" s="6">
        <v>96.75</v>
      </c>
      <c r="BY273" s="5"/>
      <c r="BZ273" s="5"/>
      <c r="CA273" s="4"/>
      <c r="CB273" s="6"/>
      <c r="CC273" s="4"/>
      <c r="CD273" s="6"/>
      <c r="CE273" s="5"/>
      <c r="CF273" s="5"/>
      <c r="CG273" s="4"/>
      <c r="CH273" s="6"/>
      <c r="CI273" s="4">
        <v>10</v>
      </c>
      <c r="CJ273" s="6">
        <v>205.7</v>
      </c>
      <c r="CK273" s="5"/>
      <c r="CL273" s="5"/>
      <c r="CM273" s="4"/>
      <c r="CN273" s="6"/>
      <c r="CO273" s="4"/>
      <c r="CP273" s="6"/>
      <c r="CQ273" s="5"/>
      <c r="CR273" s="5"/>
      <c r="CS273" s="4"/>
      <c r="CT273" s="6"/>
      <c r="CU273" s="4"/>
      <c r="CV273" s="6"/>
      <c r="CW273" s="5"/>
      <c r="CX273" s="5"/>
      <c r="CY273" s="4"/>
      <c r="CZ273" s="6"/>
      <c r="DA273" s="4">
        <v>11</v>
      </c>
      <c r="DB273" s="6">
        <v>209.55</v>
      </c>
      <c r="DC273" s="5"/>
      <c r="DD273" s="5"/>
      <c r="DE273" s="4"/>
      <c r="DF273" s="6"/>
      <c r="DG273" s="4"/>
      <c r="DH273" s="6"/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/>
      <c r="DZ273" s="6"/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/>
      <c r="EL273" s="6"/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>
        <v>1</v>
      </c>
      <c r="FV273" s="6">
        <v>19.91</v>
      </c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  <c r="IA273" s="4"/>
      <c r="IB273" s="6"/>
      <c r="IC273" s="4"/>
      <c r="ID273" s="6"/>
      <c r="IE273" s="5"/>
      <c r="IF273" s="5"/>
      <c r="IG273" s="4"/>
      <c r="IH273" s="6"/>
      <c r="II273" s="4"/>
      <c r="IJ273" s="6"/>
      <c r="IK273" s="5"/>
      <c r="IL273" s="5"/>
      <c r="IM273" s="4"/>
      <c r="IN273" s="6"/>
      <c r="IO273" s="4"/>
      <c r="IP273" s="6"/>
      <c r="IQ273" s="5"/>
      <c r="IR273" s="5"/>
      <c r="IS273" s="4"/>
      <c r="IT273" s="6"/>
      <c r="IU273" s="4"/>
      <c r="IV273" s="6"/>
      <c r="IW273" s="5"/>
      <c r="IX273" s="5"/>
      <c r="IY273" s="4"/>
      <c r="IZ273" s="6"/>
      <c r="JA273" s="4"/>
      <c r="JB273" s="6"/>
      <c r="JC273" s="5"/>
      <c r="JD273" s="5"/>
      <c r="JE273" s="4"/>
      <c r="JF273" s="6"/>
      <c r="JG273" s="4"/>
      <c r="JH273" s="6"/>
      <c r="JI273" s="5"/>
      <c r="JJ273" s="5"/>
      <c r="JK273" s="4"/>
      <c r="JL273" s="4"/>
      <c r="JM273" s="4"/>
      <c r="JN273" s="4"/>
      <c r="JO273" s="4"/>
      <c r="JP273" s="4"/>
      <c r="JQ273" s="4"/>
      <c r="JR273" s="4"/>
      <c r="JS273" s="4"/>
      <c r="JT273" s="4"/>
      <c r="JU273" s="4"/>
      <c r="JV273" s="4"/>
      <c r="JW273" s="4"/>
      <c r="JX273" s="4"/>
      <c r="JY273" s="4"/>
      <c r="JZ273" s="4"/>
      <c r="KA273" s="4"/>
      <c r="KB273" s="4"/>
      <c r="KC273" s="4"/>
      <c r="KD273" s="4"/>
      <c r="KE273" s="4"/>
      <c r="KF273" s="4"/>
      <c r="KG273" s="4"/>
      <c r="KH273" s="4"/>
      <c r="KI273" s="4"/>
      <c r="KJ273" s="4"/>
      <c r="KK273" s="4"/>
      <c r="KL273" s="4"/>
      <c r="KM273" s="4"/>
      <c r="KN273" s="4"/>
      <c r="KO273" s="4"/>
      <c r="KP273" s="4"/>
      <c r="KQ273" s="4"/>
      <c r="KR273" s="4"/>
      <c r="KS273" s="4"/>
      <c r="KT273" s="4"/>
      <c r="KU273" s="4"/>
      <c r="KV273" s="4"/>
      <c r="KW273" s="4"/>
      <c r="KX273" s="4"/>
      <c r="KY273" s="4"/>
      <c r="KZ273" s="4"/>
      <c r="LA273" s="4"/>
      <c r="LB273" s="4"/>
      <c r="LC273" s="4"/>
      <c r="LD273" s="4"/>
      <c r="LE273" s="4"/>
      <c r="LF273" s="4"/>
      <c r="LG273" s="4"/>
      <c r="LH273" s="4"/>
      <c r="LI273" s="4"/>
      <c r="LJ273" s="4"/>
      <c r="LK273" s="4"/>
      <c r="LL273" s="4"/>
      <c r="LM273" s="4"/>
    </row>
    <row r="274">
      <c r="A274" s="3" t="s">
        <v>136</v>
      </c>
      <c r="B274" s="3" t="s">
        <v>181</v>
      </c>
      <c r="C274" s="3" t="s">
        <v>190</v>
      </c>
      <c r="D274" s="3" t="s">
        <v>191</v>
      </c>
      <c r="E274" s="3" t="s">
        <v>192</v>
      </c>
      <c r="F274" s="3" t="s">
        <v>192</v>
      </c>
      <c r="G274" s="3" t="s">
        <v>192</v>
      </c>
      <c r="H274" s="3" t="s">
        <v>146</v>
      </c>
      <c r="I274" s="3" t="s">
        <v>227</v>
      </c>
      <c r="J274" s="3" t="s">
        <v>241</v>
      </c>
      <c r="K274" s="4">
        <v>95</v>
      </c>
      <c r="L274" s="4">
        <f>=ROUNDDOWN(16.9642857142857,0)</f>
      </c>
      <c r="M274" s="4"/>
      <c r="N274" s="5"/>
      <c r="O274" s="4"/>
      <c r="P274" s="4">
        <f>=ROUNDDOWN({0},0)</f>
      </c>
      <c r="Q274" s="4"/>
      <c r="R274" s="5"/>
      <c r="S274" s="4">
        <v>12</v>
      </c>
      <c r="T274" s="6">
        <v>187.1</v>
      </c>
      <c r="U274" s="4">
        <v>17</v>
      </c>
      <c r="V274" s="6">
        <v>189.26</v>
      </c>
      <c r="W274" s="5">
        <v>-0.2941</v>
      </c>
      <c r="X274" s="5">
        <v>-0.0114</v>
      </c>
      <c r="Y274" s="4">
        <v>2</v>
      </c>
      <c r="Z274" s="6">
        <v>26.46</v>
      </c>
      <c r="AA274" s="4"/>
      <c r="AB274" s="6"/>
      <c r="AC274" s="5"/>
      <c r="AD274" s="5"/>
      <c r="AE274" s="4"/>
      <c r="AF274" s="6"/>
      <c r="AG274" s="4"/>
      <c r="AH274" s="6"/>
      <c r="AI274" s="5"/>
      <c r="AJ274" s="5"/>
      <c r="AK274" s="4"/>
      <c r="AL274" s="6"/>
      <c r="AM274" s="4"/>
      <c r="AN274" s="6"/>
      <c r="AO274" s="5"/>
      <c r="AP274" s="5"/>
      <c r="AQ274" s="4"/>
      <c r="AR274" s="6"/>
      <c r="AS274" s="4"/>
      <c r="AT274" s="6"/>
      <c r="AU274" s="5"/>
      <c r="AV274" s="5"/>
      <c r="AW274" s="4"/>
      <c r="AX274" s="6"/>
      <c r="AY274" s="4"/>
      <c r="AZ274" s="6"/>
      <c r="BA274" s="5"/>
      <c r="BB274" s="5"/>
      <c r="BC274" s="4">
        <v>2</v>
      </c>
      <c r="BD274" s="6">
        <v>24.8</v>
      </c>
      <c r="BE274" s="4">
        <v>11</v>
      </c>
      <c r="BF274" s="6">
        <v>136.4</v>
      </c>
      <c r="BG274" s="5">
        <v>-0.8182</v>
      </c>
      <c r="BH274" s="5">
        <v>-0.8182</v>
      </c>
      <c r="BI274" s="4"/>
      <c r="BJ274" s="6"/>
      <c r="BK274" s="4">
        <v>6</v>
      </c>
      <c r="BL274" s="6">
        <v>52.86</v>
      </c>
      <c r="BM274" s="5"/>
      <c r="BN274" s="5"/>
      <c r="BO274" s="4"/>
      <c r="BP274" s="6"/>
      <c r="BQ274" s="4"/>
      <c r="BR274" s="6"/>
      <c r="BS274" s="5"/>
      <c r="BT274" s="5"/>
      <c r="BU274" s="4"/>
      <c r="BV274" s="6"/>
      <c r="BW274" s="4"/>
      <c r="BX274" s="6"/>
      <c r="BY274" s="5"/>
      <c r="BZ274" s="5"/>
      <c r="CA274" s="4">
        <v>7</v>
      </c>
      <c r="CB274" s="6">
        <v>124.03</v>
      </c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/>
      <c r="CN274" s="6"/>
      <c r="CO274" s="4"/>
      <c r="CP274" s="6"/>
      <c r="CQ274" s="5"/>
      <c r="CR274" s="5"/>
      <c r="CS274" s="4"/>
      <c r="CT274" s="6"/>
      <c r="CU274" s="4"/>
      <c r="CV274" s="6"/>
      <c r="CW274" s="5"/>
      <c r="CX274" s="5"/>
      <c r="CY274" s="4">
        <v>1</v>
      </c>
      <c r="CZ274" s="6">
        <v>11.81</v>
      </c>
      <c r="DA274" s="4"/>
      <c r="DB274" s="6"/>
      <c r="DC274" s="5"/>
      <c r="DD274" s="5"/>
      <c r="DE274" s="4"/>
      <c r="DF274" s="6"/>
      <c r="DG274" s="4"/>
      <c r="DH274" s="6"/>
      <c r="DI274" s="5"/>
      <c r="DJ274" s="5"/>
      <c r="DK274" s="4"/>
      <c r="DL274" s="6"/>
      <c r="DM274" s="4"/>
      <c r="DN274" s="6"/>
      <c r="DO274" s="5"/>
      <c r="DP274" s="5"/>
      <c r="DQ274" s="4"/>
      <c r="DR274" s="6"/>
      <c r="DS274" s="4"/>
      <c r="DT274" s="6"/>
      <c r="DU274" s="5"/>
      <c r="DV274" s="5"/>
      <c r="DW274" s="4"/>
      <c r="DX274" s="6"/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/>
      <c r="EV274" s="6"/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/>
      <c r="FP274" s="6"/>
      <c r="FQ274" s="5"/>
      <c r="FR274" s="5"/>
      <c r="FS274" s="4"/>
      <c r="FT274" s="6"/>
      <c r="FU274" s="4"/>
      <c r="FV274" s="6"/>
      <c r="FW274" s="5"/>
      <c r="FX274" s="5"/>
      <c r="FY274" s="4"/>
      <c r="FZ274" s="6"/>
      <c r="GA274" s="4"/>
      <c r="GB274" s="6"/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  <c r="IA274" s="4"/>
      <c r="IB274" s="6"/>
      <c r="IC274" s="4"/>
      <c r="ID274" s="6"/>
      <c r="IE274" s="5"/>
      <c r="IF274" s="5"/>
      <c r="IG274" s="4"/>
      <c r="IH274" s="6"/>
      <c r="II274" s="4"/>
      <c r="IJ274" s="6"/>
      <c r="IK274" s="5"/>
      <c r="IL274" s="5"/>
      <c r="IM274" s="4"/>
      <c r="IN274" s="6"/>
      <c r="IO274" s="4"/>
      <c r="IP274" s="6"/>
      <c r="IQ274" s="5"/>
      <c r="IR274" s="5"/>
      <c r="IS274" s="4"/>
      <c r="IT274" s="6"/>
      <c r="IU274" s="4"/>
      <c r="IV274" s="6"/>
      <c r="IW274" s="5"/>
      <c r="IX274" s="5"/>
      <c r="IY274" s="4"/>
      <c r="IZ274" s="6"/>
      <c r="JA274" s="4"/>
      <c r="JB274" s="6"/>
      <c r="JC274" s="5"/>
      <c r="JD274" s="5"/>
      <c r="JE274" s="4"/>
      <c r="JF274" s="6"/>
      <c r="JG274" s="4"/>
      <c r="JH274" s="6"/>
      <c r="JI274" s="5"/>
      <c r="JJ274" s="5"/>
      <c r="JK274" s="4">
        <v>95</v>
      </c>
      <c r="JL274" s="4"/>
      <c r="JM274" s="4"/>
      <c r="JN274" s="4"/>
      <c r="JO274" s="4"/>
      <c r="JP274" s="4"/>
      <c r="JQ274" s="4"/>
      <c r="JR274" s="4"/>
      <c r="JS274" s="4"/>
      <c r="JT274" s="4"/>
      <c r="JU274" s="4"/>
      <c r="JV274" s="4"/>
      <c r="JW274" s="4"/>
      <c r="JX274" s="4"/>
      <c r="JY274" s="4"/>
      <c r="JZ274" s="4"/>
      <c r="KA274" s="4"/>
      <c r="KB274" s="4"/>
      <c r="KC274" s="4"/>
      <c r="KD274" s="4"/>
      <c r="KE274" s="4"/>
      <c r="KF274" s="4"/>
      <c r="KG274" s="4"/>
      <c r="KH274" s="4"/>
      <c r="KI274" s="4"/>
      <c r="KJ274" s="4"/>
      <c r="KK274" s="4"/>
      <c r="KL274" s="4"/>
      <c r="KM274" s="4"/>
      <c r="KN274" s="4"/>
      <c r="KO274" s="4"/>
      <c r="KP274" s="4"/>
      <c r="KQ274" s="4"/>
      <c r="KR274" s="4"/>
      <c r="KS274" s="4"/>
      <c r="KT274" s="4"/>
      <c r="KU274" s="4"/>
      <c r="KV274" s="4"/>
      <c r="KW274" s="4"/>
      <c r="KX274" s="4"/>
      <c r="KY274" s="4"/>
      <c r="KZ274" s="4"/>
      <c r="LA274" s="4"/>
      <c r="LB274" s="4"/>
      <c r="LC274" s="4"/>
      <c r="LD274" s="4"/>
      <c r="LE274" s="4"/>
      <c r="LF274" s="4"/>
      <c r="LG274" s="4"/>
      <c r="LH274" s="4"/>
      <c r="LI274" s="4"/>
      <c r="LJ274" s="4"/>
      <c r="LK274" s="4"/>
      <c r="LL274" s="4"/>
      <c r="LM274" s="4"/>
    </row>
    <row r="275">
      <c r="A275" s="3" t="s">
        <v>136</v>
      </c>
      <c r="B275" s="3" t="s">
        <v>181</v>
      </c>
      <c r="C275" s="3" t="s">
        <v>190</v>
      </c>
      <c r="D275" s="3" t="s">
        <v>191</v>
      </c>
      <c r="E275" s="3" t="s">
        <v>192</v>
      </c>
      <c r="F275" s="3" t="s">
        <v>192</v>
      </c>
      <c r="G275" s="3" t="s">
        <v>192</v>
      </c>
      <c r="H275" s="3" t="s">
        <v>146</v>
      </c>
      <c r="I275" s="3" t="s">
        <v>238</v>
      </c>
      <c r="J275" s="3" t="s">
        <v>241</v>
      </c>
      <c r="K275" s="4">
        <v>177</v>
      </c>
      <c r="L275" s="4">
        <f>=ROUNDDOWN(47.8378378378378,0)</f>
      </c>
      <c r="M275" s="4"/>
      <c r="N275" s="5"/>
      <c r="O275" s="4"/>
      <c r="P275" s="4">
        <f>=ROUNDDOWN({0},0)</f>
      </c>
      <c r="Q275" s="4"/>
      <c r="R275" s="5"/>
      <c r="S275" s="4">
        <v>11</v>
      </c>
      <c r="T275" s="6">
        <v>111.95</v>
      </c>
      <c r="U275" s="4">
        <v>7</v>
      </c>
      <c r="V275" s="6">
        <v>79.51</v>
      </c>
      <c r="W275" s="5">
        <v>0.5714</v>
      </c>
      <c r="X275" s="5">
        <v>0.408</v>
      </c>
      <c r="Y275" s="4"/>
      <c r="Z275" s="6"/>
      <c r="AA275" s="4">
        <v>2</v>
      </c>
      <c r="AB275" s="6">
        <v>26.46</v>
      </c>
      <c r="AC275" s="5"/>
      <c r="AD275" s="5"/>
      <c r="AE275" s="4">
        <v>2</v>
      </c>
      <c r="AF275" s="6">
        <v>26.66</v>
      </c>
      <c r="AG275" s="4"/>
      <c r="AH275" s="6"/>
      <c r="AI275" s="5"/>
      <c r="AJ275" s="5"/>
      <c r="AK275" s="4"/>
      <c r="AL275" s="6"/>
      <c r="AM275" s="4"/>
      <c r="AN275" s="6"/>
      <c r="AO275" s="5"/>
      <c r="AP275" s="5"/>
      <c r="AQ275" s="4"/>
      <c r="AR275" s="6"/>
      <c r="AS275" s="4"/>
      <c r="AT275" s="6"/>
      <c r="AU275" s="5"/>
      <c r="AV275" s="5"/>
      <c r="AW275" s="4"/>
      <c r="AX275" s="6"/>
      <c r="AY275" s="4">
        <v>1</v>
      </c>
      <c r="AZ275" s="6">
        <v>11.81</v>
      </c>
      <c r="BA275" s="5"/>
      <c r="BB275" s="5"/>
      <c r="BC275" s="4"/>
      <c r="BD275" s="6"/>
      <c r="BE275" s="4"/>
      <c r="BF275" s="6"/>
      <c r="BG275" s="5"/>
      <c r="BH275" s="5"/>
      <c r="BI275" s="4">
        <v>7</v>
      </c>
      <c r="BJ275" s="6">
        <v>61.67</v>
      </c>
      <c r="BK275" s="4">
        <v>2</v>
      </c>
      <c r="BL275" s="6">
        <v>17.62</v>
      </c>
      <c r="BM275" s="5">
        <v>2.5</v>
      </c>
      <c r="BN275" s="5">
        <v>2.5</v>
      </c>
      <c r="BO275" s="4"/>
      <c r="BP275" s="6"/>
      <c r="BQ275" s="4"/>
      <c r="BR275" s="6"/>
      <c r="BS275" s="5"/>
      <c r="BT275" s="5"/>
      <c r="BU275" s="4"/>
      <c r="BV275" s="6"/>
      <c r="BW275" s="4"/>
      <c r="BX275" s="6"/>
      <c r="BY275" s="5"/>
      <c r="BZ275" s="5"/>
      <c r="CA275" s="4"/>
      <c r="CB275" s="6"/>
      <c r="CC275" s="4"/>
      <c r="CD275" s="6"/>
      <c r="CE275" s="5"/>
      <c r="CF275" s="5"/>
      <c r="CG275" s="4"/>
      <c r="CH275" s="6"/>
      <c r="CI275" s="4"/>
      <c r="CJ275" s="6"/>
      <c r="CK275" s="5"/>
      <c r="CL275" s="5"/>
      <c r="CM275" s="4"/>
      <c r="CN275" s="6"/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>
        <v>2</v>
      </c>
      <c r="CZ275" s="6">
        <v>23.62</v>
      </c>
      <c r="DA275" s="4">
        <v>2</v>
      </c>
      <c r="DB275" s="6">
        <v>23.62</v>
      </c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/>
      <c r="DX275" s="6"/>
      <c r="DY275" s="4"/>
      <c r="DZ275" s="6"/>
      <c r="EA275" s="5"/>
      <c r="EB275" s="5"/>
      <c r="EC275" s="4"/>
      <c r="ED275" s="6"/>
      <c r="EE275" s="4"/>
      <c r="EF275" s="6"/>
      <c r="EG275" s="5"/>
      <c r="EH275" s="5"/>
      <c r="EI275" s="4"/>
      <c r="EJ275" s="6"/>
      <c r="EK275" s="4"/>
      <c r="EL275" s="6"/>
      <c r="EM275" s="5"/>
      <c r="EN275" s="5"/>
      <c r="EO275" s="4"/>
      <c r="EP275" s="6"/>
      <c r="EQ275" s="4"/>
      <c r="ER275" s="6"/>
      <c r="ES275" s="5"/>
      <c r="ET275" s="5"/>
      <c r="EU275" s="4"/>
      <c r="EV275" s="6"/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/>
      <c r="FJ275" s="6"/>
      <c r="FK275" s="5"/>
      <c r="FL275" s="5"/>
      <c r="FM275" s="4"/>
      <c r="FN275" s="6"/>
      <c r="FO275" s="4"/>
      <c r="FP275" s="6"/>
      <c r="FQ275" s="5"/>
      <c r="FR275" s="5"/>
      <c r="FS275" s="4"/>
      <c r="FT275" s="6"/>
      <c r="FU275" s="4"/>
      <c r="FV275" s="6"/>
      <c r="FW275" s="5"/>
      <c r="FX275" s="5"/>
      <c r="FY275" s="4"/>
      <c r="FZ275" s="6"/>
      <c r="GA275" s="4"/>
      <c r="GB275" s="6"/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  <c r="IA275" s="4"/>
      <c r="IB275" s="6"/>
      <c r="IC275" s="4"/>
      <c r="ID275" s="6"/>
      <c r="IE275" s="5"/>
      <c r="IF275" s="5"/>
      <c r="IG275" s="4"/>
      <c r="IH275" s="6"/>
      <c r="II275" s="4"/>
      <c r="IJ275" s="6"/>
      <c r="IK275" s="5"/>
      <c r="IL275" s="5"/>
      <c r="IM275" s="4"/>
      <c r="IN275" s="6"/>
      <c r="IO275" s="4"/>
      <c r="IP275" s="6"/>
      <c r="IQ275" s="5"/>
      <c r="IR275" s="5"/>
      <c r="IS275" s="4"/>
      <c r="IT275" s="6"/>
      <c r="IU275" s="4"/>
      <c r="IV275" s="6"/>
      <c r="IW275" s="5"/>
      <c r="IX275" s="5"/>
      <c r="IY275" s="4"/>
      <c r="IZ275" s="6"/>
      <c r="JA275" s="4"/>
      <c r="JB275" s="6"/>
      <c r="JC275" s="5"/>
      <c r="JD275" s="5"/>
      <c r="JE275" s="4"/>
      <c r="JF275" s="6"/>
      <c r="JG275" s="4"/>
      <c r="JH275" s="6"/>
      <c r="JI275" s="5"/>
      <c r="JJ275" s="5"/>
      <c r="JK275" s="4">
        <v>177</v>
      </c>
      <c r="JL275" s="4"/>
      <c r="JM275" s="4"/>
      <c r="JN275" s="4"/>
      <c r="JO275" s="4"/>
      <c r="JP275" s="4"/>
      <c r="JQ275" s="4"/>
      <c r="JR275" s="4"/>
      <c r="JS275" s="4"/>
      <c r="JT275" s="4"/>
      <c r="JU275" s="4"/>
      <c r="JV275" s="4"/>
      <c r="JW275" s="4"/>
      <c r="JX275" s="4"/>
      <c r="JY275" s="4"/>
      <c r="JZ275" s="4"/>
      <c r="KA275" s="4"/>
      <c r="KB275" s="4"/>
      <c r="KC275" s="4"/>
      <c r="KD275" s="4"/>
      <c r="KE275" s="4"/>
      <c r="KF275" s="4"/>
      <c r="KG275" s="4"/>
      <c r="KH275" s="4"/>
      <c r="KI275" s="4"/>
      <c r="KJ275" s="4"/>
      <c r="KK275" s="4"/>
      <c r="KL275" s="4"/>
      <c r="KM275" s="4"/>
      <c r="KN275" s="4"/>
      <c r="KO275" s="4"/>
      <c r="KP275" s="4"/>
      <c r="KQ275" s="4"/>
      <c r="KR275" s="4"/>
      <c r="KS275" s="4"/>
      <c r="KT275" s="4"/>
      <c r="KU275" s="4"/>
      <c r="KV275" s="4"/>
      <c r="KW275" s="4"/>
      <c r="KX275" s="4"/>
      <c r="KY275" s="4"/>
      <c r="KZ275" s="4"/>
      <c r="LA275" s="4"/>
      <c r="LB275" s="4"/>
      <c r="LC275" s="4"/>
      <c r="LD275" s="4"/>
      <c r="LE275" s="4"/>
      <c r="LF275" s="4"/>
      <c r="LG275" s="4"/>
      <c r="LH275" s="4"/>
      <c r="LI275" s="4"/>
      <c r="LJ275" s="4"/>
      <c r="LK275" s="4"/>
      <c r="LL275" s="4"/>
      <c r="LM275" s="4"/>
    </row>
    <row r="276">
      <c r="A276" s="3" t="s">
        <v>136</v>
      </c>
      <c r="B276" s="3" t="s">
        <v>181</v>
      </c>
      <c r="C276" s="3" t="s">
        <v>190</v>
      </c>
      <c r="D276" s="3" t="s">
        <v>191</v>
      </c>
      <c r="E276" s="3" t="s">
        <v>192</v>
      </c>
      <c r="F276" s="3" t="s">
        <v>192</v>
      </c>
      <c r="G276" s="3" t="s">
        <v>192</v>
      </c>
      <c r="H276" s="3" t="s">
        <v>146</v>
      </c>
      <c r="I276" s="3" t="s">
        <v>230</v>
      </c>
      <c r="J276" s="3" t="s">
        <v>241</v>
      </c>
      <c r="K276" s="4"/>
      <c r="L276" s="4">
        <f>=ROUNDDOWN({0},0)</f>
      </c>
      <c r="M276" s="4"/>
      <c r="N276" s="5"/>
      <c r="O276" s="4"/>
      <c r="P276" s="4">
        <f>=ROUNDDOWN({0},0)</f>
      </c>
      <c r="Q276" s="4"/>
      <c r="R276" s="5"/>
      <c r="S276" s="4"/>
      <c r="T276" s="6"/>
      <c r="U276" s="4">
        <v>6</v>
      </c>
      <c r="V276" s="6">
        <v>65.54</v>
      </c>
      <c r="W276" s="5"/>
      <c r="X276" s="5"/>
      <c r="Y276" s="4"/>
      <c r="Z276" s="6"/>
      <c r="AA276" s="4">
        <v>1</v>
      </c>
      <c r="AB276" s="6">
        <v>13.23</v>
      </c>
      <c r="AC276" s="5"/>
      <c r="AD276" s="5"/>
      <c r="AE276" s="4"/>
      <c r="AF276" s="6"/>
      <c r="AG276" s="4"/>
      <c r="AH276" s="6"/>
      <c r="AI276" s="5"/>
      <c r="AJ276" s="5"/>
      <c r="AK276" s="4"/>
      <c r="AL276" s="6"/>
      <c r="AM276" s="4"/>
      <c r="AN276" s="6"/>
      <c r="AO276" s="5"/>
      <c r="AP276" s="5"/>
      <c r="AQ276" s="4"/>
      <c r="AR276" s="6"/>
      <c r="AS276" s="4"/>
      <c r="AT276" s="6"/>
      <c r="AU276" s="5"/>
      <c r="AV276" s="5"/>
      <c r="AW276" s="4"/>
      <c r="AX276" s="6"/>
      <c r="AY276" s="4"/>
      <c r="AZ276" s="6"/>
      <c r="BA276" s="5"/>
      <c r="BB276" s="5"/>
      <c r="BC276" s="4"/>
      <c r="BD276" s="6"/>
      <c r="BE276" s="4">
        <v>1</v>
      </c>
      <c r="BF276" s="6">
        <v>13.33</v>
      </c>
      <c r="BG276" s="5"/>
      <c r="BH276" s="5"/>
      <c r="BI276" s="4"/>
      <c r="BJ276" s="6"/>
      <c r="BK276" s="4">
        <v>3</v>
      </c>
      <c r="BL276" s="6">
        <v>26.43</v>
      </c>
      <c r="BM276" s="5"/>
      <c r="BN276" s="5"/>
      <c r="BO276" s="4"/>
      <c r="BP276" s="6"/>
      <c r="BQ276" s="4">
        <v>1</v>
      </c>
      <c r="BR276" s="6">
        <v>12.55</v>
      </c>
      <c r="BS276" s="5"/>
      <c r="BT276" s="5"/>
      <c r="BU276" s="4"/>
      <c r="BV276" s="6"/>
      <c r="BW276" s="4"/>
      <c r="BX276" s="6"/>
      <c r="BY276" s="5"/>
      <c r="BZ276" s="5"/>
      <c r="CA276" s="4"/>
      <c r="CB276" s="6"/>
      <c r="CC276" s="4"/>
      <c r="CD276" s="6"/>
      <c r="CE276" s="5"/>
      <c r="CF276" s="5"/>
      <c r="CG276" s="4"/>
      <c r="CH276" s="6"/>
      <c r="CI276" s="4"/>
      <c r="CJ276" s="6"/>
      <c r="CK276" s="5"/>
      <c r="CL276" s="5"/>
      <c r="CM276" s="4"/>
      <c r="CN276" s="6"/>
      <c r="CO276" s="4"/>
      <c r="CP276" s="6"/>
      <c r="CQ276" s="5"/>
      <c r="CR276" s="5"/>
      <c r="CS276" s="4"/>
      <c r="CT276" s="6"/>
      <c r="CU276" s="4"/>
      <c r="CV276" s="6"/>
      <c r="CW276" s="5"/>
      <c r="CX276" s="5"/>
      <c r="CY276" s="4"/>
      <c r="CZ276" s="6"/>
      <c r="DA276" s="4"/>
      <c r="DB276" s="6"/>
      <c r="DC276" s="5"/>
      <c r="DD276" s="5"/>
      <c r="DE276" s="4"/>
      <c r="DF276" s="6"/>
      <c r="DG276" s="4"/>
      <c r="DH276" s="6"/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/>
      <c r="DX276" s="6"/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/>
      <c r="FN276" s="6"/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/>
      <c r="GF276" s="6"/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  <c r="IA276" s="4"/>
      <c r="IB276" s="6"/>
      <c r="IC276" s="4"/>
      <c r="ID276" s="6"/>
      <c r="IE276" s="5"/>
      <c r="IF276" s="5"/>
      <c r="IG276" s="4"/>
      <c r="IH276" s="6"/>
      <c r="II276" s="4"/>
      <c r="IJ276" s="6"/>
      <c r="IK276" s="5"/>
      <c r="IL276" s="5"/>
      <c r="IM276" s="4"/>
      <c r="IN276" s="6"/>
      <c r="IO276" s="4"/>
      <c r="IP276" s="6"/>
      <c r="IQ276" s="5"/>
      <c r="IR276" s="5"/>
      <c r="IS276" s="4"/>
      <c r="IT276" s="6"/>
      <c r="IU276" s="4"/>
      <c r="IV276" s="6"/>
      <c r="IW276" s="5"/>
      <c r="IX276" s="5"/>
      <c r="IY276" s="4"/>
      <c r="IZ276" s="6"/>
      <c r="JA276" s="4"/>
      <c r="JB276" s="6"/>
      <c r="JC276" s="5"/>
      <c r="JD276" s="5"/>
      <c r="JE276" s="4"/>
      <c r="JF276" s="6"/>
      <c r="JG276" s="4"/>
      <c r="JH276" s="6"/>
      <c r="JI276" s="5"/>
      <c r="JJ276" s="5"/>
      <c r="JK276" s="4"/>
      <c r="JL276" s="4"/>
      <c r="JM276" s="4"/>
      <c r="JN276" s="4"/>
      <c r="JO276" s="4"/>
      <c r="JP276" s="4"/>
      <c r="JQ276" s="4"/>
      <c r="JR276" s="4"/>
      <c r="JS276" s="4"/>
      <c r="JT276" s="4"/>
      <c r="JU276" s="4"/>
      <c r="JV276" s="4"/>
      <c r="JW276" s="4"/>
      <c r="JX276" s="4"/>
      <c r="JY276" s="4"/>
      <c r="JZ276" s="4"/>
      <c r="KA276" s="4"/>
      <c r="KB276" s="4"/>
      <c r="KC276" s="4"/>
      <c r="KD276" s="4"/>
      <c r="KE276" s="4"/>
      <c r="KF276" s="4"/>
      <c r="KG276" s="4"/>
      <c r="KH276" s="4"/>
      <c r="KI276" s="4"/>
      <c r="KJ276" s="4"/>
      <c r="KK276" s="4"/>
      <c r="KL276" s="4"/>
      <c r="KM276" s="4"/>
      <c r="KN276" s="4"/>
      <c r="KO276" s="4"/>
      <c r="KP276" s="4"/>
      <c r="KQ276" s="4"/>
      <c r="KR276" s="4"/>
      <c r="KS276" s="4"/>
      <c r="KT276" s="4"/>
      <c r="KU276" s="4"/>
      <c r="KV276" s="4"/>
      <c r="KW276" s="4"/>
      <c r="KX276" s="4"/>
      <c r="KY276" s="4"/>
      <c r="KZ276" s="4"/>
      <c r="LA276" s="4"/>
      <c r="LB276" s="4"/>
      <c r="LC276" s="4"/>
      <c r="LD276" s="4"/>
      <c r="LE276" s="4"/>
      <c r="LF276" s="4"/>
      <c r="LG276" s="4"/>
      <c r="LH276" s="4"/>
      <c r="LI276" s="4"/>
      <c r="LJ276" s="4"/>
      <c r="LK276" s="4"/>
      <c r="LL276" s="4"/>
      <c r="LM276" s="4"/>
    </row>
    <row r="277">
      <c r="A277" s="3" t="s">
        <v>136</v>
      </c>
      <c r="B277" s="3" t="s">
        <v>193</v>
      </c>
      <c r="C277" s="3" t="s">
        <v>138</v>
      </c>
      <c r="D277" s="3" t="s">
        <v>139</v>
      </c>
      <c r="E277" s="3" t="s">
        <v>194</v>
      </c>
      <c r="F277" s="3" t="s">
        <v>194</v>
      </c>
      <c r="G277" s="3" t="s">
        <v>194</v>
      </c>
      <c r="H277" s="3" t="s">
        <v>195</v>
      </c>
      <c r="I277" s="3" t="s">
        <v>230</v>
      </c>
      <c r="J277" s="3" t="s">
        <v>228</v>
      </c>
      <c r="K277" s="4">
        <v>921</v>
      </c>
      <c r="L277" s="4">
        <f>=ROUNDDOWN(16.1578947368421,0)</f>
      </c>
      <c r="M277" s="4">
        <v>900</v>
      </c>
      <c r="N277" s="5">
        <v>1</v>
      </c>
      <c r="O277" s="4"/>
      <c r="P277" s="4">
        <f>=ROUNDDOWN({0},0)</f>
      </c>
      <c r="Q277" s="4"/>
      <c r="R277" s="5"/>
      <c r="S277" s="4">
        <v>451</v>
      </c>
      <c r="T277" s="6">
        <v>8884.24</v>
      </c>
      <c r="U277" s="4">
        <v>527</v>
      </c>
      <c r="V277" s="6">
        <v>10649.41</v>
      </c>
      <c r="W277" s="5">
        <v>-0.1442</v>
      </c>
      <c r="X277" s="5">
        <v>-0.1658</v>
      </c>
      <c r="Y277" s="4">
        <v>37</v>
      </c>
      <c r="Z277" s="6">
        <v>760.71</v>
      </c>
      <c r="AA277" s="4">
        <v>52</v>
      </c>
      <c r="AB277" s="6">
        <v>1107.71</v>
      </c>
      <c r="AC277" s="5">
        <v>-0.2885</v>
      </c>
      <c r="AD277" s="5">
        <v>-0.3133</v>
      </c>
      <c r="AE277" s="4">
        <v>8</v>
      </c>
      <c r="AF277" s="6">
        <v>187.36</v>
      </c>
      <c r="AG277" s="4">
        <v>4</v>
      </c>
      <c r="AH277" s="6">
        <v>98.24</v>
      </c>
      <c r="AI277" s="5">
        <v>1</v>
      </c>
      <c r="AJ277" s="5">
        <v>0.9072</v>
      </c>
      <c r="AK277" s="4"/>
      <c r="AL277" s="6"/>
      <c r="AM277" s="4"/>
      <c r="AN277" s="6"/>
      <c r="AO277" s="5"/>
      <c r="AP277" s="5"/>
      <c r="AQ277" s="4">
        <v>100</v>
      </c>
      <c r="AR277" s="6">
        <v>1927.14</v>
      </c>
      <c r="AS277" s="4">
        <v>78</v>
      </c>
      <c r="AT277" s="6">
        <v>1439.8</v>
      </c>
      <c r="AU277" s="5">
        <v>0.2821</v>
      </c>
      <c r="AV277" s="5">
        <v>0.3385</v>
      </c>
      <c r="AW277" s="4">
        <v>17</v>
      </c>
      <c r="AX277" s="6">
        <v>383.63</v>
      </c>
      <c r="AY277" s="4">
        <v>13</v>
      </c>
      <c r="AZ277" s="6">
        <v>280.59</v>
      </c>
      <c r="BA277" s="5">
        <v>0.3077</v>
      </c>
      <c r="BB277" s="5">
        <v>0.3672</v>
      </c>
      <c r="BC277" s="4">
        <v>155</v>
      </c>
      <c r="BD277" s="6">
        <v>2932.4</v>
      </c>
      <c r="BE277" s="4">
        <v>85</v>
      </c>
      <c r="BF277" s="6">
        <v>1640.72</v>
      </c>
      <c r="BG277" s="5">
        <v>0.8235</v>
      </c>
      <c r="BH277" s="5">
        <v>0.7873</v>
      </c>
      <c r="BI277" s="4">
        <v>69</v>
      </c>
      <c r="BJ277" s="6">
        <v>1279.57</v>
      </c>
      <c r="BK277" s="4">
        <v>171</v>
      </c>
      <c r="BL277" s="6">
        <v>3462.06</v>
      </c>
      <c r="BM277" s="5">
        <v>-0.5965</v>
      </c>
      <c r="BN277" s="5">
        <v>-0.6304</v>
      </c>
      <c r="BO277" s="4">
        <v>3</v>
      </c>
      <c r="BP277" s="6">
        <v>52.84</v>
      </c>
      <c r="BQ277" s="4">
        <v>1</v>
      </c>
      <c r="BR277" s="6">
        <v>23.66</v>
      </c>
      <c r="BS277" s="5">
        <v>2</v>
      </c>
      <c r="BT277" s="5">
        <v>1.2333</v>
      </c>
      <c r="BU277" s="4">
        <v>22</v>
      </c>
      <c r="BV277" s="6">
        <v>478.44</v>
      </c>
      <c r="BW277" s="4">
        <v>15</v>
      </c>
      <c r="BX277" s="6">
        <v>325.08</v>
      </c>
      <c r="BY277" s="5">
        <v>0.4667</v>
      </c>
      <c r="BZ277" s="5">
        <v>0.4718</v>
      </c>
      <c r="CA277" s="4">
        <v>4</v>
      </c>
      <c r="CB277" s="6">
        <v>90.4</v>
      </c>
      <c r="CC277" s="4">
        <v>4</v>
      </c>
      <c r="CD277" s="6">
        <v>83.51</v>
      </c>
      <c r="CE277" s="5"/>
      <c r="CF277" s="5">
        <v>0.0825</v>
      </c>
      <c r="CG277" s="4">
        <v>3</v>
      </c>
      <c r="CH277" s="6">
        <v>60.34</v>
      </c>
      <c r="CI277" s="4">
        <v>12</v>
      </c>
      <c r="CJ277" s="6">
        <v>212.4</v>
      </c>
      <c r="CK277" s="5">
        <v>-0.75</v>
      </c>
      <c r="CL277" s="5">
        <v>-0.7159</v>
      </c>
      <c r="CM277" s="4"/>
      <c r="CN277" s="6"/>
      <c r="CO277" s="4"/>
      <c r="CP277" s="6"/>
      <c r="CQ277" s="5"/>
      <c r="CR277" s="5"/>
      <c r="CS277" s="4"/>
      <c r="CT277" s="6"/>
      <c r="CU277" s="4"/>
      <c r="CV277" s="6"/>
      <c r="CW277" s="5"/>
      <c r="CX277" s="5"/>
      <c r="CY277" s="4">
        <v>2</v>
      </c>
      <c r="CZ277" s="6">
        <v>34.02</v>
      </c>
      <c r="DA277" s="4">
        <v>14</v>
      </c>
      <c r="DB277" s="6">
        <v>249.82</v>
      </c>
      <c r="DC277" s="5">
        <v>-0.8571</v>
      </c>
      <c r="DD277" s="5">
        <v>-0.8638</v>
      </c>
      <c r="DE277" s="4"/>
      <c r="DF277" s="6"/>
      <c r="DG277" s="4"/>
      <c r="DH277" s="6"/>
      <c r="DI277" s="5"/>
      <c r="DJ277" s="5"/>
      <c r="DK277" s="4"/>
      <c r="DL277" s="6"/>
      <c r="DM277" s="4"/>
      <c r="DN277" s="6"/>
      <c r="DO277" s="5"/>
      <c r="DP277" s="5"/>
      <c r="DQ277" s="4"/>
      <c r="DR277" s="6"/>
      <c r="DS277" s="4"/>
      <c r="DT277" s="6"/>
      <c r="DU277" s="5"/>
      <c r="DV277" s="5"/>
      <c r="DW277" s="4">
        <v>30</v>
      </c>
      <c r="DX277" s="6">
        <v>677.44</v>
      </c>
      <c r="DY277" s="4">
        <v>40</v>
      </c>
      <c r="DZ277" s="6">
        <v>898.52</v>
      </c>
      <c r="EA277" s="5">
        <v>-0.25</v>
      </c>
      <c r="EB277" s="5">
        <v>-0.246</v>
      </c>
      <c r="EC277" s="4">
        <v>1</v>
      </c>
      <c r="ED277" s="6">
        <v>19.95</v>
      </c>
      <c r="EE277" s="4"/>
      <c r="EF277" s="6"/>
      <c r="EG277" s="5"/>
      <c r="EH277" s="5"/>
      <c r="EI277" s="4"/>
      <c r="EJ277" s="6"/>
      <c r="EK277" s="4"/>
      <c r="EL277" s="6"/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>
        <v>31</v>
      </c>
      <c r="FV277" s="6">
        <v>669.59</v>
      </c>
      <c r="FW277" s="5"/>
      <c r="FX277" s="5"/>
      <c r="FY277" s="4"/>
      <c r="FZ277" s="6"/>
      <c r="GA277" s="4">
        <v>1</v>
      </c>
      <c r="GB277" s="6">
        <v>19.95</v>
      </c>
      <c r="GC277" s="5"/>
      <c r="GD277" s="5"/>
      <c r="GE277" s="4"/>
      <c r="GF277" s="6"/>
      <c r="GG277" s="4">
        <v>6</v>
      </c>
      <c r="GH277" s="6">
        <v>137.76</v>
      </c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  <c r="IA277" s="4"/>
      <c r="IB277" s="6"/>
      <c r="IC277" s="4"/>
      <c r="ID277" s="6"/>
      <c r="IE277" s="5"/>
      <c r="IF277" s="5"/>
      <c r="IG277" s="4"/>
      <c r="IH277" s="6"/>
      <c r="II277" s="4"/>
      <c r="IJ277" s="6"/>
      <c r="IK277" s="5"/>
      <c r="IL277" s="5"/>
      <c r="IM277" s="4"/>
      <c r="IN277" s="6"/>
      <c r="IO277" s="4"/>
      <c r="IP277" s="6"/>
      <c r="IQ277" s="5"/>
      <c r="IR277" s="5"/>
      <c r="IS277" s="4"/>
      <c r="IT277" s="6"/>
      <c r="IU277" s="4"/>
      <c r="IV277" s="6"/>
      <c r="IW277" s="5"/>
      <c r="IX277" s="5"/>
      <c r="IY277" s="4"/>
      <c r="IZ277" s="6"/>
      <c r="JA277" s="4"/>
      <c r="JB277" s="6"/>
      <c r="JC277" s="5"/>
      <c r="JD277" s="5"/>
      <c r="JE277" s="4"/>
      <c r="JF277" s="6"/>
      <c r="JG277" s="4"/>
      <c r="JH277" s="6"/>
      <c r="JI277" s="5"/>
      <c r="JJ277" s="5"/>
      <c r="JK277" s="4">
        <v>921</v>
      </c>
      <c r="JL277" s="4"/>
      <c r="JM277" s="4"/>
      <c r="JN277" s="4"/>
      <c r="JO277" s="4"/>
      <c r="JP277" s="4"/>
      <c r="JQ277" s="4"/>
      <c r="JR277" s="4"/>
      <c r="JS277" s="4"/>
      <c r="JT277" s="4"/>
      <c r="JU277" s="4"/>
      <c r="JV277" s="4"/>
      <c r="JW277" s="4"/>
      <c r="JX277" s="4"/>
      <c r="JY277" s="4"/>
      <c r="JZ277" s="4"/>
      <c r="KA277" s="4"/>
      <c r="KB277" s="4"/>
      <c r="KC277" s="4"/>
      <c r="KD277" s="4"/>
      <c r="KE277" s="4"/>
      <c r="KF277" s="4"/>
      <c r="KG277" s="4"/>
      <c r="KH277" s="4"/>
      <c r="KI277" s="4"/>
      <c r="KJ277" s="4">
        <v>400</v>
      </c>
      <c r="KK277" s="4"/>
      <c r="KL277" s="4"/>
      <c r="KM277" s="4"/>
      <c r="KN277" s="4"/>
      <c r="KO277" s="4"/>
      <c r="KP277" s="4"/>
      <c r="KQ277" s="4"/>
      <c r="KR277" s="4"/>
      <c r="KS277" s="4"/>
      <c r="KT277" s="4"/>
      <c r="KU277" s="4"/>
      <c r="KV277" s="4"/>
      <c r="KW277" s="4"/>
      <c r="KX277" s="4"/>
      <c r="KY277" s="4"/>
      <c r="KZ277" s="4"/>
      <c r="LA277" s="4"/>
      <c r="LB277" s="4"/>
      <c r="LC277" s="4"/>
      <c r="LD277" s="4">
        <v>230</v>
      </c>
      <c r="LE277" s="4"/>
      <c r="LF277" s="4"/>
      <c r="LG277" s="4"/>
      <c r="LH277" s="4"/>
      <c r="LI277" s="4"/>
      <c r="LJ277" s="4"/>
      <c r="LK277" s="4"/>
      <c r="LL277" s="4"/>
      <c r="LM277" s="4">
        <v>270</v>
      </c>
    </row>
    <row r="278">
      <c r="A278" s="3" t="s">
        <v>136</v>
      </c>
      <c r="B278" s="3" t="s">
        <v>193</v>
      </c>
      <c r="C278" s="3" t="s">
        <v>138</v>
      </c>
      <c r="D278" s="3" t="s">
        <v>139</v>
      </c>
      <c r="E278" s="3" t="s">
        <v>194</v>
      </c>
      <c r="F278" s="3" t="s">
        <v>194</v>
      </c>
      <c r="G278" s="3" t="s">
        <v>194</v>
      </c>
      <c r="H278" s="3" t="s">
        <v>195</v>
      </c>
      <c r="I278" s="3" t="s">
        <v>227</v>
      </c>
      <c r="J278" s="3" t="s">
        <v>228</v>
      </c>
      <c r="K278" s="4">
        <v>872</v>
      </c>
      <c r="L278" s="4">
        <f>=ROUNDDOWN(24.2222222222222,0)</f>
      </c>
      <c r="M278" s="4">
        <v>770</v>
      </c>
      <c r="N278" s="5">
        <v>1</v>
      </c>
      <c r="O278" s="4"/>
      <c r="P278" s="4">
        <f>=ROUNDDOWN({0},0)</f>
      </c>
      <c r="Q278" s="4"/>
      <c r="R278" s="5"/>
      <c r="S278" s="4">
        <v>362</v>
      </c>
      <c r="T278" s="6">
        <v>7358.27</v>
      </c>
      <c r="U278" s="4">
        <v>355</v>
      </c>
      <c r="V278" s="6">
        <v>7216.61</v>
      </c>
      <c r="W278" s="5">
        <v>0.0197</v>
      </c>
      <c r="X278" s="5">
        <v>0.0196</v>
      </c>
      <c r="Y278" s="4">
        <v>37</v>
      </c>
      <c r="Z278" s="6">
        <v>766.01</v>
      </c>
      <c r="AA278" s="4">
        <v>46</v>
      </c>
      <c r="AB278" s="6">
        <v>910.08</v>
      </c>
      <c r="AC278" s="5">
        <v>-0.1957</v>
      </c>
      <c r="AD278" s="5">
        <v>-0.1583</v>
      </c>
      <c r="AE278" s="4">
        <v>6</v>
      </c>
      <c r="AF278" s="6">
        <v>138.24</v>
      </c>
      <c r="AG278" s="4">
        <v>5</v>
      </c>
      <c r="AH278" s="6">
        <v>104.18</v>
      </c>
      <c r="AI278" s="5">
        <v>0.2</v>
      </c>
      <c r="AJ278" s="5">
        <v>0.3269</v>
      </c>
      <c r="AK278" s="4"/>
      <c r="AL278" s="6"/>
      <c r="AM278" s="4"/>
      <c r="AN278" s="6"/>
      <c r="AO278" s="5"/>
      <c r="AP278" s="5"/>
      <c r="AQ278" s="4"/>
      <c r="AR278" s="6"/>
      <c r="AS278" s="4"/>
      <c r="AT278" s="6"/>
      <c r="AU278" s="5"/>
      <c r="AV278" s="5"/>
      <c r="AW278" s="4">
        <v>10</v>
      </c>
      <c r="AX278" s="6">
        <v>228.74</v>
      </c>
      <c r="AY278" s="4">
        <v>6</v>
      </c>
      <c r="AZ278" s="6">
        <v>128.44</v>
      </c>
      <c r="BA278" s="5">
        <v>0.6667</v>
      </c>
      <c r="BB278" s="5">
        <v>0.7809</v>
      </c>
      <c r="BC278" s="4">
        <v>83</v>
      </c>
      <c r="BD278" s="6">
        <v>1556.65</v>
      </c>
      <c r="BE278" s="4">
        <v>87</v>
      </c>
      <c r="BF278" s="6">
        <v>1596.4</v>
      </c>
      <c r="BG278" s="5">
        <v>-0.046</v>
      </c>
      <c r="BH278" s="5">
        <v>-0.0249</v>
      </c>
      <c r="BI278" s="4">
        <v>32</v>
      </c>
      <c r="BJ278" s="6">
        <v>614.93</v>
      </c>
      <c r="BK278" s="4">
        <v>63</v>
      </c>
      <c r="BL278" s="6">
        <v>1286.6</v>
      </c>
      <c r="BM278" s="5">
        <v>-0.4921</v>
      </c>
      <c r="BN278" s="5">
        <v>-0.5221</v>
      </c>
      <c r="BO278" s="4">
        <v>1</v>
      </c>
      <c r="BP278" s="6">
        <v>20.11</v>
      </c>
      <c r="BQ278" s="4">
        <v>1</v>
      </c>
      <c r="BR278" s="6">
        <v>18.93</v>
      </c>
      <c r="BS278" s="5"/>
      <c r="BT278" s="5">
        <v>0.0623</v>
      </c>
      <c r="BU278" s="4">
        <v>21</v>
      </c>
      <c r="BV278" s="6">
        <v>437.94</v>
      </c>
      <c r="BW278" s="4">
        <v>23</v>
      </c>
      <c r="BX278" s="6">
        <v>480.96</v>
      </c>
      <c r="BY278" s="5">
        <v>-0.087</v>
      </c>
      <c r="BZ278" s="5">
        <v>-0.0894</v>
      </c>
      <c r="CA278" s="4">
        <v>130</v>
      </c>
      <c r="CB278" s="6">
        <v>2653.35</v>
      </c>
      <c r="CC278" s="4">
        <v>58</v>
      </c>
      <c r="CD278" s="6">
        <v>1236.49</v>
      </c>
      <c r="CE278" s="5">
        <v>1.2414</v>
      </c>
      <c r="CF278" s="5">
        <v>1.1459</v>
      </c>
      <c r="CG278" s="4"/>
      <c r="CH278" s="6"/>
      <c r="CI278" s="4"/>
      <c r="CJ278" s="6"/>
      <c r="CK278" s="5"/>
      <c r="CL278" s="5"/>
      <c r="CM278" s="4"/>
      <c r="CN278" s="6"/>
      <c r="CO278" s="4"/>
      <c r="CP278" s="6"/>
      <c r="CQ278" s="5"/>
      <c r="CR278" s="5"/>
      <c r="CS278" s="4"/>
      <c r="CT278" s="6"/>
      <c r="CU278" s="4"/>
      <c r="CV278" s="6"/>
      <c r="CW278" s="5"/>
      <c r="CX278" s="5"/>
      <c r="CY278" s="4"/>
      <c r="CZ278" s="6"/>
      <c r="DA278" s="4"/>
      <c r="DB278" s="6"/>
      <c r="DC278" s="5"/>
      <c r="DD278" s="5"/>
      <c r="DE278" s="4"/>
      <c r="DF278" s="6"/>
      <c r="DG278" s="4"/>
      <c r="DH278" s="6"/>
      <c r="DI278" s="5"/>
      <c r="DJ278" s="5"/>
      <c r="DK278" s="4"/>
      <c r="DL278" s="6"/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>
        <v>39</v>
      </c>
      <c r="DX278" s="6">
        <v>879.82</v>
      </c>
      <c r="DY278" s="4">
        <v>59</v>
      </c>
      <c r="DZ278" s="6">
        <v>1321.98</v>
      </c>
      <c r="EA278" s="5">
        <v>-0.339</v>
      </c>
      <c r="EB278" s="5">
        <v>-0.3345</v>
      </c>
      <c r="EC278" s="4">
        <v>3</v>
      </c>
      <c r="ED278" s="6">
        <v>62.48</v>
      </c>
      <c r="EE278" s="4">
        <v>1</v>
      </c>
      <c r="EF278" s="6">
        <v>22.58</v>
      </c>
      <c r="EG278" s="5">
        <v>2</v>
      </c>
      <c r="EH278" s="5">
        <v>1.7671</v>
      </c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/>
      <c r="FH278" s="6"/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>
        <v>4</v>
      </c>
      <c r="FV278" s="6">
        <v>75.31</v>
      </c>
      <c r="FW278" s="5"/>
      <c r="FX278" s="5"/>
      <c r="FY278" s="4"/>
      <c r="FZ278" s="6"/>
      <c r="GA278" s="4">
        <v>2</v>
      </c>
      <c r="GB278" s="6">
        <v>34.66</v>
      </c>
      <c r="GC278" s="5"/>
      <c r="GD278" s="5"/>
      <c r="GE278" s="4"/>
      <c r="GF278" s="6"/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  <c r="IA278" s="4"/>
      <c r="IB278" s="6"/>
      <c r="IC278" s="4"/>
      <c r="ID278" s="6"/>
      <c r="IE278" s="5"/>
      <c r="IF278" s="5"/>
      <c r="IG278" s="4"/>
      <c r="IH278" s="6"/>
      <c r="II278" s="4"/>
      <c r="IJ278" s="6"/>
      <c r="IK278" s="5"/>
      <c r="IL278" s="5"/>
      <c r="IM278" s="4"/>
      <c r="IN278" s="6"/>
      <c r="IO278" s="4"/>
      <c r="IP278" s="6"/>
      <c r="IQ278" s="5"/>
      <c r="IR278" s="5"/>
      <c r="IS278" s="4"/>
      <c r="IT278" s="6"/>
      <c r="IU278" s="4"/>
      <c r="IV278" s="6"/>
      <c r="IW278" s="5"/>
      <c r="IX278" s="5"/>
      <c r="IY278" s="4"/>
      <c r="IZ278" s="6"/>
      <c r="JA278" s="4"/>
      <c r="JB278" s="6"/>
      <c r="JC278" s="5"/>
      <c r="JD278" s="5"/>
      <c r="JE278" s="4"/>
      <c r="JF278" s="6"/>
      <c r="JG278" s="4"/>
      <c r="JH278" s="6"/>
      <c r="JI278" s="5"/>
      <c r="JJ278" s="5"/>
      <c r="JK278" s="4">
        <v>870</v>
      </c>
      <c r="JL278" s="4">
        <v>2</v>
      </c>
      <c r="JM278" s="4"/>
      <c r="JN278" s="4"/>
      <c r="JO278" s="4"/>
      <c r="JP278" s="4"/>
      <c r="JQ278" s="4"/>
      <c r="JR278" s="4"/>
      <c r="JS278" s="4"/>
      <c r="JT278" s="4"/>
      <c r="JU278" s="4"/>
      <c r="JV278" s="4"/>
      <c r="JW278" s="4"/>
      <c r="JX278" s="4"/>
      <c r="JY278" s="4"/>
      <c r="JZ278" s="4"/>
      <c r="KA278" s="4"/>
      <c r="KB278" s="4"/>
      <c r="KC278" s="4"/>
      <c r="KD278" s="4"/>
      <c r="KE278" s="4"/>
      <c r="KF278" s="4"/>
      <c r="KG278" s="4"/>
      <c r="KH278" s="4"/>
      <c r="KI278" s="4"/>
      <c r="KJ278" s="4">
        <v>270</v>
      </c>
      <c r="KK278" s="4"/>
      <c r="KL278" s="4"/>
      <c r="KM278" s="4"/>
      <c r="KN278" s="4"/>
      <c r="KO278" s="4"/>
      <c r="KP278" s="4"/>
      <c r="KQ278" s="4"/>
      <c r="KR278" s="4"/>
      <c r="KS278" s="4"/>
      <c r="KT278" s="4"/>
      <c r="KU278" s="4"/>
      <c r="KV278" s="4"/>
      <c r="KW278" s="4"/>
      <c r="KX278" s="4"/>
      <c r="KY278" s="4"/>
      <c r="KZ278" s="4"/>
      <c r="LA278" s="4"/>
      <c r="LB278" s="4"/>
      <c r="LC278" s="4"/>
      <c r="LD278" s="4">
        <v>120</v>
      </c>
      <c r="LE278" s="4"/>
      <c r="LF278" s="4"/>
      <c r="LG278" s="4"/>
      <c r="LH278" s="4"/>
      <c r="LI278" s="4"/>
      <c r="LJ278" s="4"/>
      <c r="LK278" s="4"/>
      <c r="LL278" s="4"/>
      <c r="LM278" s="4">
        <v>380</v>
      </c>
    </row>
    <row r="279">
      <c r="A279" s="3" t="s">
        <v>136</v>
      </c>
      <c r="B279" s="3" t="s">
        <v>193</v>
      </c>
      <c r="C279" s="3" t="s">
        <v>138</v>
      </c>
      <c r="D279" s="3" t="s">
        <v>139</v>
      </c>
      <c r="E279" s="3" t="s">
        <v>194</v>
      </c>
      <c r="F279" s="3" t="s">
        <v>194</v>
      </c>
      <c r="G279" s="3" t="s">
        <v>194</v>
      </c>
      <c r="H279" s="3" t="s">
        <v>195</v>
      </c>
      <c r="I279" s="3" t="s">
        <v>235</v>
      </c>
      <c r="J279" s="3" t="s">
        <v>228</v>
      </c>
      <c r="K279" s="4">
        <v>612</v>
      </c>
      <c r="L279" s="4">
        <f>=ROUNDDOWN(19.741935483871,0)</f>
      </c>
      <c r="M279" s="4">
        <v>740</v>
      </c>
      <c r="N279" s="5">
        <v>1</v>
      </c>
      <c r="O279" s="4"/>
      <c r="P279" s="4">
        <f>=ROUNDDOWN({0},0)</f>
      </c>
      <c r="Q279" s="4"/>
      <c r="R279" s="5"/>
      <c r="S279" s="4">
        <v>221</v>
      </c>
      <c r="T279" s="6">
        <v>4497.89</v>
      </c>
      <c r="U279" s="4">
        <v>288</v>
      </c>
      <c r="V279" s="6">
        <v>5961.29</v>
      </c>
      <c r="W279" s="5">
        <v>-0.2326</v>
      </c>
      <c r="X279" s="5">
        <v>-0.2455</v>
      </c>
      <c r="Y279" s="4">
        <v>35</v>
      </c>
      <c r="Z279" s="6">
        <v>715.15</v>
      </c>
      <c r="AA279" s="4">
        <v>48</v>
      </c>
      <c r="AB279" s="6">
        <v>976.84</v>
      </c>
      <c r="AC279" s="5">
        <v>-0.2708</v>
      </c>
      <c r="AD279" s="5">
        <v>-0.2679</v>
      </c>
      <c r="AE279" s="4">
        <v>8</v>
      </c>
      <c r="AF279" s="6">
        <v>184.13</v>
      </c>
      <c r="AG279" s="4">
        <v>6</v>
      </c>
      <c r="AH279" s="6">
        <v>125.7</v>
      </c>
      <c r="AI279" s="5">
        <v>0.3333</v>
      </c>
      <c r="AJ279" s="5">
        <v>0.4648</v>
      </c>
      <c r="AK279" s="4"/>
      <c r="AL279" s="6"/>
      <c r="AM279" s="4"/>
      <c r="AN279" s="6"/>
      <c r="AO279" s="5"/>
      <c r="AP279" s="5"/>
      <c r="AQ279" s="4"/>
      <c r="AR279" s="6"/>
      <c r="AS279" s="4"/>
      <c r="AT279" s="6"/>
      <c r="AU279" s="5"/>
      <c r="AV279" s="5"/>
      <c r="AW279" s="4">
        <v>11</v>
      </c>
      <c r="AX279" s="6">
        <v>241.44</v>
      </c>
      <c r="AY279" s="4">
        <v>10</v>
      </c>
      <c r="AZ279" s="6">
        <v>217.74</v>
      </c>
      <c r="BA279" s="5">
        <v>0.1</v>
      </c>
      <c r="BB279" s="5">
        <v>0.1088</v>
      </c>
      <c r="BC279" s="4">
        <v>56</v>
      </c>
      <c r="BD279" s="6">
        <v>1168.46</v>
      </c>
      <c r="BE279" s="4">
        <v>56</v>
      </c>
      <c r="BF279" s="6">
        <v>1149.96</v>
      </c>
      <c r="BG279" s="5"/>
      <c r="BH279" s="5">
        <v>0.0161</v>
      </c>
      <c r="BI279" s="4">
        <v>40</v>
      </c>
      <c r="BJ279" s="6">
        <v>748.54</v>
      </c>
      <c r="BK279" s="4">
        <v>126</v>
      </c>
      <c r="BL279" s="6">
        <v>2573.65</v>
      </c>
      <c r="BM279" s="5">
        <v>-0.6825</v>
      </c>
      <c r="BN279" s="5">
        <v>-0.7092</v>
      </c>
      <c r="BO279" s="4">
        <v>3</v>
      </c>
      <c r="BP279" s="6">
        <v>57.13</v>
      </c>
      <c r="BQ279" s="4">
        <v>1</v>
      </c>
      <c r="BR279" s="6">
        <v>18.93</v>
      </c>
      <c r="BS279" s="5">
        <v>2</v>
      </c>
      <c r="BT279" s="5">
        <v>2.018</v>
      </c>
      <c r="BU279" s="4">
        <v>14</v>
      </c>
      <c r="BV279" s="6">
        <v>307.26</v>
      </c>
      <c r="BW279" s="4">
        <v>15</v>
      </c>
      <c r="BX279" s="6">
        <v>325.08</v>
      </c>
      <c r="BY279" s="5">
        <v>-0.0667</v>
      </c>
      <c r="BZ279" s="5">
        <v>-0.0548</v>
      </c>
      <c r="CA279" s="4">
        <v>54</v>
      </c>
      <c r="CB279" s="6">
        <v>1075.78</v>
      </c>
      <c r="CC279" s="4"/>
      <c r="CD279" s="6"/>
      <c r="CE279" s="5"/>
      <c r="CF279" s="5"/>
      <c r="CG279" s="4"/>
      <c r="CH279" s="6"/>
      <c r="CI279" s="4"/>
      <c r="CJ279" s="6"/>
      <c r="CK279" s="5"/>
      <c r="CL279" s="5"/>
      <c r="CM279" s="4"/>
      <c r="CN279" s="6"/>
      <c r="CO279" s="4"/>
      <c r="CP279" s="6"/>
      <c r="CQ279" s="5"/>
      <c r="CR279" s="5"/>
      <c r="CS279" s="4"/>
      <c r="CT279" s="6"/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/>
      <c r="DF279" s="6"/>
      <c r="DG279" s="4"/>
      <c r="DH279" s="6"/>
      <c r="DI279" s="5"/>
      <c r="DJ279" s="5"/>
      <c r="DK279" s="4"/>
      <c r="DL279" s="6"/>
      <c r="DM279" s="4"/>
      <c r="DN279" s="6"/>
      <c r="DO279" s="5"/>
      <c r="DP279" s="5"/>
      <c r="DQ279" s="4"/>
      <c r="DR279" s="6"/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/>
      <c r="ED279" s="6"/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/>
      <c r="FP279" s="6"/>
      <c r="FQ279" s="5"/>
      <c r="FR279" s="5"/>
      <c r="FS279" s="4"/>
      <c r="FT279" s="6"/>
      <c r="FU279" s="4">
        <v>26</v>
      </c>
      <c r="FV279" s="6">
        <v>573.39</v>
      </c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  <c r="IA279" s="4"/>
      <c r="IB279" s="6"/>
      <c r="IC279" s="4"/>
      <c r="ID279" s="6"/>
      <c r="IE279" s="5"/>
      <c r="IF279" s="5"/>
      <c r="IG279" s="4"/>
      <c r="IH279" s="6"/>
      <c r="II279" s="4"/>
      <c r="IJ279" s="6"/>
      <c r="IK279" s="5"/>
      <c r="IL279" s="5"/>
      <c r="IM279" s="4"/>
      <c r="IN279" s="6"/>
      <c r="IO279" s="4"/>
      <c r="IP279" s="6"/>
      <c r="IQ279" s="5"/>
      <c r="IR279" s="5"/>
      <c r="IS279" s="4"/>
      <c r="IT279" s="6"/>
      <c r="IU279" s="4"/>
      <c r="IV279" s="6"/>
      <c r="IW279" s="5"/>
      <c r="IX279" s="5"/>
      <c r="IY279" s="4"/>
      <c r="IZ279" s="6"/>
      <c r="JA279" s="4"/>
      <c r="JB279" s="6"/>
      <c r="JC279" s="5"/>
      <c r="JD279" s="5"/>
      <c r="JE279" s="4"/>
      <c r="JF279" s="6"/>
      <c r="JG279" s="4"/>
      <c r="JH279" s="6"/>
      <c r="JI279" s="5"/>
      <c r="JJ279" s="5"/>
      <c r="JK279" s="4">
        <v>612</v>
      </c>
      <c r="JL279" s="4"/>
      <c r="JM279" s="4"/>
      <c r="JN279" s="4"/>
      <c r="JO279" s="4"/>
      <c r="JP279" s="4"/>
      <c r="JQ279" s="4"/>
      <c r="JR279" s="4"/>
      <c r="JS279" s="4"/>
      <c r="JT279" s="4"/>
      <c r="JU279" s="4"/>
      <c r="JV279" s="4"/>
      <c r="JW279" s="4"/>
      <c r="JX279" s="4"/>
      <c r="JY279" s="4"/>
      <c r="JZ279" s="4"/>
      <c r="KA279" s="4"/>
      <c r="KB279" s="4"/>
      <c r="KC279" s="4"/>
      <c r="KD279" s="4"/>
      <c r="KE279" s="4"/>
      <c r="KF279" s="4"/>
      <c r="KG279" s="4"/>
      <c r="KH279" s="4"/>
      <c r="KI279" s="4"/>
      <c r="KJ279" s="4">
        <v>340</v>
      </c>
      <c r="KK279" s="4"/>
      <c r="KL279" s="4"/>
      <c r="KM279" s="4"/>
      <c r="KN279" s="4"/>
      <c r="KO279" s="4"/>
      <c r="KP279" s="4"/>
      <c r="KQ279" s="4"/>
      <c r="KR279" s="4"/>
      <c r="KS279" s="4"/>
      <c r="KT279" s="4"/>
      <c r="KU279" s="4"/>
      <c r="KV279" s="4"/>
      <c r="KW279" s="4"/>
      <c r="KX279" s="4"/>
      <c r="KY279" s="4"/>
      <c r="KZ279" s="4"/>
      <c r="LA279" s="4"/>
      <c r="LB279" s="4"/>
      <c r="LC279" s="4"/>
      <c r="LD279" s="4">
        <v>90</v>
      </c>
      <c r="LE279" s="4"/>
      <c r="LF279" s="4"/>
      <c r="LG279" s="4"/>
      <c r="LH279" s="4"/>
      <c r="LI279" s="4"/>
      <c r="LJ279" s="4"/>
      <c r="LK279" s="4"/>
      <c r="LL279" s="4"/>
      <c r="LM279" s="4">
        <v>310</v>
      </c>
    </row>
    <row r="280">
      <c r="A280" s="3" t="s">
        <v>136</v>
      </c>
      <c r="B280" s="3" t="s">
        <v>193</v>
      </c>
      <c r="C280" s="3" t="s">
        <v>138</v>
      </c>
      <c r="D280" s="3" t="s">
        <v>139</v>
      </c>
      <c r="E280" s="3" t="s">
        <v>194</v>
      </c>
      <c r="F280" s="3" t="s">
        <v>194</v>
      </c>
      <c r="G280" s="3" t="s">
        <v>194</v>
      </c>
      <c r="H280" s="3" t="s">
        <v>195</v>
      </c>
      <c r="I280" s="3" t="s">
        <v>229</v>
      </c>
      <c r="J280" s="3" t="s">
        <v>228</v>
      </c>
      <c r="K280" s="4">
        <v>993</v>
      </c>
      <c r="L280" s="4">
        <f>=ROUNDDOWN(33.1,0)</f>
      </c>
      <c r="M280" s="4">
        <v>500</v>
      </c>
      <c r="N280" s="5">
        <v>1</v>
      </c>
      <c r="O280" s="4"/>
      <c r="P280" s="4">
        <f>=ROUNDDOWN({0},0)</f>
      </c>
      <c r="Q280" s="4"/>
      <c r="R280" s="5"/>
      <c r="S280" s="4">
        <v>216</v>
      </c>
      <c r="T280" s="6">
        <v>4391.49</v>
      </c>
      <c r="U280" s="4">
        <v>320</v>
      </c>
      <c r="V280" s="6">
        <v>6570.43</v>
      </c>
      <c r="W280" s="5">
        <v>-0.325</v>
      </c>
      <c r="X280" s="5">
        <v>-0.3316</v>
      </c>
      <c r="Y280" s="4">
        <v>41</v>
      </c>
      <c r="Z280" s="6">
        <v>873.03</v>
      </c>
      <c r="AA280" s="4">
        <v>56</v>
      </c>
      <c r="AB280" s="6">
        <v>1167.03</v>
      </c>
      <c r="AC280" s="5">
        <v>-0.2679</v>
      </c>
      <c r="AD280" s="5">
        <v>-0.2519</v>
      </c>
      <c r="AE280" s="4">
        <v>5</v>
      </c>
      <c r="AF280" s="6">
        <v>104.18</v>
      </c>
      <c r="AG280" s="4">
        <v>2</v>
      </c>
      <c r="AH280" s="6">
        <v>43.04</v>
      </c>
      <c r="AI280" s="5">
        <v>1.5</v>
      </c>
      <c r="AJ280" s="5">
        <v>1.4205</v>
      </c>
      <c r="AK280" s="4"/>
      <c r="AL280" s="6"/>
      <c r="AM280" s="4"/>
      <c r="AN280" s="6"/>
      <c r="AO280" s="5"/>
      <c r="AP280" s="5"/>
      <c r="AQ280" s="4"/>
      <c r="AR280" s="6"/>
      <c r="AS280" s="4"/>
      <c r="AT280" s="6"/>
      <c r="AU280" s="5"/>
      <c r="AV280" s="5"/>
      <c r="AW280" s="4">
        <v>7</v>
      </c>
      <c r="AX280" s="6">
        <v>160.4</v>
      </c>
      <c r="AY280" s="4">
        <v>12</v>
      </c>
      <c r="AZ280" s="6">
        <v>259.62</v>
      </c>
      <c r="BA280" s="5">
        <v>-0.4167</v>
      </c>
      <c r="BB280" s="5">
        <v>-0.3822</v>
      </c>
      <c r="BC280" s="4">
        <v>79</v>
      </c>
      <c r="BD280" s="6">
        <v>1492.43</v>
      </c>
      <c r="BE280" s="4">
        <v>101</v>
      </c>
      <c r="BF280" s="6">
        <v>1963.64</v>
      </c>
      <c r="BG280" s="5">
        <v>-0.2178</v>
      </c>
      <c r="BH280" s="5">
        <v>-0.24</v>
      </c>
      <c r="BI280" s="4">
        <v>30</v>
      </c>
      <c r="BJ280" s="6">
        <v>578.65</v>
      </c>
      <c r="BK280" s="4">
        <v>76</v>
      </c>
      <c r="BL280" s="6">
        <v>1519.71</v>
      </c>
      <c r="BM280" s="5">
        <v>-0.6053</v>
      </c>
      <c r="BN280" s="5">
        <v>-0.6192</v>
      </c>
      <c r="BO280" s="4">
        <v>1</v>
      </c>
      <c r="BP280" s="6">
        <v>15.85</v>
      </c>
      <c r="BQ280" s="4"/>
      <c r="BR280" s="6"/>
      <c r="BS280" s="5"/>
      <c r="BT280" s="5"/>
      <c r="BU280" s="4">
        <v>10</v>
      </c>
      <c r="BV280" s="6">
        <v>223.56</v>
      </c>
      <c r="BW280" s="4">
        <v>8</v>
      </c>
      <c r="BX280" s="6">
        <v>165.42</v>
      </c>
      <c r="BY280" s="5">
        <v>0.25</v>
      </c>
      <c r="BZ280" s="5">
        <v>0.3515</v>
      </c>
      <c r="CA280" s="4">
        <v>6</v>
      </c>
      <c r="CB280" s="6">
        <v>124.99</v>
      </c>
      <c r="CC280" s="4">
        <v>3</v>
      </c>
      <c r="CD280" s="6">
        <v>62.45</v>
      </c>
      <c r="CE280" s="5">
        <v>1</v>
      </c>
      <c r="CF280" s="5">
        <v>1.0014</v>
      </c>
      <c r="CG280" s="4"/>
      <c r="CH280" s="6"/>
      <c r="CI280" s="4"/>
      <c r="CJ280" s="6"/>
      <c r="CK280" s="5"/>
      <c r="CL280" s="5"/>
      <c r="CM280" s="4"/>
      <c r="CN280" s="6"/>
      <c r="CO280" s="4"/>
      <c r="CP280" s="6"/>
      <c r="CQ280" s="5"/>
      <c r="CR280" s="5"/>
      <c r="CS280" s="4"/>
      <c r="CT280" s="6"/>
      <c r="CU280" s="4"/>
      <c r="CV280" s="6"/>
      <c r="CW280" s="5"/>
      <c r="CX280" s="5"/>
      <c r="CY280" s="4"/>
      <c r="CZ280" s="6"/>
      <c r="DA280" s="4"/>
      <c r="DB280" s="6"/>
      <c r="DC280" s="5"/>
      <c r="DD280" s="5"/>
      <c r="DE280" s="4"/>
      <c r="DF280" s="6"/>
      <c r="DG280" s="4"/>
      <c r="DH280" s="6"/>
      <c r="DI280" s="5"/>
      <c r="DJ280" s="5"/>
      <c r="DK280" s="4">
        <v>1</v>
      </c>
      <c r="DL280" s="6">
        <v>30.35</v>
      </c>
      <c r="DM280" s="4"/>
      <c r="DN280" s="6"/>
      <c r="DO280" s="5"/>
      <c r="DP280" s="5"/>
      <c r="DQ280" s="4"/>
      <c r="DR280" s="6"/>
      <c r="DS280" s="4"/>
      <c r="DT280" s="6"/>
      <c r="DU280" s="5"/>
      <c r="DV280" s="5"/>
      <c r="DW280" s="4">
        <v>35</v>
      </c>
      <c r="DX280" s="6">
        <v>768.1</v>
      </c>
      <c r="DY280" s="4">
        <v>48</v>
      </c>
      <c r="DZ280" s="6">
        <v>1093.56</v>
      </c>
      <c r="EA280" s="5">
        <v>-0.2708</v>
      </c>
      <c r="EB280" s="5">
        <v>-0.2976</v>
      </c>
      <c r="EC280" s="4">
        <v>1</v>
      </c>
      <c r="ED280" s="6">
        <v>19.95</v>
      </c>
      <c r="EE280" s="4">
        <v>1</v>
      </c>
      <c r="EF280" s="6">
        <v>22.58</v>
      </c>
      <c r="EG280" s="5"/>
      <c r="EH280" s="5">
        <v>-0.1165</v>
      </c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/>
      <c r="FN280" s="6"/>
      <c r="FO280" s="4"/>
      <c r="FP280" s="6"/>
      <c r="FQ280" s="5"/>
      <c r="FR280" s="5"/>
      <c r="FS280" s="4"/>
      <c r="FT280" s="6"/>
      <c r="FU280" s="4">
        <v>12</v>
      </c>
      <c r="FV280" s="6">
        <v>253.43</v>
      </c>
      <c r="FW280" s="5"/>
      <c r="FX280" s="5"/>
      <c r="FY280" s="4"/>
      <c r="FZ280" s="6"/>
      <c r="GA280" s="4">
        <v>1</v>
      </c>
      <c r="GB280" s="6">
        <v>19.95</v>
      </c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  <c r="IA280" s="4"/>
      <c r="IB280" s="6"/>
      <c r="IC280" s="4"/>
      <c r="ID280" s="6"/>
      <c r="IE280" s="5"/>
      <c r="IF280" s="5"/>
      <c r="IG280" s="4"/>
      <c r="IH280" s="6"/>
      <c r="II280" s="4"/>
      <c r="IJ280" s="6"/>
      <c r="IK280" s="5"/>
      <c r="IL280" s="5"/>
      <c r="IM280" s="4"/>
      <c r="IN280" s="6"/>
      <c r="IO280" s="4"/>
      <c r="IP280" s="6"/>
      <c r="IQ280" s="5"/>
      <c r="IR280" s="5"/>
      <c r="IS280" s="4"/>
      <c r="IT280" s="6"/>
      <c r="IU280" s="4"/>
      <c r="IV280" s="6"/>
      <c r="IW280" s="5"/>
      <c r="IX280" s="5"/>
      <c r="IY280" s="4"/>
      <c r="IZ280" s="6"/>
      <c r="JA280" s="4"/>
      <c r="JB280" s="6"/>
      <c r="JC280" s="5"/>
      <c r="JD280" s="5"/>
      <c r="JE280" s="4"/>
      <c r="JF280" s="6"/>
      <c r="JG280" s="4"/>
      <c r="JH280" s="6"/>
      <c r="JI280" s="5"/>
      <c r="JJ280" s="5"/>
      <c r="JK280" s="4">
        <v>993</v>
      </c>
      <c r="JL280" s="4"/>
      <c r="JM280" s="4"/>
      <c r="JN280" s="4"/>
      <c r="JO280" s="4"/>
      <c r="JP280" s="4"/>
      <c r="JQ280" s="4"/>
      <c r="JR280" s="4"/>
      <c r="JS280" s="4"/>
      <c r="JT280" s="4"/>
      <c r="JU280" s="4"/>
      <c r="JV280" s="4"/>
      <c r="JW280" s="4"/>
      <c r="JX280" s="4"/>
      <c r="JY280" s="4"/>
      <c r="JZ280" s="4"/>
      <c r="KA280" s="4"/>
      <c r="KB280" s="4"/>
      <c r="KC280" s="4"/>
      <c r="KD280" s="4"/>
      <c r="KE280" s="4"/>
      <c r="KF280" s="4"/>
      <c r="KG280" s="4"/>
      <c r="KH280" s="4"/>
      <c r="KI280" s="4"/>
      <c r="KJ280" s="4"/>
      <c r="KK280" s="4"/>
      <c r="KL280" s="4"/>
      <c r="KM280" s="4"/>
      <c r="KN280" s="4"/>
      <c r="KO280" s="4"/>
      <c r="KP280" s="4"/>
      <c r="KQ280" s="4"/>
      <c r="KR280" s="4"/>
      <c r="KS280" s="4"/>
      <c r="KT280" s="4"/>
      <c r="KU280" s="4"/>
      <c r="KV280" s="4"/>
      <c r="KW280" s="4"/>
      <c r="KX280" s="4"/>
      <c r="KY280" s="4"/>
      <c r="KZ280" s="4"/>
      <c r="LA280" s="4"/>
      <c r="LB280" s="4"/>
      <c r="LC280" s="4"/>
      <c r="LD280" s="4">
        <v>150</v>
      </c>
      <c r="LE280" s="4"/>
      <c r="LF280" s="4"/>
      <c r="LG280" s="4"/>
      <c r="LH280" s="4"/>
      <c r="LI280" s="4"/>
      <c r="LJ280" s="4"/>
      <c r="LK280" s="4"/>
      <c r="LL280" s="4"/>
      <c r="LM280" s="4">
        <v>350</v>
      </c>
    </row>
    <row r="281">
      <c r="A281" s="3" t="s">
        <v>136</v>
      </c>
      <c r="B281" s="3" t="s">
        <v>193</v>
      </c>
      <c r="C281" s="3" t="s">
        <v>138</v>
      </c>
      <c r="D281" s="3" t="s">
        <v>139</v>
      </c>
      <c r="E281" s="3" t="s">
        <v>194</v>
      </c>
      <c r="F281" s="3" t="s">
        <v>194</v>
      </c>
      <c r="G281" s="3" t="s">
        <v>194</v>
      </c>
      <c r="H281" s="3" t="s">
        <v>195</v>
      </c>
      <c r="I281" s="3" t="s">
        <v>234</v>
      </c>
      <c r="J281" s="3" t="s">
        <v>228</v>
      </c>
      <c r="K281" s="4">
        <v>1369</v>
      </c>
      <c r="L281" s="4">
        <f>=ROUNDDOWN(42.78125,0)</f>
      </c>
      <c r="M281" s="4">
        <v>300</v>
      </c>
      <c r="N281" s="5">
        <v>1</v>
      </c>
      <c r="O281" s="4"/>
      <c r="P281" s="4">
        <f>=ROUNDDOWN({0},0)</f>
      </c>
      <c r="Q281" s="4"/>
      <c r="R281" s="5"/>
      <c r="S281" s="4">
        <v>208</v>
      </c>
      <c r="T281" s="6">
        <v>4086.86</v>
      </c>
      <c r="U281" s="4">
        <v>313</v>
      </c>
      <c r="V281" s="6">
        <v>6269.36</v>
      </c>
      <c r="W281" s="5">
        <v>-0.3355</v>
      </c>
      <c r="X281" s="5">
        <v>-0.3481</v>
      </c>
      <c r="Y281" s="4">
        <v>49</v>
      </c>
      <c r="Z281" s="6">
        <v>999.62</v>
      </c>
      <c r="AA281" s="4">
        <v>52</v>
      </c>
      <c r="AB281" s="6">
        <v>1046.76</v>
      </c>
      <c r="AC281" s="5">
        <v>-0.0577</v>
      </c>
      <c r="AD281" s="5">
        <v>-0.045</v>
      </c>
      <c r="AE281" s="4">
        <v>4</v>
      </c>
      <c r="AF281" s="6">
        <v>89.12</v>
      </c>
      <c r="AG281" s="4">
        <v>2</v>
      </c>
      <c r="AH281" s="6">
        <v>42.85</v>
      </c>
      <c r="AI281" s="5">
        <v>1</v>
      </c>
      <c r="AJ281" s="5">
        <v>1.0798</v>
      </c>
      <c r="AK281" s="4"/>
      <c r="AL281" s="6"/>
      <c r="AM281" s="4"/>
      <c r="AN281" s="6"/>
      <c r="AO281" s="5"/>
      <c r="AP281" s="5"/>
      <c r="AQ281" s="4"/>
      <c r="AR281" s="6"/>
      <c r="AS281" s="4"/>
      <c r="AT281" s="6"/>
      <c r="AU281" s="5"/>
      <c r="AV281" s="5"/>
      <c r="AW281" s="4">
        <v>15</v>
      </c>
      <c r="AX281" s="6">
        <v>330.73</v>
      </c>
      <c r="AY281" s="4">
        <v>8</v>
      </c>
      <c r="AZ281" s="6">
        <v>170.35</v>
      </c>
      <c r="BA281" s="5">
        <v>0.875</v>
      </c>
      <c r="BB281" s="5">
        <v>0.9415</v>
      </c>
      <c r="BC281" s="4">
        <v>38</v>
      </c>
      <c r="BD281" s="6">
        <v>695.26</v>
      </c>
      <c r="BE281" s="4">
        <v>45</v>
      </c>
      <c r="BF281" s="6">
        <v>836.06</v>
      </c>
      <c r="BG281" s="5">
        <v>-0.1556</v>
      </c>
      <c r="BH281" s="5">
        <v>-0.1684</v>
      </c>
      <c r="BI281" s="4">
        <v>66</v>
      </c>
      <c r="BJ281" s="6">
        <v>1208.58</v>
      </c>
      <c r="BK281" s="4">
        <v>147</v>
      </c>
      <c r="BL281" s="6">
        <v>2935</v>
      </c>
      <c r="BM281" s="5">
        <v>-0.551</v>
      </c>
      <c r="BN281" s="5">
        <v>-0.5882</v>
      </c>
      <c r="BO281" s="4">
        <v>1</v>
      </c>
      <c r="BP281" s="6">
        <v>20.72</v>
      </c>
      <c r="BQ281" s="4"/>
      <c r="BR281" s="6"/>
      <c r="BS281" s="5"/>
      <c r="BT281" s="5"/>
      <c r="BU281" s="4">
        <v>13</v>
      </c>
      <c r="BV281" s="6">
        <v>275.4</v>
      </c>
      <c r="BW281" s="4">
        <v>18</v>
      </c>
      <c r="BX281" s="6">
        <v>377.28</v>
      </c>
      <c r="BY281" s="5">
        <v>-0.2778</v>
      </c>
      <c r="BZ281" s="5">
        <v>-0.27</v>
      </c>
      <c r="CA281" s="4">
        <v>4</v>
      </c>
      <c r="CB281" s="6">
        <v>80.51</v>
      </c>
      <c r="CC281" s="4">
        <v>9</v>
      </c>
      <c r="CD281" s="6">
        <v>191.11</v>
      </c>
      <c r="CE281" s="5">
        <v>-0.5556</v>
      </c>
      <c r="CF281" s="5">
        <v>-0.5787</v>
      </c>
      <c r="CG281" s="4"/>
      <c r="CH281" s="6"/>
      <c r="CI281" s="4"/>
      <c r="CJ281" s="6"/>
      <c r="CK281" s="5"/>
      <c r="CL281" s="5"/>
      <c r="CM281" s="4"/>
      <c r="CN281" s="6"/>
      <c r="CO281" s="4"/>
      <c r="CP281" s="6"/>
      <c r="CQ281" s="5"/>
      <c r="CR281" s="5"/>
      <c r="CS281" s="4"/>
      <c r="CT281" s="6"/>
      <c r="CU281" s="4"/>
      <c r="CV281" s="6"/>
      <c r="CW281" s="5"/>
      <c r="CX281" s="5"/>
      <c r="CY281" s="4"/>
      <c r="CZ281" s="6"/>
      <c r="DA281" s="4">
        <v>1</v>
      </c>
      <c r="DB281" s="6">
        <v>17.01</v>
      </c>
      <c r="DC281" s="5"/>
      <c r="DD281" s="5"/>
      <c r="DE281" s="4"/>
      <c r="DF281" s="6"/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/>
      <c r="DR281" s="6"/>
      <c r="DS281" s="4"/>
      <c r="DT281" s="6"/>
      <c r="DU281" s="5"/>
      <c r="DV281" s="5"/>
      <c r="DW281" s="4">
        <v>12</v>
      </c>
      <c r="DX281" s="6">
        <v>269.84</v>
      </c>
      <c r="DY281" s="4">
        <v>14</v>
      </c>
      <c r="DZ281" s="6">
        <v>307.24</v>
      </c>
      <c r="EA281" s="5">
        <v>-0.1429</v>
      </c>
      <c r="EB281" s="5">
        <v>-0.1217</v>
      </c>
      <c r="EC281" s="4">
        <v>6</v>
      </c>
      <c r="ED281" s="6">
        <v>117.08</v>
      </c>
      <c r="EE281" s="4">
        <v>9</v>
      </c>
      <c r="EF281" s="6">
        <v>174.34</v>
      </c>
      <c r="EG281" s="5">
        <v>-0.3333</v>
      </c>
      <c r="EH281" s="5">
        <v>-0.3284</v>
      </c>
      <c r="EI281" s="4"/>
      <c r="EJ281" s="6"/>
      <c r="EK281" s="4"/>
      <c r="EL281" s="6"/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/>
      <c r="FN281" s="6"/>
      <c r="FO281" s="4"/>
      <c r="FP281" s="6"/>
      <c r="FQ281" s="5"/>
      <c r="FR281" s="5"/>
      <c r="FS281" s="4"/>
      <c r="FT281" s="6"/>
      <c r="FU281" s="4">
        <v>5</v>
      </c>
      <c r="FV281" s="6">
        <v>104.45</v>
      </c>
      <c r="FW281" s="5"/>
      <c r="FX281" s="5"/>
      <c r="FY281" s="4"/>
      <c r="FZ281" s="6"/>
      <c r="GA281" s="4">
        <v>2</v>
      </c>
      <c r="GB281" s="6">
        <v>42.53</v>
      </c>
      <c r="GC281" s="5"/>
      <c r="GD281" s="5"/>
      <c r="GE281" s="4"/>
      <c r="GF281" s="6"/>
      <c r="GG281" s="4">
        <v>1</v>
      </c>
      <c r="GH281" s="6">
        <v>24.38</v>
      </c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  <c r="IA281" s="4"/>
      <c r="IB281" s="6"/>
      <c r="IC281" s="4"/>
      <c r="ID281" s="6"/>
      <c r="IE281" s="5"/>
      <c r="IF281" s="5"/>
      <c r="IG281" s="4"/>
      <c r="IH281" s="6"/>
      <c r="II281" s="4"/>
      <c r="IJ281" s="6"/>
      <c r="IK281" s="5"/>
      <c r="IL281" s="5"/>
      <c r="IM281" s="4"/>
      <c r="IN281" s="6"/>
      <c r="IO281" s="4"/>
      <c r="IP281" s="6"/>
      <c r="IQ281" s="5"/>
      <c r="IR281" s="5"/>
      <c r="IS281" s="4"/>
      <c r="IT281" s="6"/>
      <c r="IU281" s="4"/>
      <c r="IV281" s="6"/>
      <c r="IW281" s="5"/>
      <c r="IX281" s="5"/>
      <c r="IY281" s="4"/>
      <c r="IZ281" s="6"/>
      <c r="JA281" s="4"/>
      <c r="JB281" s="6"/>
      <c r="JC281" s="5"/>
      <c r="JD281" s="5"/>
      <c r="JE281" s="4"/>
      <c r="JF281" s="6"/>
      <c r="JG281" s="4"/>
      <c r="JH281" s="6"/>
      <c r="JI281" s="5"/>
      <c r="JJ281" s="5"/>
      <c r="JK281" s="4">
        <v>1369</v>
      </c>
      <c r="JL281" s="4"/>
      <c r="JM281" s="4"/>
      <c r="JN281" s="4"/>
      <c r="JO281" s="4"/>
      <c r="JP281" s="4"/>
      <c r="JQ281" s="4"/>
      <c r="JR281" s="4"/>
      <c r="JS281" s="4"/>
      <c r="JT281" s="4"/>
      <c r="JU281" s="4"/>
      <c r="JV281" s="4"/>
      <c r="JW281" s="4"/>
      <c r="JX281" s="4"/>
      <c r="JY281" s="4"/>
      <c r="JZ281" s="4"/>
      <c r="KA281" s="4"/>
      <c r="KB281" s="4"/>
      <c r="KC281" s="4"/>
      <c r="KD281" s="4"/>
      <c r="KE281" s="4"/>
      <c r="KF281" s="4"/>
      <c r="KG281" s="4"/>
      <c r="KH281" s="4"/>
      <c r="KI281" s="4"/>
      <c r="KJ281" s="4">
        <v>300</v>
      </c>
      <c r="KK281" s="4"/>
      <c r="KL281" s="4"/>
      <c r="KM281" s="4"/>
      <c r="KN281" s="4"/>
      <c r="KO281" s="4"/>
      <c r="KP281" s="4"/>
      <c r="KQ281" s="4"/>
      <c r="KR281" s="4"/>
      <c r="KS281" s="4"/>
      <c r="KT281" s="4"/>
      <c r="KU281" s="4"/>
      <c r="KV281" s="4"/>
      <c r="KW281" s="4"/>
      <c r="KX281" s="4"/>
      <c r="KY281" s="4"/>
      <c r="KZ281" s="4"/>
      <c r="LA281" s="4"/>
      <c r="LB281" s="4"/>
      <c r="LC281" s="4"/>
      <c r="LD281" s="4"/>
      <c r="LE281" s="4"/>
      <c r="LF281" s="4"/>
      <c r="LG281" s="4"/>
      <c r="LH281" s="4"/>
      <c r="LI281" s="4"/>
      <c r="LJ281" s="4"/>
      <c r="LK281" s="4"/>
      <c r="LL281" s="4"/>
      <c r="LM281" s="4"/>
    </row>
    <row r="282">
      <c r="A282" s="3" t="s">
        <v>136</v>
      </c>
      <c r="B282" s="3" t="s">
        <v>193</v>
      </c>
      <c r="C282" s="3" t="s">
        <v>138</v>
      </c>
      <c r="D282" s="3" t="s">
        <v>139</v>
      </c>
      <c r="E282" s="3" t="s">
        <v>194</v>
      </c>
      <c r="F282" s="3" t="s">
        <v>194</v>
      </c>
      <c r="G282" s="3" t="s">
        <v>194</v>
      </c>
      <c r="H282" s="3" t="s">
        <v>195</v>
      </c>
      <c r="I282" s="3" t="s">
        <v>240</v>
      </c>
      <c r="J282" s="3" t="s">
        <v>241</v>
      </c>
      <c r="K282" s="4">
        <v>445</v>
      </c>
      <c r="L282" s="4">
        <f>=ROUNDDOWN(26.1764705882353,0)</f>
      </c>
      <c r="M282" s="4"/>
      <c r="N282" s="5"/>
      <c r="O282" s="4"/>
      <c r="P282" s="4">
        <f>=ROUNDDOWN({0},0)</f>
      </c>
      <c r="Q282" s="4"/>
      <c r="R282" s="5"/>
      <c r="S282" s="4">
        <v>182</v>
      </c>
      <c r="T282" s="6">
        <v>3581.32</v>
      </c>
      <c r="U282" s="4">
        <v>181</v>
      </c>
      <c r="V282" s="6">
        <v>3628.12</v>
      </c>
      <c r="W282" s="5">
        <v>0.0055</v>
      </c>
      <c r="X282" s="5">
        <v>-0.0129</v>
      </c>
      <c r="Y282" s="4">
        <v>54</v>
      </c>
      <c r="Z282" s="6">
        <v>1092.32</v>
      </c>
      <c r="AA282" s="4">
        <v>37</v>
      </c>
      <c r="AB282" s="6">
        <v>736.86</v>
      </c>
      <c r="AC282" s="5">
        <v>0.4595</v>
      </c>
      <c r="AD282" s="5">
        <v>0.4824</v>
      </c>
      <c r="AE282" s="4">
        <v>2</v>
      </c>
      <c r="AF282" s="6">
        <v>46.08</v>
      </c>
      <c r="AG282" s="4">
        <v>3</v>
      </c>
      <c r="AH282" s="6">
        <v>64.37</v>
      </c>
      <c r="AI282" s="5">
        <v>-0.3333</v>
      </c>
      <c r="AJ282" s="5">
        <v>-0.2841</v>
      </c>
      <c r="AK282" s="4"/>
      <c r="AL282" s="6"/>
      <c r="AM282" s="4"/>
      <c r="AN282" s="6"/>
      <c r="AO282" s="5"/>
      <c r="AP282" s="5"/>
      <c r="AQ282" s="4"/>
      <c r="AR282" s="6"/>
      <c r="AS282" s="4"/>
      <c r="AT282" s="6"/>
      <c r="AU282" s="5"/>
      <c r="AV282" s="5"/>
      <c r="AW282" s="4">
        <v>14</v>
      </c>
      <c r="AX282" s="6">
        <v>309.78</v>
      </c>
      <c r="AY282" s="4">
        <v>7</v>
      </c>
      <c r="AZ282" s="6">
        <v>152.14</v>
      </c>
      <c r="BA282" s="5">
        <v>1</v>
      </c>
      <c r="BB282" s="5">
        <v>1.0362</v>
      </c>
      <c r="BC282" s="4"/>
      <c r="BD282" s="6"/>
      <c r="BE282" s="4"/>
      <c r="BF282" s="6"/>
      <c r="BG282" s="5"/>
      <c r="BH282" s="5"/>
      <c r="BI282" s="4">
        <v>52</v>
      </c>
      <c r="BJ282" s="6">
        <v>936.02</v>
      </c>
      <c r="BK282" s="4">
        <v>109</v>
      </c>
      <c r="BL282" s="6">
        <v>2167.39</v>
      </c>
      <c r="BM282" s="5">
        <v>-0.5229</v>
      </c>
      <c r="BN282" s="5">
        <v>-0.5681</v>
      </c>
      <c r="BO282" s="4">
        <v>3</v>
      </c>
      <c r="BP282" s="6">
        <v>52.52</v>
      </c>
      <c r="BQ282" s="4">
        <v>1</v>
      </c>
      <c r="BR282" s="6">
        <v>23.66</v>
      </c>
      <c r="BS282" s="5">
        <v>2</v>
      </c>
      <c r="BT282" s="5">
        <v>1.2198</v>
      </c>
      <c r="BU282" s="4">
        <v>8</v>
      </c>
      <c r="BV282" s="6">
        <v>165.42</v>
      </c>
      <c r="BW282" s="4">
        <v>15</v>
      </c>
      <c r="BX282" s="6">
        <v>298.44</v>
      </c>
      <c r="BY282" s="5">
        <v>-0.4667</v>
      </c>
      <c r="BZ282" s="5">
        <v>-0.4457</v>
      </c>
      <c r="CA282" s="4">
        <v>49</v>
      </c>
      <c r="CB282" s="6">
        <v>979.18</v>
      </c>
      <c r="CC282" s="4"/>
      <c r="CD282" s="6"/>
      <c r="CE282" s="5"/>
      <c r="CF282" s="5"/>
      <c r="CG282" s="4"/>
      <c r="CH282" s="6"/>
      <c r="CI282" s="4"/>
      <c r="CJ282" s="6"/>
      <c r="CK282" s="5"/>
      <c r="CL282" s="5"/>
      <c r="CM282" s="4"/>
      <c r="CN282" s="6"/>
      <c r="CO282" s="4"/>
      <c r="CP282" s="6"/>
      <c r="CQ282" s="5"/>
      <c r="CR282" s="5"/>
      <c r="CS282" s="4"/>
      <c r="CT282" s="6"/>
      <c r="CU282" s="4"/>
      <c r="CV282" s="6"/>
      <c r="CW282" s="5"/>
      <c r="CX282" s="5"/>
      <c r="CY282" s="4"/>
      <c r="CZ282" s="6"/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/>
      <c r="DX282" s="6"/>
      <c r="DY282" s="4"/>
      <c r="DZ282" s="6"/>
      <c r="EA282" s="5"/>
      <c r="EB282" s="5"/>
      <c r="EC282" s="4"/>
      <c r="ED282" s="6"/>
      <c r="EE282" s="4"/>
      <c r="EF282" s="6"/>
      <c r="EG282" s="5"/>
      <c r="EH282" s="5"/>
      <c r="EI282" s="4"/>
      <c r="EJ282" s="6"/>
      <c r="EK282" s="4"/>
      <c r="EL282" s="6"/>
      <c r="EM282" s="5"/>
      <c r="EN282" s="5"/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>
        <v>9</v>
      </c>
      <c r="FV282" s="6">
        <v>185.26</v>
      </c>
      <c r="FW282" s="5"/>
      <c r="FX282" s="5"/>
      <c r="FY282" s="4"/>
      <c r="FZ282" s="6"/>
      <c r="GA282" s="4"/>
      <c r="GB282" s="6"/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  <c r="IA282" s="4"/>
      <c r="IB282" s="6"/>
      <c r="IC282" s="4"/>
      <c r="ID282" s="6"/>
      <c r="IE282" s="5"/>
      <c r="IF282" s="5"/>
      <c r="IG282" s="4"/>
      <c r="IH282" s="6"/>
      <c r="II282" s="4"/>
      <c r="IJ282" s="6"/>
      <c r="IK282" s="5"/>
      <c r="IL282" s="5"/>
      <c r="IM282" s="4"/>
      <c r="IN282" s="6"/>
      <c r="IO282" s="4"/>
      <c r="IP282" s="6"/>
      <c r="IQ282" s="5"/>
      <c r="IR282" s="5"/>
      <c r="IS282" s="4"/>
      <c r="IT282" s="6"/>
      <c r="IU282" s="4"/>
      <c r="IV282" s="6"/>
      <c r="IW282" s="5"/>
      <c r="IX282" s="5"/>
      <c r="IY282" s="4"/>
      <c r="IZ282" s="6"/>
      <c r="JA282" s="4"/>
      <c r="JB282" s="6"/>
      <c r="JC282" s="5"/>
      <c r="JD282" s="5"/>
      <c r="JE282" s="4"/>
      <c r="JF282" s="6"/>
      <c r="JG282" s="4"/>
      <c r="JH282" s="6"/>
      <c r="JI282" s="5"/>
      <c r="JJ282" s="5"/>
      <c r="JK282" s="4">
        <v>445</v>
      </c>
      <c r="JL282" s="4"/>
      <c r="JM282" s="4"/>
      <c r="JN282" s="4"/>
      <c r="JO282" s="4"/>
      <c r="JP282" s="4"/>
      <c r="JQ282" s="4"/>
      <c r="JR282" s="4"/>
      <c r="JS282" s="4"/>
      <c r="JT282" s="4"/>
      <c r="JU282" s="4"/>
      <c r="JV282" s="4"/>
      <c r="JW282" s="4"/>
      <c r="JX282" s="4"/>
      <c r="JY282" s="4"/>
      <c r="JZ282" s="4"/>
      <c r="KA282" s="4"/>
      <c r="KB282" s="4"/>
      <c r="KC282" s="4"/>
      <c r="KD282" s="4"/>
      <c r="KE282" s="4"/>
      <c r="KF282" s="4"/>
      <c r="KG282" s="4"/>
      <c r="KH282" s="4"/>
      <c r="KI282" s="4"/>
      <c r="KJ282" s="4"/>
      <c r="KK282" s="4"/>
      <c r="KL282" s="4"/>
      <c r="KM282" s="4"/>
      <c r="KN282" s="4"/>
      <c r="KO282" s="4"/>
      <c r="KP282" s="4"/>
      <c r="KQ282" s="4"/>
      <c r="KR282" s="4"/>
      <c r="KS282" s="4"/>
      <c r="KT282" s="4"/>
      <c r="KU282" s="4"/>
      <c r="KV282" s="4"/>
      <c r="KW282" s="4"/>
      <c r="KX282" s="4"/>
      <c r="KY282" s="4"/>
      <c r="KZ282" s="4"/>
      <c r="LA282" s="4"/>
      <c r="LB282" s="4"/>
      <c r="LC282" s="4"/>
      <c r="LD282" s="4"/>
      <c r="LE282" s="4"/>
      <c r="LF282" s="4"/>
      <c r="LG282" s="4"/>
      <c r="LH282" s="4"/>
      <c r="LI282" s="4"/>
      <c r="LJ282" s="4"/>
      <c r="LK282" s="4"/>
      <c r="LL282" s="4"/>
      <c r="LM282" s="4"/>
    </row>
    <row r="283">
      <c r="A283" s="3" t="s">
        <v>136</v>
      </c>
      <c r="B283" s="3" t="s">
        <v>193</v>
      </c>
      <c r="C283" s="3" t="s">
        <v>138</v>
      </c>
      <c r="D283" s="3" t="s">
        <v>139</v>
      </c>
      <c r="E283" s="3" t="s">
        <v>194</v>
      </c>
      <c r="F283" s="3" t="s">
        <v>194</v>
      </c>
      <c r="G283" s="3" t="s">
        <v>194</v>
      </c>
      <c r="H283" s="3" t="s">
        <v>195</v>
      </c>
      <c r="I283" s="3" t="s">
        <v>225</v>
      </c>
      <c r="J283" s="3" t="s">
        <v>241</v>
      </c>
      <c r="K283" s="4"/>
      <c r="L283" s="4">
        <f>=ROUNDDOWN({0},0)</f>
      </c>
      <c r="M283" s="4"/>
      <c r="N283" s="5"/>
      <c r="O283" s="4"/>
      <c r="P283" s="4">
        <f>=ROUNDDOWN({0},0)</f>
      </c>
      <c r="Q283" s="4"/>
      <c r="R283" s="5"/>
      <c r="S283" s="4"/>
      <c r="T283" s="6"/>
      <c r="U283" s="4">
        <v>20</v>
      </c>
      <c r="V283" s="6">
        <v>244.31</v>
      </c>
      <c r="W283" s="5"/>
      <c r="X283" s="5"/>
      <c r="Y283" s="4"/>
      <c r="Z283" s="6"/>
      <c r="AA283" s="4">
        <v>2</v>
      </c>
      <c r="AB283" s="6">
        <v>27.96</v>
      </c>
      <c r="AC283" s="5"/>
      <c r="AD283" s="5"/>
      <c r="AE283" s="4"/>
      <c r="AF283" s="6"/>
      <c r="AG283" s="4"/>
      <c r="AH283" s="6"/>
      <c r="AI283" s="5"/>
      <c r="AJ283" s="5"/>
      <c r="AK283" s="4"/>
      <c r="AL283" s="6"/>
      <c r="AM283" s="4"/>
      <c r="AN283" s="6"/>
      <c r="AO283" s="5"/>
      <c r="AP283" s="5"/>
      <c r="AQ283" s="4"/>
      <c r="AR283" s="6"/>
      <c r="AS283" s="4"/>
      <c r="AT283" s="6"/>
      <c r="AU283" s="5"/>
      <c r="AV283" s="5"/>
      <c r="AW283" s="4"/>
      <c r="AX283" s="6"/>
      <c r="AY283" s="4"/>
      <c r="AZ283" s="6"/>
      <c r="BA283" s="5"/>
      <c r="BB283" s="5"/>
      <c r="BC283" s="4"/>
      <c r="BD283" s="6"/>
      <c r="BE283" s="4"/>
      <c r="BF283" s="6"/>
      <c r="BG283" s="5"/>
      <c r="BH283" s="5"/>
      <c r="BI283" s="4"/>
      <c r="BJ283" s="6"/>
      <c r="BK283" s="4">
        <v>18</v>
      </c>
      <c r="BL283" s="6">
        <v>216.35</v>
      </c>
      <c r="BM283" s="5"/>
      <c r="BN283" s="5"/>
      <c r="BO283" s="4"/>
      <c r="BP283" s="6"/>
      <c r="BQ283" s="4"/>
      <c r="BR283" s="6"/>
      <c r="BS283" s="5"/>
      <c r="BT283" s="5"/>
      <c r="BU283" s="4"/>
      <c r="BV283" s="6"/>
      <c r="BW283" s="4"/>
      <c r="BX283" s="6"/>
      <c r="BY283" s="5"/>
      <c r="BZ283" s="5"/>
      <c r="CA283" s="4"/>
      <c r="CB283" s="6"/>
      <c r="CC283" s="4"/>
      <c r="CD283" s="6"/>
      <c r="CE283" s="5"/>
      <c r="CF283" s="5"/>
      <c r="CG283" s="4"/>
      <c r="CH283" s="6"/>
      <c r="CI283" s="4"/>
      <c r="CJ283" s="6"/>
      <c r="CK283" s="5"/>
      <c r="CL283" s="5"/>
      <c r="CM283" s="4"/>
      <c r="CN283" s="6"/>
      <c r="CO283" s="4"/>
      <c r="CP283" s="6"/>
      <c r="CQ283" s="5"/>
      <c r="CR283" s="5"/>
      <c r="CS283" s="4"/>
      <c r="CT283" s="6"/>
      <c r="CU283" s="4"/>
      <c r="CV283" s="6"/>
      <c r="CW283" s="5"/>
      <c r="CX283" s="5"/>
      <c r="CY283" s="4"/>
      <c r="CZ283" s="6"/>
      <c r="DA283" s="4"/>
      <c r="DB283" s="6"/>
      <c r="DC283" s="5"/>
      <c r="DD283" s="5"/>
      <c r="DE283" s="4"/>
      <c r="DF283" s="6"/>
      <c r="DG283" s="4"/>
      <c r="DH283" s="6"/>
      <c r="DI283" s="5"/>
      <c r="DJ283" s="5"/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/>
      <c r="ED283" s="6"/>
      <c r="EE283" s="4"/>
      <c r="EF283" s="6"/>
      <c r="EG283" s="5"/>
      <c r="EH283" s="5"/>
      <c r="EI283" s="4"/>
      <c r="EJ283" s="6"/>
      <c r="EK283" s="4"/>
      <c r="EL283" s="6"/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/>
      <c r="GB283" s="6"/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  <c r="IA283" s="4"/>
      <c r="IB283" s="6"/>
      <c r="IC283" s="4"/>
      <c r="ID283" s="6"/>
      <c r="IE283" s="5"/>
      <c r="IF283" s="5"/>
      <c r="IG283" s="4"/>
      <c r="IH283" s="6"/>
      <c r="II283" s="4"/>
      <c r="IJ283" s="6"/>
      <c r="IK283" s="5"/>
      <c r="IL283" s="5"/>
      <c r="IM283" s="4"/>
      <c r="IN283" s="6"/>
      <c r="IO283" s="4"/>
      <c r="IP283" s="6"/>
      <c r="IQ283" s="5"/>
      <c r="IR283" s="5"/>
      <c r="IS283" s="4"/>
      <c r="IT283" s="6"/>
      <c r="IU283" s="4"/>
      <c r="IV283" s="6"/>
      <c r="IW283" s="5"/>
      <c r="IX283" s="5"/>
      <c r="IY283" s="4"/>
      <c r="IZ283" s="6"/>
      <c r="JA283" s="4"/>
      <c r="JB283" s="6"/>
      <c r="JC283" s="5"/>
      <c r="JD283" s="5"/>
      <c r="JE283" s="4"/>
      <c r="JF283" s="6"/>
      <c r="JG283" s="4"/>
      <c r="JH283" s="6"/>
      <c r="JI283" s="5"/>
      <c r="JJ283" s="5"/>
      <c r="JK283" s="4"/>
      <c r="JL283" s="4"/>
      <c r="JM283" s="4"/>
      <c r="JN283" s="4"/>
      <c r="JO283" s="4"/>
      <c r="JP283" s="4"/>
      <c r="JQ283" s="4"/>
      <c r="JR283" s="4"/>
      <c r="JS283" s="4"/>
      <c r="JT283" s="4"/>
      <c r="JU283" s="4"/>
      <c r="JV283" s="4"/>
      <c r="JW283" s="4"/>
      <c r="JX283" s="4"/>
      <c r="JY283" s="4"/>
      <c r="JZ283" s="4"/>
      <c r="KA283" s="4"/>
      <c r="KB283" s="4"/>
      <c r="KC283" s="4"/>
      <c r="KD283" s="4"/>
      <c r="KE283" s="4"/>
      <c r="KF283" s="4"/>
      <c r="KG283" s="4"/>
      <c r="KH283" s="4"/>
      <c r="KI283" s="4"/>
      <c r="KJ283" s="4"/>
      <c r="KK283" s="4"/>
      <c r="KL283" s="4"/>
      <c r="KM283" s="4"/>
      <c r="KN283" s="4"/>
      <c r="KO283" s="4"/>
      <c r="KP283" s="4"/>
      <c r="KQ283" s="4"/>
      <c r="KR283" s="4"/>
      <c r="KS283" s="4"/>
      <c r="KT283" s="4"/>
      <c r="KU283" s="4"/>
      <c r="KV283" s="4"/>
      <c r="KW283" s="4"/>
      <c r="KX283" s="4"/>
      <c r="KY283" s="4"/>
      <c r="KZ283" s="4"/>
      <c r="LA283" s="4"/>
      <c r="LB283" s="4"/>
      <c r="LC283" s="4"/>
      <c r="LD283" s="4"/>
      <c r="LE283" s="4"/>
      <c r="LF283" s="4"/>
      <c r="LG283" s="4"/>
      <c r="LH283" s="4"/>
      <c r="LI283" s="4"/>
      <c r="LJ283" s="4"/>
      <c r="LK283" s="4"/>
      <c r="LL283" s="4"/>
      <c r="LM283" s="4"/>
    </row>
    <row r="284">
      <c r="A284" s="3" t="s">
        <v>136</v>
      </c>
      <c r="B284" s="3" t="s">
        <v>193</v>
      </c>
      <c r="C284" s="3" t="s">
        <v>138</v>
      </c>
      <c r="D284" s="3" t="s">
        <v>139</v>
      </c>
      <c r="E284" s="3" t="s">
        <v>194</v>
      </c>
      <c r="F284" s="3" t="s">
        <v>194</v>
      </c>
      <c r="G284" s="3" t="s">
        <v>194</v>
      </c>
      <c r="H284" s="3" t="s">
        <v>195</v>
      </c>
      <c r="I284" s="3" t="s">
        <v>233</v>
      </c>
      <c r="J284" s="3" t="s">
        <v>241</v>
      </c>
      <c r="K284" s="4">
        <v>1</v>
      </c>
      <c r="L284" s="4">
        <f>=ROUNDDOWN({0},0)</f>
      </c>
      <c r="M284" s="4"/>
      <c r="N284" s="5"/>
      <c r="O284" s="4"/>
      <c r="P284" s="4">
        <f>=ROUNDDOWN({0},0)</f>
      </c>
      <c r="Q284" s="4"/>
      <c r="R284" s="5"/>
      <c r="S284" s="4"/>
      <c r="T284" s="6"/>
      <c r="U284" s="4">
        <v>70</v>
      </c>
      <c r="V284" s="6">
        <v>1348.04</v>
      </c>
      <c r="W284" s="5"/>
      <c r="X284" s="5"/>
      <c r="Y284" s="4"/>
      <c r="Z284" s="6"/>
      <c r="AA284" s="4">
        <v>6</v>
      </c>
      <c r="AB284" s="6">
        <v>128.73</v>
      </c>
      <c r="AC284" s="5"/>
      <c r="AD284" s="5"/>
      <c r="AE284" s="4"/>
      <c r="AF284" s="6"/>
      <c r="AG284" s="4">
        <v>1</v>
      </c>
      <c r="AH284" s="6">
        <v>24.56</v>
      </c>
      <c r="AI284" s="5"/>
      <c r="AJ284" s="5"/>
      <c r="AK284" s="4"/>
      <c r="AL284" s="6"/>
      <c r="AM284" s="4"/>
      <c r="AN284" s="6"/>
      <c r="AO284" s="5"/>
      <c r="AP284" s="5"/>
      <c r="AQ284" s="4"/>
      <c r="AR284" s="6"/>
      <c r="AS284" s="4"/>
      <c r="AT284" s="6"/>
      <c r="AU284" s="5"/>
      <c r="AV284" s="5"/>
      <c r="AW284" s="4"/>
      <c r="AX284" s="6"/>
      <c r="AY284" s="4">
        <v>2</v>
      </c>
      <c r="AZ284" s="6">
        <v>44.65</v>
      </c>
      <c r="BA284" s="5"/>
      <c r="BB284" s="5"/>
      <c r="BC284" s="4"/>
      <c r="BD284" s="6"/>
      <c r="BE284" s="4"/>
      <c r="BF284" s="6"/>
      <c r="BG284" s="5"/>
      <c r="BH284" s="5"/>
      <c r="BI284" s="4"/>
      <c r="BJ284" s="6"/>
      <c r="BK284" s="4">
        <v>54</v>
      </c>
      <c r="BL284" s="6">
        <v>1000.92</v>
      </c>
      <c r="BM284" s="5"/>
      <c r="BN284" s="5"/>
      <c r="BO284" s="4"/>
      <c r="BP284" s="6"/>
      <c r="BQ284" s="4"/>
      <c r="BR284" s="6"/>
      <c r="BS284" s="5"/>
      <c r="BT284" s="5"/>
      <c r="BU284" s="4"/>
      <c r="BV284" s="6"/>
      <c r="BW284" s="4">
        <v>1</v>
      </c>
      <c r="BX284" s="6">
        <v>20.34</v>
      </c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/>
      <c r="CN284" s="6"/>
      <c r="CO284" s="4"/>
      <c r="CP284" s="6"/>
      <c r="CQ284" s="5"/>
      <c r="CR284" s="5"/>
      <c r="CS284" s="4"/>
      <c r="CT284" s="6"/>
      <c r="CU284" s="4"/>
      <c r="CV284" s="6"/>
      <c r="CW284" s="5"/>
      <c r="CX284" s="5"/>
      <c r="CY284" s="4"/>
      <c r="CZ284" s="6"/>
      <c r="DA284" s="4"/>
      <c r="DB284" s="6"/>
      <c r="DC284" s="5"/>
      <c r="DD284" s="5"/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/>
      <c r="DX284" s="6"/>
      <c r="DY284" s="4"/>
      <c r="DZ284" s="6"/>
      <c r="EA284" s="5"/>
      <c r="EB284" s="5"/>
      <c r="EC284" s="4"/>
      <c r="ED284" s="6"/>
      <c r="EE284" s="4"/>
      <c r="EF284" s="6"/>
      <c r="EG284" s="5"/>
      <c r="EH284" s="5"/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/>
      <c r="FN284" s="6"/>
      <c r="FO284" s="4"/>
      <c r="FP284" s="6"/>
      <c r="FQ284" s="5"/>
      <c r="FR284" s="5"/>
      <c r="FS284" s="4"/>
      <c r="FT284" s="6"/>
      <c r="FU284" s="4">
        <v>4</v>
      </c>
      <c r="FV284" s="6">
        <v>86.31</v>
      </c>
      <c r="FW284" s="5"/>
      <c r="FX284" s="5"/>
      <c r="FY284" s="4"/>
      <c r="FZ284" s="6"/>
      <c r="GA284" s="4">
        <v>2</v>
      </c>
      <c r="GB284" s="6">
        <v>42.53</v>
      </c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  <c r="IA284" s="4"/>
      <c r="IB284" s="6"/>
      <c r="IC284" s="4"/>
      <c r="ID284" s="6"/>
      <c r="IE284" s="5"/>
      <c r="IF284" s="5"/>
      <c r="IG284" s="4"/>
      <c r="IH284" s="6"/>
      <c r="II284" s="4"/>
      <c r="IJ284" s="6"/>
      <c r="IK284" s="5"/>
      <c r="IL284" s="5"/>
      <c r="IM284" s="4"/>
      <c r="IN284" s="6"/>
      <c r="IO284" s="4"/>
      <c r="IP284" s="6"/>
      <c r="IQ284" s="5"/>
      <c r="IR284" s="5"/>
      <c r="IS284" s="4"/>
      <c r="IT284" s="6"/>
      <c r="IU284" s="4"/>
      <c r="IV284" s="6"/>
      <c r="IW284" s="5"/>
      <c r="IX284" s="5"/>
      <c r="IY284" s="4"/>
      <c r="IZ284" s="6"/>
      <c r="JA284" s="4"/>
      <c r="JB284" s="6"/>
      <c r="JC284" s="5"/>
      <c r="JD284" s="5"/>
      <c r="JE284" s="4"/>
      <c r="JF284" s="6"/>
      <c r="JG284" s="4"/>
      <c r="JH284" s="6"/>
      <c r="JI284" s="5"/>
      <c r="JJ284" s="5"/>
      <c r="JK284" s="4">
        <v>1</v>
      </c>
      <c r="JL284" s="4"/>
      <c r="JM284" s="4"/>
      <c r="JN284" s="4"/>
      <c r="JO284" s="4"/>
      <c r="JP284" s="4"/>
      <c r="JQ284" s="4"/>
      <c r="JR284" s="4"/>
      <c r="JS284" s="4"/>
      <c r="JT284" s="4"/>
      <c r="JU284" s="4"/>
      <c r="JV284" s="4"/>
      <c r="JW284" s="4"/>
      <c r="JX284" s="4"/>
      <c r="JY284" s="4"/>
      <c r="JZ284" s="4"/>
      <c r="KA284" s="4"/>
      <c r="KB284" s="4"/>
      <c r="KC284" s="4"/>
      <c r="KD284" s="4"/>
      <c r="KE284" s="4"/>
      <c r="KF284" s="4"/>
      <c r="KG284" s="4"/>
      <c r="KH284" s="4"/>
      <c r="KI284" s="4"/>
      <c r="KJ284" s="4"/>
      <c r="KK284" s="4"/>
      <c r="KL284" s="4"/>
      <c r="KM284" s="4"/>
      <c r="KN284" s="4"/>
      <c r="KO284" s="4"/>
      <c r="KP284" s="4"/>
      <c r="KQ284" s="4"/>
      <c r="KR284" s="4"/>
      <c r="KS284" s="4"/>
      <c r="KT284" s="4"/>
      <c r="KU284" s="4"/>
      <c r="KV284" s="4"/>
      <c r="KW284" s="4"/>
      <c r="KX284" s="4"/>
      <c r="KY284" s="4"/>
      <c r="KZ284" s="4"/>
      <c r="LA284" s="4"/>
      <c r="LB284" s="4"/>
      <c r="LC284" s="4"/>
      <c r="LD284" s="4"/>
      <c r="LE284" s="4"/>
      <c r="LF284" s="4"/>
      <c r="LG284" s="4"/>
      <c r="LH284" s="4"/>
      <c r="LI284" s="4"/>
      <c r="LJ284" s="4"/>
      <c r="LK284" s="4"/>
      <c r="LL284" s="4"/>
      <c r="LM284" s="4"/>
    </row>
    <row r="285">
      <c r="A285" s="3" t="s">
        <v>136</v>
      </c>
      <c r="B285" s="3" t="s">
        <v>193</v>
      </c>
      <c r="C285" s="3" t="s">
        <v>138</v>
      </c>
      <c r="D285" s="3" t="s">
        <v>139</v>
      </c>
      <c r="E285" s="3" t="s">
        <v>196</v>
      </c>
      <c r="F285" s="3" t="s">
        <v>196</v>
      </c>
      <c r="G285" s="3" t="s">
        <v>196</v>
      </c>
      <c r="H285" s="3" t="s">
        <v>197</v>
      </c>
      <c r="I285" s="3" t="s">
        <v>230</v>
      </c>
      <c r="J285" s="3" t="s">
        <v>241</v>
      </c>
      <c r="K285" s="4">
        <v>134</v>
      </c>
      <c r="L285" s="4">
        <f>=ROUNDDOWN(12.6415094339623,0)</f>
      </c>
      <c r="M285" s="4"/>
      <c r="N285" s="5"/>
      <c r="O285" s="4"/>
      <c r="P285" s="4">
        <f>=ROUNDDOWN({0},0)</f>
      </c>
      <c r="Q285" s="4"/>
      <c r="R285" s="5"/>
      <c r="S285" s="4">
        <v>143</v>
      </c>
      <c r="T285" s="6">
        <v>6048.63</v>
      </c>
      <c r="U285" s="4">
        <v>126</v>
      </c>
      <c r="V285" s="6">
        <v>5345.16</v>
      </c>
      <c r="W285" s="5">
        <v>0.1349</v>
      </c>
      <c r="X285" s="5">
        <v>0.1316</v>
      </c>
      <c r="Y285" s="4">
        <v>6</v>
      </c>
      <c r="Z285" s="6">
        <v>250.74</v>
      </c>
      <c r="AA285" s="4">
        <v>24</v>
      </c>
      <c r="AB285" s="6">
        <v>1041.36</v>
      </c>
      <c r="AC285" s="5">
        <v>-0.75</v>
      </c>
      <c r="AD285" s="5">
        <v>-0.7592</v>
      </c>
      <c r="AE285" s="4">
        <v>40</v>
      </c>
      <c r="AF285" s="6">
        <v>1671.28</v>
      </c>
      <c r="AG285" s="4">
        <v>24</v>
      </c>
      <c r="AH285" s="6">
        <v>999.96</v>
      </c>
      <c r="AI285" s="5">
        <v>0.6667</v>
      </c>
      <c r="AJ285" s="5">
        <v>0.6713</v>
      </c>
      <c r="AK285" s="4"/>
      <c r="AL285" s="6"/>
      <c r="AM285" s="4"/>
      <c r="AN285" s="6"/>
      <c r="AO285" s="5"/>
      <c r="AP285" s="5"/>
      <c r="AQ285" s="4">
        <v>26</v>
      </c>
      <c r="AR285" s="6">
        <v>1031</v>
      </c>
      <c r="AS285" s="4"/>
      <c r="AT285" s="6"/>
      <c r="AU285" s="5"/>
      <c r="AV285" s="5"/>
      <c r="AW285" s="4">
        <v>30</v>
      </c>
      <c r="AX285" s="6">
        <v>1277.84</v>
      </c>
      <c r="AY285" s="4">
        <v>11</v>
      </c>
      <c r="AZ285" s="6">
        <v>464.05</v>
      </c>
      <c r="BA285" s="5">
        <v>1.7273</v>
      </c>
      <c r="BB285" s="5">
        <v>1.7537</v>
      </c>
      <c r="BC285" s="4"/>
      <c r="BD285" s="6"/>
      <c r="BE285" s="4"/>
      <c r="BF285" s="6"/>
      <c r="BG285" s="5"/>
      <c r="BH285" s="5"/>
      <c r="BI285" s="4">
        <v>14</v>
      </c>
      <c r="BJ285" s="6">
        <v>586.4</v>
      </c>
      <c r="BK285" s="4">
        <v>14</v>
      </c>
      <c r="BL285" s="6">
        <v>550.16</v>
      </c>
      <c r="BM285" s="5"/>
      <c r="BN285" s="5">
        <v>0.0659</v>
      </c>
      <c r="BO285" s="4"/>
      <c r="BP285" s="6"/>
      <c r="BQ285" s="4">
        <v>7</v>
      </c>
      <c r="BR285" s="6">
        <v>286.31</v>
      </c>
      <c r="BS285" s="5"/>
      <c r="BT285" s="5"/>
      <c r="BU285" s="4">
        <v>11</v>
      </c>
      <c r="BV285" s="6">
        <v>465.99</v>
      </c>
      <c r="BW285" s="4">
        <v>17</v>
      </c>
      <c r="BX285" s="6">
        <v>701.05</v>
      </c>
      <c r="BY285" s="5">
        <v>-0.3529</v>
      </c>
      <c r="BZ285" s="5">
        <v>-0.3353</v>
      </c>
      <c r="CA285" s="4">
        <v>8</v>
      </c>
      <c r="CB285" s="6">
        <v>439.45</v>
      </c>
      <c r="CC285" s="4">
        <v>9</v>
      </c>
      <c r="CD285" s="6">
        <v>388.91</v>
      </c>
      <c r="CE285" s="5">
        <v>-0.1111</v>
      </c>
      <c r="CF285" s="5">
        <v>0.13</v>
      </c>
      <c r="CG285" s="4"/>
      <c r="CH285" s="6"/>
      <c r="CI285" s="4"/>
      <c r="CJ285" s="6"/>
      <c r="CK285" s="5"/>
      <c r="CL285" s="5"/>
      <c r="CM285" s="4"/>
      <c r="CN285" s="6"/>
      <c r="CO285" s="4"/>
      <c r="CP285" s="6"/>
      <c r="CQ285" s="5"/>
      <c r="CR285" s="5"/>
      <c r="CS285" s="4">
        <v>7</v>
      </c>
      <c r="CT285" s="6">
        <v>280.41</v>
      </c>
      <c r="CU285" s="4"/>
      <c r="CV285" s="6"/>
      <c r="CW285" s="5"/>
      <c r="CX285" s="5"/>
      <c r="CY285" s="4"/>
      <c r="CZ285" s="6"/>
      <c r="DA285" s="4"/>
      <c r="DB285" s="6"/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>
        <v>2</v>
      </c>
      <c r="DN285" s="6">
        <v>159.98</v>
      </c>
      <c r="DO285" s="5"/>
      <c r="DP285" s="5"/>
      <c r="DQ285" s="4"/>
      <c r="DR285" s="6"/>
      <c r="DS285" s="4"/>
      <c r="DT285" s="6"/>
      <c r="DU285" s="5"/>
      <c r="DV285" s="5"/>
      <c r="DW285" s="4"/>
      <c r="DX285" s="6"/>
      <c r="DY285" s="4"/>
      <c r="DZ285" s="6"/>
      <c r="EA285" s="5"/>
      <c r="EB285" s="5"/>
      <c r="EC285" s="4"/>
      <c r="ED285" s="6"/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>
        <v>1</v>
      </c>
      <c r="EV285" s="6">
        <v>45.52</v>
      </c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/>
      <c r="FJ285" s="6"/>
      <c r="FK285" s="5"/>
      <c r="FL285" s="5"/>
      <c r="FM285" s="4"/>
      <c r="FN285" s="6"/>
      <c r="FO285" s="4"/>
      <c r="FP285" s="6"/>
      <c r="FQ285" s="5"/>
      <c r="FR285" s="5"/>
      <c r="FS285" s="4"/>
      <c r="FT285" s="6"/>
      <c r="FU285" s="4">
        <v>18</v>
      </c>
      <c r="FV285" s="6">
        <v>753.38</v>
      </c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  <c r="IA285" s="4"/>
      <c r="IB285" s="6"/>
      <c r="IC285" s="4"/>
      <c r="ID285" s="6"/>
      <c r="IE285" s="5"/>
      <c r="IF285" s="5"/>
      <c r="IG285" s="4"/>
      <c r="IH285" s="6"/>
      <c r="II285" s="4"/>
      <c r="IJ285" s="6"/>
      <c r="IK285" s="5"/>
      <c r="IL285" s="5"/>
      <c r="IM285" s="4"/>
      <c r="IN285" s="6"/>
      <c r="IO285" s="4"/>
      <c r="IP285" s="6"/>
      <c r="IQ285" s="5"/>
      <c r="IR285" s="5"/>
      <c r="IS285" s="4"/>
      <c r="IT285" s="6"/>
      <c r="IU285" s="4"/>
      <c r="IV285" s="6"/>
      <c r="IW285" s="5"/>
      <c r="IX285" s="5"/>
      <c r="IY285" s="4"/>
      <c r="IZ285" s="6"/>
      <c r="JA285" s="4"/>
      <c r="JB285" s="6"/>
      <c r="JC285" s="5"/>
      <c r="JD285" s="5"/>
      <c r="JE285" s="4"/>
      <c r="JF285" s="6"/>
      <c r="JG285" s="4"/>
      <c r="JH285" s="6"/>
      <c r="JI285" s="5"/>
      <c r="JJ285" s="5"/>
      <c r="JK285" s="4">
        <v>134</v>
      </c>
      <c r="JL285" s="4"/>
      <c r="JM285" s="4"/>
      <c r="JN285" s="4"/>
      <c r="JO285" s="4"/>
      <c r="JP285" s="4"/>
      <c r="JQ285" s="4"/>
      <c r="JR285" s="4"/>
      <c r="JS285" s="4"/>
      <c r="JT285" s="4"/>
      <c r="JU285" s="4"/>
      <c r="JV285" s="4"/>
      <c r="JW285" s="4"/>
      <c r="JX285" s="4"/>
      <c r="JY285" s="4"/>
      <c r="JZ285" s="4"/>
      <c r="KA285" s="4"/>
      <c r="KB285" s="4"/>
      <c r="KC285" s="4"/>
      <c r="KD285" s="4"/>
      <c r="KE285" s="4"/>
      <c r="KF285" s="4"/>
      <c r="KG285" s="4"/>
      <c r="KH285" s="4"/>
      <c r="KI285" s="4"/>
      <c r="KJ285" s="4"/>
      <c r="KK285" s="4"/>
      <c r="KL285" s="4"/>
      <c r="KM285" s="4"/>
      <c r="KN285" s="4"/>
      <c r="KO285" s="4"/>
      <c r="KP285" s="4"/>
      <c r="KQ285" s="4"/>
      <c r="KR285" s="4"/>
      <c r="KS285" s="4"/>
      <c r="KT285" s="4"/>
      <c r="KU285" s="4"/>
      <c r="KV285" s="4"/>
      <c r="KW285" s="4"/>
      <c r="KX285" s="4"/>
      <c r="KY285" s="4"/>
      <c r="KZ285" s="4"/>
      <c r="LA285" s="4"/>
      <c r="LB285" s="4"/>
      <c r="LC285" s="4"/>
      <c r="LD285" s="4"/>
      <c r="LE285" s="4"/>
      <c r="LF285" s="4"/>
      <c r="LG285" s="4"/>
      <c r="LH285" s="4"/>
      <c r="LI285" s="4"/>
      <c r="LJ285" s="4"/>
      <c r="LK285" s="4"/>
      <c r="LL285" s="4"/>
      <c r="LM285" s="4"/>
    </row>
    <row r="286">
      <c r="A286" s="3" t="s">
        <v>136</v>
      </c>
      <c r="B286" s="3" t="s">
        <v>193</v>
      </c>
      <c r="C286" s="3" t="s">
        <v>138</v>
      </c>
      <c r="D286" s="3" t="s">
        <v>139</v>
      </c>
      <c r="E286" s="3" t="s">
        <v>196</v>
      </c>
      <c r="F286" s="3" t="s">
        <v>196</v>
      </c>
      <c r="G286" s="3" t="s">
        <v>196</v>
      </c>
      <c r="H286" s="3" t="s">
        <v>197</v>
      </c>
      <c r="I286" s="3" t="s">
        <v>227</v>
      </c>
      <c r="J286" s="3" t="s">
        <v>241</v>
      </c>
      <c r="K286" s="4">
        <v>194</v>
      </c>
      <c r="L286" s="4">
        <f>=ROUNDDOWN(19.5959595959596,0)</f>
      </c>
      <c r="M286" s="4"/>
      <c r="N286" s="5"/>
      <c r="O286" s="4"/>
      <c r="P286" s="4">
        <f>=ROUNDDOWN({0},0)</f>
      </c>
      <c r="Q286" s="4"/>
      <c r="R286" s="5"/>
      <c r="S286" s="4">
        <v>133</v>
      </c>
      <c r="T286" s="6">
        <v>5896.01</v>
      </c>
      <c r="U286" s="4">
        <v>132</v>
      </c>
      <c r="V286" s="6">
        <v>5582.92</v>
      </c>
      <c r="W286" s="5">
        <v>0.0076</v>
      </c>
      <c r="X286" s="5">
        <v>0.0561</v>
      </c>
      <c r="Y286" s="4">
        <v>20</v>
      </c>
      <c r="Z286" s="6">
        <v>839.35</v>
      </c>
      <c r="AA286" s="4">
        <v>24</v>
      </c>
      <c r="AB286" s="6">
        <v>1010.61</v>
      </c>
      <c r="AC286" s="5">
        <v>-0.1667</v>
      </c>
      <c r="AD286" s="5">
        <v>-0.1695</v>
      </c>
      <c r="AE286" s="4">
        <v>34</v>
      </c>
      <c r="AF286" s="6">
        <v>1445.14</v>
      </c>
      <c r="AG286" s="4">
        <v>33</v>
      </c>
      <c r="AH286" s="6">
        <v>1396.74</v>
      </c>
      <c r="AI286" s="5">
        <v>0.0303</v>
      </c>
      <c r="AJ286" s="5">
        <v>0.0347</v>
      </c>
      <c r="AK286" s="4"/>
      <c r="AL286" s="6"/>
      <c r="AM286" s="4"/>
      <c r="AN286" s="6"/>
      <c r="AO286" s="5"/>
      <c r="AP286" s="5"/>
      <c r="AQ286" s="4">
        <v>8</v>
      </c>
      <c r="AR286" s="6">
        <v>307.52</v>
      </c>
      <c r="AS286" s="4"/>
      <c r="AT286" s="6"/>
      <c r="AU286" s="5"/>
      <c r="AV286" s="5"/>
      <c r="AW286" s="4">
        <v>23</v>
      </c>
      <c r="AX286" s="6">
        <v>992.78</v>
      </c>
      <c r="AY286" s="4">
        <v>7</v>
      </c>
      <c r="AZ286" s="6">
        <v>299.84</v>
      </c>
      <c r="BA286" s="5">
        <v>2.2857</v>
      </c>
      <c r="BB286" s="5">
        <v>2.311</v>
      </c>
      <c r="BC286" s="4"/>
      <c r="BD286" s="6"/>
      <c r="BE286" s="4"/>
      <c r="BF286" s="6"/>
      <c r="BG286" s="5"/>
      <c r="BH286" s="5"/>
      <c r="BI286" s="4">
        <v>8</v>
      </c>
      <c r="BJ286" s="6">
        <v>314</v>
      </c>
      <c r="BK286" s="4">
        <v>5</v>
      </c>
      <c r="BL286" s="6">
        <v>198.59</v>
      </c>
      <c r="BM286" s="5">
        <v>0.6</v>
      </c>
      <c r="BN286" s="5">
        <v>0.5811</v>
      </c>
      <c r="BO286" s="4">
        <v>5</v>
      </c>
      <c r="BP286" s="6">
        <v>174.73</v>
      </c>
      <c r="BQ286" s="4">
        <v>11</v>
      </c>
      <c r="BR286" s="6">
        <v>402.42</v>
      </c>
      <c r="BS286" s="5">
        <v>-0.5455</v>
      </c>
      <c r="BT286" s="5">
        <v>-0.5658</v>
      </c>
      <c r="BU286" s="4">
        <v>5</v>
      </c>
      <c r="BV286" s="6">
        <v>215.71</v>
      </c>
      <c r="BW286" s="4">
        <v>25</v>
      </c>
      <c r="BX286" s="6">
        <v>1048.11</v>
      </c>
      <c r="BY286" s="5">
        <v>-0.8</v>
      </c>
      <c r="BZ286" s="5">
        <v>-0.7942</v>
      </c>
      <c r="CA286" s="4">
        <v>30</v>
      </c>
      <c r="CB286" s="6">
        <v>1606.78</v>
      </c>
      <c r="CC286" s="4">
        <v>18</v>
      </c>
      <c r="CD286" s="6">
        <v>832.52</v>
      </c>
      <c r="CE286" s="5">
        <v>0.6667</v>
      </c>
      <c r="CF286" s="5">
        <v>0.93</v>
      </c>
      <c r="CG286" s="4"/>
      <c r="CH286" s="6"/>
      <c r="CI286" s="4"/>
      <c r="CJ286" s="6"/>
      <c r="CK286" s="5"/>
      <c r="CL286" s="5"/>
      <c r="CM286" s="4"/>
      <c r="CN286" s="6"/>
      <c r="CO286" s="4"/>
      <c r="CP286" s="6"/>
      <c r="CQ286" s="5"/>
      <c r="CR286" s="5"/>
      <c r="CS286" s="4"/>
      <c r="CT286" s="6"/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/>
      <c r="DF286" s="6"/>
      <c r="DG286" s="4"/>
      <c r="DH286" s="6"/>
      <c r="DI286" s="5"/>
      <c r="DJ286" s="5"/>
      <c r="DK286" s="4"/>
      <c r="DL286" s="6"/>
      <c r="DM286" s="4">
        <v>1</v>
      </c>
      <c r="DN286" s="6">
        <v>69.99</v>
      </c>
      <c r="DO286" s="5"/>
      <c r="DP286" s="5"/>
      <c r="DQ286" s="4"/>
      <c r="DR286" s="6"/>
      <c r="DS286" s="4"/>
      <c r="DT286" s="6"/>
      <c r="DU286" s="5"/>
      <c r="DV286" s="5"/>
      <c r="DW286" s="4"/>
      <c r="DX286" s="6"/>
      <c r="DY286" s="4"/>
      <c r="DZ286" s="6"/>
      <c r="EA286" s="5"/>
      <c r="EB286" s="5"/>
      <c r="EC286" s="4"/>
      <c r="ED286" s="6"/>
      <c r="EE286" s="4"/>
      <c r="EF286" s="6"/>
      <c r="EG286" s="5"/>
      <c r="EH286" s="5"/>
      <c r="EI286" s="4"/>
      <c r="EJ286" s="6"/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/>
      <c r="FN286" s="6"/>
      <c r="FO286" s="4"/>
      <c r="FP286" s="6"/>
      <c r="FQ286" s="5"/>
      <c r="FR286" s="5"/>
      <c r="FS286" s="4"/>
      <c r="FT286" s="6"/>
      <c r="FU286" s="4">
        <v>8</v>
      </c>
      <c r="FV286" s="6">
        <v>324.1</v>
      </c>
      <c r="FW286" s="5"/>
      <c r="FX286" s="5"/>
      <c r="FY286" s="4"/>
      <c r="FZ286" s="6"/>
      <c r="GA286" s="4"/>
      <c r="GB286" s="6"/>
      <c r="GC286" s="5"/>
      <c r="GD286" s="5"/>
      <c r="GE286" s="4"/>
      <c r="GF286" s="6"/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  <c r="IA286" s="4"/>
      <c r="IB286" s="6"/>
      <c r="IC286" s="4"/>
      <c r="ID286" s="6"/>
      <c r="IE286" s="5"/>
      <c r="IF286" s="5"/>
      <c r="IG286" s="4"/>
      <c r="IH286" s="6"/>
      <c r="II286" s="4"/>
      <c r="IJ286" s="6"/>
      <c r="IK286" s="5"/>
      <c r="IL286" s="5"/>
      <c r="IM286" s="4"/>
      <c r="IN286" s="6"/>
      <c r="IO286" s="4"/>
      <c r="IP286" s="6"/>
      <c r="IQ286" s="5"/>
      <c r="IR286" s="5"/>
      <c r="IS286" s="4"/>
      <c r="IT286" s="6"/>
      <c r="IU286" s="4"/>
      <c r="IV286" s="6"/>
      <c r="IW286" s="5"/>
      <c r="IX286" s="5"/>
      <c r="IY286" s="4"/>
      <c r="IZ286" s="6"/>
      <c r="JA286" s="4"/>
      <c r="JB286" s="6"/>
      <c r="JC286" s="5"/>
      <c r="JD286" s="5"/>
      <c r="JE286" s="4"/>
      <c r="JF286" s="6"/>
      <c r="JG286" s="4"/>
      <c r="JH286" s="6"/>
      <c r="JI286" s="5"/>
      <c r="JJ286" s="5"/>
      <c r="JK286" s="4">
        <v>194</v>
      </c>
      <c r="JL286" s="4"/>
      <c r="JM286" s="4"/>
      <c r="JN286" s="4"/>
      <c r="JO286" s="4"/>
      <c r="JP286" s="4"/>
      <c r="JQ286" s="4"/>
      <c r="JR286" s="4"/>
      <c r="JS286" s="4"/>
      <c r="JT286" s="4"/>
      <c r="JU286" s="4"/>
      <c r="JV286" s="4"/>
      <c r="JW286" s="4"/>
      <c r="JX286" s="4"/>
      <c r="JY286" s="4"/>
      <c r="JZ286" s="4"/>
      <c r="KA286" s="4"/>
      <c r="KB286" s="4"/>
      <c r="KC286" s="4"/>
      <c r="KD286" s="4"/>
      <c r="KE286" s="4"/>
      <c r="KF286" s="4"/>
      <c r="KG286" s="4"/>
      <c r="KH286" s="4"/>
      <c r="KI286" s="4"/>
      <c r="KJ286" s="4"/>
      <c r="KK286" s="4"/>
      <c r="KL286" s="4"/>
      <c r="KM286" s="4"/>
      <c r="KN286" s="4"/>
      <c r="KO286" s="4"/>
      <c r="KP286" s="4"/>
      <c r="KQ286" s="4"/>
      <c r="KR286" s="4"/>
      <c r="KS286" s="4"/>
      <c r="KT286" s="4"/>
      <c r="KU286" s="4"/>
      <c r="KV286" s="4"/>
      <c r="KW286" s="4"/>
      <c r="KX286" s="4"/>
      <c r="KY286" s="4"/>
      <c r="KZ286" s="4"/>
      <c r="LA286" s="4"/>
      <c r="LB286" s="4"/>
      <c r="LC286" s="4"/>
      <c r="LD286" s="4"/>
      <c r="LE286" s="4"/>
      <c r="LF286" s="4"/>
      <c r="LG286" s="4"/>
      <c r="LH286" s="4"/>
      <c r="LI286" s="4"/>
      <c r="LJ286" s="4"/>
      <c r="LK286" s="4"/>
      <c r="LL286" s="4"/>
      <c r="LM286" s="4"/>
    </row>
    <row r="287">
      <c r="A287" s="3" t="s">
        <v>136</v>
      </c>
      <c r="B287" s="3" t="s">
        <v>193</v>
      </c>
      <c r="C287" s="3" t="s">
        <v>138</v>
      </c>
      <c r="D287" s="3" t="s">
        <v>139</v>
      </c>
      <c r="E287" s="3" t="s">
        <v>196</v>
      </c>
      <c r="F287" s="3" t="s">
        <v>196</v>
      </c>
      <c r="G287" s="3" t="s">
        <v>196</v>
      </c>
      <c r="H287" s="3" t="s">
        <v>197</v>
      </c>
      <c r="I287" s="3" t="s">
        <v>234</v>
      </c>
      <c r="J287" s="3" t="s">
        <v>241</v>
      </c>
      <c r="K287" s="4">
        <v>261</v>
      </c>
      <c r="L287" s="4">
        <f>=ROUNDDOWN(33.4615384615385,0)</f>
      </c>
      <c r="M287" s="4"/>
      <c r="N287" s="5"/>
      <c r="O287" s="4"/>
      <c r="P287" s="4">
        <f>=ROUNDDOWN({0},0)</f>
      </c>
      <c r="Q287" s="4"/>
      <c r="R287" s="5"/>
      <c r="S287" s="4">
        <v>100</v>
      </c>
      <c r="T287" s="6">
        <v>4109.58</v>
      </c>
      <c r="U287" s="4">
        <v>108</v>
      </c>
      <c r="V287" s="6">
        <v>4603.71</v>
      </c>
      <c r="W287" s="5">
        <v>-0.0741</v>
      </c>
      <c r="X287" s="5">
        <v>-0.1073</v>
      </c>
      <c r="Y287" s="4">
        <v>15</v>
      </c>
      <c r="Z287" s="6">
        <v>611.4</v>
      </c>
      <c r="AA287" s="4">
        <v>26</v>
      </c>
      <c r="AB287" s="6">
        <v>1120.84</v>
      </c>
      <c r="AC287" s="5">
        <v>-0.4231</v>
      </c>
      <c r="AD287" s="5">
        <v>-0.4545</v>
      </c>
      <c r="AE287" s="4">
        <v>20</v>
      </c>
      <c r="AF287" s="6">
        <v>839.18</v>
      </c>
      <c r="AG287" s="4">
        <v>11</v>
      </c>
      <c r="AH287" s="6">
        <v>479.36</v>
      </c>
      <c r="AI287" s="5">
        <v>0.8182</v>
      </c>
      <c r="AJ287" s="5">
        <v>0.7506</v>
      </c>
      <c r="AK287" s="4"/>
      <c r="AL287" s="6"/>
      <c r="AM287" s="4"/>
      <c r="AN287" s="6"/>
      <c r="AO287" s="5"/>
      <c r="AP287" s="5"/>
      <c r="AQ287" s="4">
        <v>6</v>
      </c>
      <c r="AR287" s="6">
        <v>230.64</v>
      </c>
      <c r="AS287" s="4"/>
      <c r="AT287" s="6"/>
      <c r="AU287" s="5"/>
      <c r="AV287" s="5"/>
      <c r="AW287" s="4">
        <v>33</v>
      </c>
      <c r="AX287" s="6">
        <v>1435.07</v>
      </c>
      <c r="AY287" s="4">
        <v>21</v>
      </c>
      <c r="AZ287" s="6">
        <v>890.14</v>
      </c>
      <c r="BA287" s="5">
        <v>0.5714</v>
      </c>
      <c r="BB287" s="5">
        <v>0.6122</v>
      </c>
      <c r="BC287" s="4"/>
      <c r="BD287" s="6"/>
      <c r="BE287" s="4"/>
      <c r="BF287" s="6"/>
      <c r="BG287" s="5"/>
      <c r="BH287" s="5"/>
      <c r="BI287" s="4">
        <v>7</v>
      </c>
      <c r="BJ287" s="6">
        <v>279.1</v>
      </c>
      <c r="BK287" s="4">
        <v>9</v>
      </c>
      <c r="BL287" s="6">
        <v>355.59</v>
      </c>
      <c r="BM287" s="5">
        <v>-0.2222</v>
      </c>
      <c r="BN287" s="5">
        <v>-0.2151</v>
      </c>
      <c r="BO287" s="4">
        <v>7</v>
      </c>
      <c r="BP287" s="6">
        <v>225.86</v>
      </c>
      <c r="BQ287" s="4">
        <v>7</v>
      </c>
      <c r="BR287" s="6">
        <v>285.19</v>
      </c>
      <c r="BS287" s="5"/>
      <c r="BT287" s="5">
        <v>-0.208</v>
      </c>
      <c r="BU287" s="4">
        <v>6</v>
      </c>
      <c r="BV287" s="6">
        <v>254.42</v>
      </c>
      <c r="BW287" s="4">
        <v>13</v>
      </c>
      <c r="BX287" s="6">
        <v>542.01</v>
      </c>
      <c r="BY287" s="5">
        <v>-0.5385</v>
      </c>
      <c r="BZ287" s="5">
        <v>-0.5306</v>
      </c>
      <c r="CA287" s="4">
        <v>1</v>
      </c>
      <c r="CB287" s="6">
        <v>35.82</v>
      </c>
      <c r="CC287" s="4">
        <v>11</v>
      </c>
      <c r="CD287" s="6">
        <v>455.77</v>
      </c>
      <c r="CE287" s="5">
        <v>-0.9091</v>
      </c>
      <c r="CF287" s="5">
        <v>-0.9214</v>
      </c>
      <c r="CG287" s="4"/>
      <c r="CH287" s="6"/>
      <c r="CI287" s="4"/>
      <c r="CJ287" s="6"/>
      <c r="CK287" s="5"/>
      <c r="CL287" s="5"/>
      <c r="CM287" s="4"/>
      <c r="CN287" s="6"/>
      <c r="CO287" s="4"/>
      <c r="CP287" s="6"/>
      <c r="CQ287" s="5"/>
      <c r="CR287" s="5"/>
      <c r="CS287" s="4">
        <v>5</v>
      </c>
      <c r="CT287" s="6">
        <v>198.09</v>
      </c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/>
      <c r="DH287" s="6"/>
      <c r="DI287" s="5"/>
      <c r="DJ287" s="5"/>
      <c r="DK287" s="4"/>
      <c r="DL287" s="6"/>
      <c r="DM287" s="4">
        <v>1</v>
      </c>
      <c r="DN287" s="6">
        <v>74.99</v>
      </c>
      <c r="DO287" s="5"/>
      <c r="DP287" s="5"/>
      <c r="DQ287" s="4"/>
      <c r="DR287" s="6"/>
      <c r="DS287" s="4"/>
      <c r="DT287" s="6"/>
      <c r="DU287" s="5"/>
      <c r="DV287" s="5"/>
      <c r="DW287" s="4"/>
      <c r="DX287" s="6"/>
      <c r="DY287" s="4"/>
      <c r="DZ287" s="6"/>
      <c r="EA287" s="5"/>
      <c r="EB287" s="5"/>
      <c r="EC287" s="4"/>
      <c r="ED287" s="6"/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>
        <v>9</v>
      </c>
      <c r="FV287" s="6">
        <v>399.82</v>
      </c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  <c r="IA287" s="4"/>
      <c r="IB287" s="6"/>
      <c r="IC287" s="4"/>
      <c r="ID287" s="6"/>
      <c r="IE287" s="5"/>
      <c r="IF287" s="5"/>
      <c r="IG287" s="4"/>
      <c r="IH287" s="6"/>
      <c r="II287" s="4"/>
      <c r="IJ287" s="6"/>
      <c r="IK287" s="5"/>
      <c r="IL287" s="5"/>
      <c r="IM287" s="4"/>
      <c r="IN287" s="6"/>
      <c r="IO287" s="4"/>
      <c r="IP287" s="6"/>
      <c r="IQ287" s="5"/>
      <c r="IR287" s="5"/>
      <c r="IS287" s="4"/>
      <c r="IT287" s="6"/>
      <c r="IU287" s="4"/>
      <c r="IV287" s="6"/>
      <c r="IW287" s="5"/>
      <c r="IX287" s="5"/>
      <c r="IY287" s="4"/>
      <c r="IZ287" s="6"/>
      <c r="JA287" s="4"/>
      <c r="JB287" s="6"/>
      <c r="JC287" s="5"/>
      <c r="JD287" s="5"/>
      <c r="JE287" s="4"/>
      <c r="JF287" s="6"/>
      <c r="JG287" s="4"/>
      <c r="JH287" s="6"/>
      <c r="JI287" s="5"/>
      <c r="JJ287" s="5"/>
      <c r="JK287" s="4">
        <v>261</v>
      </c>
      <c r="JL287" s="4"/>
      <c r="JM287" s="4"/>
      <c r="JN287" s="4"/>
      <c r="JO287" s="4"/>
      <c r="JP287" s="4"/>
      <c r="JQ287" s="4"/>
      <c r="JR287" s="4"/>
      <c r="JS287" s="4"/>
      <c r="JT287" s="4"/>
      <c r="JU287" s="4"/>
      <c r="JV287" s="4"/>
      <c r="JW287" s="4"/>
      <c r="JX287" s="4"/>
      <c r="JY287" s="4"/>
      <c r="JZ287" s="4"/>
      <c r="KA287" s="4"/>
      <c r="KB287" s="4"/>
      <c r="KC287" s="4"/>
      <c r="KD287" s="4"/>
      <c r="KE287" s="4"/>
      <c r="KF287" s="4"/>
      <c r="KG287" s="4"/>
      <c r="KH287" s="4"/>
      <c r="KI287" s="4"/>
      <c r="KJ287" s="4"/>
      <c r="KK287" s="4"/>
      <c r="KL287" s="4"/>
      <c r="KM287" s="4"/>
      <c r="KN287" s="4"/>
      <c r="KO287" s="4"/>
      <c r="KP287" s="4"/>
      <c r="KQ287" s="4"/>
      <c r="KR287" s="4"/>
      <c r="KS287" s="4"/>
      <c r="KT287" s="4"/>
      <c r="KU287" s="4"/>
      <c r="KV287" s="4"/>
      <c r="KW287" s="4"/>
      <c r="KX287" s="4"/>
      <c r="KY287" s="4"/>
      <c r="KZ287" s="4"/>
      <c r="LA287" s="4"/>
      <c r="LB287" s="4"/>
      <c r="LC287" s="4"/>
      <c r="LD287" s="4"/>
      <c r="LE287" s="4"/>
      <c r="LF287" s="4"/>
      <c r="LG287" s="4"/>
      <c r="LH287" s="4"/>
      <c r="LI287" s="4"/>
      <c r="LJ287" s="4"/>
      <c r="LK287" s="4"/>
      <c r="LL287" s="4"/>
      <c r="LM287" s="4"/>
    </row>
    <row r="288">
      <c r="A288" s="3" t="s">
        <v>136</v>
      </c>
      <c r="B288" s="3" t="s">
        <v>193</v>
      </c>
      <c r="C288" s="3" t="s">
        <v>138</v>
      </c>
      <c r="D288" s="3" t="s">
        <v>139</v>
      </c>
      <c r="E288" s="3" t="s">
        <v>196</v>
      </c>
      <c r="F288" s="3" t="s">
        <v>196</v>
      </c>
      <c r="G288" s="3" t="s">
        <v>196</v>
      </c>
      <c r="H288" s="3" t="s">
        <v>197</v>
      </c>
      <c r="I288" s="3" t="s">
        <v>229</v>
      </c>
      <c r="J288" s="3" t="s">
        <v>241</v>
      </c>
      <c r="K288" s="4">
        <v>225</v>
      </c>
      <c r="L288" s="4">
        <f>=ROUNDDOWN(32.6086956521739,0)</f>
      </c>
      <c r="M288" s="4"/>
      <c r="N288" s="5"/>
      <c r="O288" s="4"/>
      <c r="P288" s="4">
        <f>=ROUNDDOWN({0},0)</f>
      </c>
      <c r="Q288" s="4"/>
      <c r="R288" s="5"/>
      <c r="S288" s="4">
        <v>83</v>
      </c>
      <c r="T288" s="6">
        <v>3564.51</v>
      </c>
      <c r="U288" s="4">
        <v>123</v>
      </c>
      <c r="V288" s="6">
        <v>5281.22</v>
      </c>
      <c r="W288" s="5">
        <v>-0.3252</v>
      </c>
      <c r="X288" s="5">
        <v>-0.3251</v>
      </c>
      <c r="Y288" s="4">
        <v>13</v>
      </c>
      <c r="Z288" s="6">
        <v>542.72</v>
      </c>
      <c r="AA288" s="4">
        <v>31</v>
      </c>
      <c r="AB288" s="6">
        <v>1327.19</v>
      </c>
      <c r="AC288" s="5">
        <v>-0.5806</v>
      </c>
      <c r="AD288" s="5">
        <v>-0.5911</v>
      </c>
      <c r="AE288" s="4">
        <v>27</v>
      </c>
      <c r="AF288" s="6">
        <v>1126.5</v>
      </c>
      <c r="AG288" s="4">
        <v>27</v>
      </c>
      <c r="AH288" s="6">
        <v>1156.38</v>
      </c>
      <c r="AI288" s="5"/>
      <c r="AJ288" s="5">
        <v>-0.0258</v>
      </c>
      <c r="AK288" s="4"/>
      <c r="AL288" s="6"/>
      <c r="AM288" s="4"/>
      <c r="AN288" s="6"/>
      <c r="AO288" s="5"/>
      <c r="AP288" s="5"/>
      <c r="AQ288" s="4"/>
      <c r="AR288" s="6"/>
      <c r="AS288" s="4"/>
      <c r="AT288" s="6"/>
      <c r="AU288" s="5"/>
      <c r="AV288" s="5"/>
      <c r="AW288" s="4">
        <v>17</v>
      </c>
      <c r="AX288" s="6">
        <v>739.57</v>
      </c>
      <c r="AY288" s="4">
        <v>15</v>
      </c>
      <c r="AZ288" s="6">
        <v>640.2</v>
      </c>
      <c r="BA288" s="5">
        <v>0.1333</v>
      </c>
      <c r="BB288" s="5">
        <v>0.1552</v>
      </c>
      <c r="BC288" s="4"/>
      <c r="BD288" s="6"/>
      <c r="BE288" s="4"/>
      <c r="BF288" s="6"/>
      <c r="BG288" s="5"/>
      <c r="BH288" s="5"/>
      <c r="BI288" s="4">
        <v>5</v>
      </c>
      <c r="BJ288" s="6">
        <v>198.59</v>
      </c>
      <c r="BK288" s="4">
        <v>4</v>
      </c>
      <c r="BL288" s="6">
        <v>155.65</v>
      </c>
      <c r="BM288" s="5">
        <v>0.25</v>
      </c>
      <c r="BN288" s="5">
        <v>0.2759</v>
      </c>
      <c r="BO288" s="4">
        <v>3</v>
      </c>
      <c r="BP288" s="6">
        <v>98.63</v>
      </c>
      <c r="BQ288" s="4">
        <v>2</v>
      </c>
      <c r="BR288" s="6">
        <v>84.54</v>
      </c>
      <c r="BS288" s="5">
        <v>0.5</v>
      </c>
      <c r="BT288" s="5">
        <v>0.1667</v>
      </c>
      <c r="BU288" s="4">
        <v>7</v>
      </c>
      <c r="BV288" s="6">
        <v>298.67</v>
      </c>
      <c r="BW288" s="4">
        <v>22</v>
      </c>
      <c r="BX288" s="6">
        <v>925.04</v>
      </c>
      <c r="BY288" s="5">
        <v>-0.6818</v>
      </c>
      <c r="BZ288" s="5">
        <v>-0.6771</v>
      </c>
      <c r="CA288" s="4">
        <v>6</v>
      </c>
      <c r="CB288" s="6">
        <v>320.33</v>
      </c>
      <c r="CC288" s="4">
        <v>8</v>
      </c>
      <c r="CD288" s="6">
        <v>374.84</v>
      </c>
      <c r="CE288" s="5">
        <v>-0.25</v>
      </c>
      <c r="CF288" s="5">
        <v>-0.1454</v>
      </c>
      <c r="CG288" s="4">
        <v>5</v>
      </c>
      <c r="CH288" s="6">
        <v>239.5</v>
      </c>
      <c r="CI288" s="4">
        <v>7</v>
      </c>
      <c r="CJ288" s="6">
        <v>312.74</v>
      </c>
      <c r="CK288" s="5">
        <v>-0.2857</v>
      </c>
      <c r="CL288" s="5">
        <v>-0.2342</v>
      </c>
      <c r="CM288" s="4"/>
      <c r="CN288" s="6"/>
      <c r="CO288" s="4"/>
      <c r="CP288" s="6"/>
      <c r="CQ288" s="5"/>
      <c r="CR288" s="5"/>
      <c r="CS288" s="4"/>
      <c r="CT288" s="6"/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/>
      <c r="DH288" s="6"/>
      <c r="DI288" s="5"/>
      <c r="DJ288" s="5"/>
      <c r="DK288" s="4"/>
      <c r="DL288" s="6"/>
      <c r="DM288" s="4"/>
      <c r="DN288" s="6"/>
      <c r="DO288" s="5"/>
      <c r="DP288" s="5"/>
      <c r="DQ288" s="4"/>
      <c r="DR288" s="6"/>
      <c r="DS288" s="4"/>
      <c r="DT288" s="6"/>
      <c r="DU288" s="5"/>
      <c r="DV288" s="5"/>
      <c r="DW288" s="4"/>
      <c r="DX288" s="6"/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/>
      <c r="EX288" s="6"/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/>
      <c r="FN288" s="6"/>
      <c r="FO288" s="4"/>
      <c r="FP288" s="6"/>
      <c r="FQ288" s="5"/>
      <c r="FR288" s="5"/>
      <c r="FS288" s="4"/>
      <c r="FT288" s="6"/>
      <c r="FU288" s="4">
        <v>7</v>
      </c>
      <c r="FV288" s="6">
        <v>304.64</v>
      </c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  <c r="IA288" s="4"/>
      <c r="IB288" s="6"/>
      <c r="IC288" s="4"/>
      <c r="ID288" s="6"/>
      <c r="IE288" s="5"/>
      <c r="IF288" s="5"/>
      <c r="IG288" s="4"/>
      <c r="IH288" s="6"/>
      <c r="II288" s="4"/>
      <c r="IJ288" s="6"/>
      <c r="IK288" s="5"/>
      <c r="IL288" s="5"/>
      <c r="IM288" s="4"/>
      <c r="IN288" s="6"/>
      <c r="IO288" s="4"/>
      <c r="IP288" s="6"/>
      <c r="IQ288" s="5"/>
      <c r="IR288" s="5"/>
      <c r="IS288" s="4"/>
      <c r="IT288" s="6"/>
      <c r="IU288" s="4"/>
      <c r="IV288" s="6"/>
      <c r="IW288" s="5"/>
      <c r="IX288" s="5"/>
      <c r="IY288" s="4"/>
      <c r="IZ288" s="6"/>
      <c r="JA288" s="4"/>
      <c r="JB288" s="6"/>
      <c r="JC288" s="5"/>
      <c r="JD288" s="5"/>
      <c r="JE288" s="4"/>
      <c r="JF288" s="6"/>
      <c r="JG288" s="4"/>
      <c r="JH288" s="6"/>
      <c r="JI288" s="5"/>
      <c r="JJ288" s="5"/>
      <c r="JK288" s="4">
        <v>225</v>
      </c>
      <c r="JL288" s="4"/>
      <c r="JM288" s="4"/>
      <c r="JN288" s="4"/>
      <c r="JO288" s="4"/>
      <c r="JP288" s="4"/>
      <c r="JQ288" s="4"/>
      <c r="JR288" s="4"/>
      <c r="JS288" s="4"/>
      <c r="JT288" s="4"/>
      <c r="JU288" s="4"/>
      <c r="JV288" s="4"/>
      <c r="JW288" s="4"/>
      <c r="JX288" s="4"/>
      <c r="JY288" s="4"/>
      <c r="JZ288" s="4"/>
      <c r="KA288" s="4"/>
      <c r="KB288" s="4"/>
      <c r="KC288" s="4"/>
      <c r="KD288" s="4"/>
      <c r="KE288" s="4"/>
      <c r="KF288" s="4"/>
      <c r="KG288" s="4"/>
      <c r="KH288" s="4"/>
      <c r="KI288" s="4"/>
      <c r="KJ288" s="4"/>
      <c r="KK288" s="4"/>
      <c r="KL288" s="4"/>
      <c r="KM288" s="4"/>
      <c r="KN288" s="4"/>
      <c r="KO288" s="4"/>
      <c r="KP288" s="4"/>
      <c r="KQ288" s="4"/>
      <c r="KR288" s="4"/>
      <c r="KS288" s="4"/>
      <c r="KT288" s="4"/>
      <c r="KU288" s="4"/>
      <c r="KV288" s="4"/>
      <c r="KW288" s="4"/>
      <c r="KX288" s="4"/>
      <c r="KY288" s="4"/>
      <c r="KZ288" s="4"/>
      <c r="LA288" s="4"/>
      <c r="LB288" s="4"/>
      <c r="LC288" s="4"/>
      <c r="LD288" s="4"/>
      <c r="LE288" s="4"/>
      <c r="LF288" s="4"/>
      <c r="LG288" s="4"/>
      <c r="LH288" s="4"/>
      <c r="LI288" s="4"/>
      <c r="LJ288" s="4"/>
      <c r="LK288" s="4"/>
      <c r="LL288" s="4"/>
      <c r="LM288" s="4"/>
    </row>
    <row r="289">
      <c r="A289" s="3" t="s">
        <v>136</v>
      </c>
      <c r="B289" s="3" t="s">
        <v>193</v>
      </c>
      <c r="C289" s="3" t="s">
        <v>138</v>
      </c>
      <c r="D289" s="3" t="s">
        <v>139</v>
      </c>
      <c r="E289" s="3" t="s">
        <v>196</v>
      </c>
      <c r="F289" s="3" t="s">
        <v>196</v>
      </c>
      <c r="G289" s="3" t="s">
        <v>196</v>
      </c>
      <c r="H289" s="3" t="s">
        <v>197</v>
      </c>
      <c r="I289" s="3" t="s">
        <v>240</v>
      </c>
      <c r="J289" s="3" t="s">
        <v>241</v>
      </c>
      <c r="K289" s="4"/>
      <c r="L289" s="4">
        <f>=ROUNDDOWN({0},0)</f>
      </c>
      <c r="M289" s="4"/>
      <c r="N289" s="5"/>
      <c r="O289" s="4"/>
      <c r="P289" s="4">
        <f>=ROUNDDOWN({0},0)</f>
      </c>
      <c r="Q289" s="4"/>
      <c r="R289" s="5"/>
      <c r="S289" s="4"/>
      <c r="T289" s="6"/>
      <c r="U289" s="4">
        <v>57</v>
      </c>
      <c r="V289" s="6">
        <v>2054.42</v>
      </c>
      <c r="W289" s="5"/>
      <c r="X289" s="5"/>
      <c r="Y289" s="4"/>
      <c r="Z289" s="6"/>
      <c r="AA289" s="4">
        <v>48</v>
      </c>
      <c r="AB289" s="6">
        <v>1688.28</v>
      </c>
      <c r="AC289" s="5"/>
      <c r="AD289" s="5"/>
      <c r="AE289" s="4"/>
      <c r="AF289" s="6"/>
      <c r="AG289" s="4">
        <v>2</v>
      </c>
      <c r="AH289" s="6">
        <v>91.04</v>
      </c>
      <c r="AI289" s="5"/>
      <c r="AJ289" s="5"/>
      <c r="AK289" s="4"/>
      <c r="AL289" s="6"/>
      <c r="AM289" s="4"/>
      <c r="AN289" s="6"/>
      <c r="AO289" s="5"/>
      <c r="AP289" s="5"/>
      <c r="AQ289" s="4"/>
      <c r="AR289" s="6"/>
      <c r="AS289" s="4"/>
      <c r="AT289" s="6"/>
      <c r="AU289" s="5"/>
      <c r="AV289" s="5"/>
      <c r="AW289" s="4"/>
      <c r="AX289" s="6"/>
      <c r="AY289" s="4">
        <v>2</v>
      </c>
      <c r="AZ289" s="6">
        <v>91.84</v>
      </c>
      <c r="BA289" s="5"/>
      <c r="BB289" s="5"/>
      <c r="BC289" s="4"/>
      <c r="BD289" s="6"/>
      <c r="BE289" s="4"/>
      <c r="BF289" s="6"/>
      <c r="BG289" s="5"/>
      <c r="BH289" s="5"/>
      <c r="BI289" s="4"/>
      <c r="BJ289" s="6"/>
      <c r="BK289" s="4">
        <v>2</v>
      </c>
      <c r="BL289" s="6">
        <v>75.14</v>
      </c>
      <c r="BM289" s="5"/>
      <c r="BN289" s="5"/>
      <c r="BO289" s="4"/>
      <c r="BP289" s="6"/>
      <c r="BQ289" s="4">
        <v>2</v>
      </c>
      <c r="BR289" s="6">
        <v>63.12</v>
      </c>
      <c r="BS289" s="5"/>
      <c r="BT289" s="5"/>
      <c r="BU289" s="4"/>
      <c r="BV289" s="6"/>
      <c r="BW289" s="4"/>
      <c r="BX289" s="6"/>
      <c r="BY289" s="5"/>
      <c r="BZ289" s="5"/>
      <c r="CA289" s="4"/>
      <c r="CB289" s="6"/>
      <c r="CC289" s="4"/>
      <c r="CD289" s="6"/>
      <c r="CE289" s="5"/>
      <c r="CF289" s="5"/>
      <c r="CG289" s="4"/>
      <c r="CH289" s="6"/>
      <c r="CI289" s="4"/>
      <c r="CJ289" s="6"/>
      <c r="CK289" s="5"/>
      <c r="CL289" s="5"/>
      <c r="CM289" s="4"/>
      <c r="CN289" s="6"/>
      <c r="CO289" s="4"/>
      <c r="CP289" s="6"/>
      <c r="CQ289" s="5"/>
      <c r="CR289" s="5"/>
      <c r="CS289" s="4"/>
      <c r="CT289" s="6"/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/>
      <c r="DH289" s="6"/>
      <c r="DI289" s="5"/>
      <c r="DJ289" s="5"/>
      <c r="DK289" s="4"/>
      <c r="DL289" s="6"/>
      <c r="DM289" s="4"/>
      <c r="DN289" s="6"/>
      <c r="DO289" s="5"/>
      <c r="DP289" s="5"/>
      <c r="DQ289" s="4"/>
      <c r="DR289" s="6"/>
      <c r="DS289" s="4"/>
      <c r="DT289" s="6"/>
      <c r="DU289" s="5"/>
      <c r="DV289" s="5"/>
      <c r="DW289" s="4"/>
      <c r="DX289" s="6"/>
      <c r="DY289" s="4"/>
      <c r="DZ289" s="6"/>
      <c r="EA289" s="5"/>
      <c r="EB289" s="5"/>
      <c r="EC289" s="4"/>
      <c r="ED289" s="6"/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>
        <v>1</v>
      </c>
      <c r="FV289" s="6">
        <v>45</v>
      </c>
      <c r="FW289" s="5"/>
      <c r="FX289" s="5"/>
      <c r="FY289" s="4"/>
      <c r="FZ289" s="6"/>
      <c r="GA289" s="4"/>
      <c r="GB289" s="6"/>
      <c r="GC289" s="5"/>
      <c r="GD289" s="5"/>
      <c r="GE289" s="4"/>
      <c r="GF289" s="6"/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  <c r="IA289" s="4"/>
      <c r="IB289" s="6"/>
      <c r="IC289" s="4"/>
      <c r="ID289" s="6"/>
      <c r="IE289" s="5"/>
      <c r="IF289" s="5"/>
      <c r="IG289" s="4"/>
      <c r="IH289" s="6"/>
      <c r="II289" s="4"/>
      <c r="IJ289" s="6"/>
      <c r="IK289" s="5"/>
      <c r="IL289" s="5"/>
      <c r="IM289" s="4"/>
      <c r="IN289" s="6"/>
      <c r="IO289" s="4"/>
      <c r="IP289" s="6"/>
      <c r="IQ289" s="5"/>
      <c r="IR289" s="5"/>
      <c r="IS289" s="4"/>
      <c r="IT289" s="6"/>
      <c r="IU289" s="4"/>
      <c r="IV289" s="6"/>
      <c r="IW289" s="5"/>
      <c r="IX289" s="5"/>
      <c r="IY289" s="4"/>
      <c r="IZ289" s="6"/>
      <c r="JA289" s="4"/>
      <c r="JB289" s="6"/>
      <c r="JC289" s="5"/>
      <c r="JD289" s="5"/>
      <c r="JE289" s="4"/>
      <c r="JF289" s="6"/>
      <c r="JG289" s="4"/>
      <c r="JH289" s="6"/>
      <c r="JI289" s="5"/>
      <c r="JJ289" s="5"/>
      <c r="JK289" s="4"/>
      <c r="JL289" s="4"/>
      <c r="JM289" s="4"/>
      <c r="JN289" s="4"/>
      <c r="JO289" s="4"/>
      <c r="JP289" s="4"/>
      <c r="JQ289" s="4"/>
      <c r="JR289" s="4"/>
      <c r="JS289" s="4"/>
      <c r="JT289" s="4"/>
      <c r="JU289" s="4"/>
      <c r="JV289" s="4"/>
      <c r="JW289" s="4"/>
      <c r="JX289" s="4"/>
      <c r="JY289" s="4"/>
      <c r="JZ289" s="4"/>
      <c r="KA289" s="4"/>
      <c r="KB289" s="4"/>
      <c r="KC289" s="4"/>
      <c r="KD289" s="4"/>
      <c r="KE289" s="4"/>
      <c r="KF289" s="4"/>
      <c r="KG289" s="4"/>
      <c r="KH289" s="4"/>
      <c r="KI289" s="4"/>
      <c r="KJ289" s="4"/>
      <c r="KK289" s="4"/>
      <c r="KL289" s="4"/>
      <c r="KM289" s="4"/>
      <c r="KN289" s="4"/>
      <c r="KO289" s="4"/>
      <c r="KP289" s="4"/>
      <c r="KQ289" s="4"/>
      <c r="KR289" s="4"/>
      <c r="KS289" s="4"/>
      <c r="KT289" s="4"/>
      <c r="KU289" s="4"/>
      <c r="KV289" s="4"/>
      <c r="KW289" s="4"/>
      <c r="KX289" s="4"/>
      <c r="KY289" s="4"/>
      <c r="KZ289" s="4"/>
      <c r="LA289" s="4"/>
      <c r="LB289" s="4"/>
      <c r="LC289" s="4"/>
      <c r="LD289" s="4"/>
      <c r="LE289" s="4"/>
      <c r="LF289" s="4"/>
      <c r="LG289" s="4"/>
      <c r="LH289" s="4"/>
      <c r="LI289" s="4"/>
      <c r="LJ289" s="4"/>
      <c r="LK289" s="4"/>
      <c r="LL289" s="4"/>
      <c r="LM289" s="4"/>
    </row>
    <row r="290">
      <c r="A290" s="3" t="s">
        <v>136</v>
      </c>
      <c r="B290" s="3" t="s">
        <v>193</v>
      </c>
      <c r="C290" s="3" t="s">
        <v>138</v>
      </c>
      <c r="D290" s="3" t="s">
        <v>139</v>
      </c>
      <c r="E290" s="3" t="s">
        <v>196</v>
      </c>
      <c r="F290" s="3" t="s">
        <v>196</v>
      </c>
      <c r="G290" s="3" t="s">
        <v>196</v>
      </c>
      <c r="H290" s="3" t="s">
        <v>197</v>
      </c>
      <c r="I290" s="3" t="s">
        <v>231</v>
      </c>
      <c r="J290" s="3" t="s">
        <v>241</v>
      </c>
      <c r="K290" s="4"/>
      <c r="L290" s="4">
        <f>=ROUNDDOWN({0},0)</f>
      </c>
      <c r="M290" s="4"/>
      <c r="N290" s="5"/>
      <c r="O290" s="4"/>
      <c r="P290" s="4">
        <f>=ROUNDDOWN({0},0)</f>
      </c>
      <c r="Q290" s="4"/>
      <c r="R290" s="5"/>
      <c r="S290" s="4"/>
      <c r="T290" s="6"/>
      <c r="U290" s="4">
        <v>115</v>
      </c>
      <c r="V290" s="6">
        <v>4285.25</v>
      </c>
      <c r="W290" s="5"/>
      <c r="X290" s="5"/>
      <c r="Y290" s="4"/>
      <c r="Z290" s="6"/>
      <c r="AA290" s="4">
        <v>84</v>
      </c>
      <c r="AB290" s="6">
        <v>3031.8</v>
      </c>
      <c r="AC290" s="5"/>
      <c r="AD290" s="5"/>
      <c r="AE290" s="4"/>
      <c r="AF290" s="6"/>
      <c r="AG290" s="4">
        <v>12</v>
      </c>
      <c r="AH290" s="6">
        <v>536.28</v>
      </c>
      <c r="AI290" s="5"/>
      <c r="AJ290" s="5"/>
      <c r="AK290" s="4"/>
      <c r="AL290" s="6"/>
      <c r="AM290" s="4"/>
      <c r="AN290" s="6"/>
      <c r="AO290" s="5"/>
      <c r="AP290" s="5"/>
      <c r="AQ290" s="4"/>
      <c r="AR290" s="6"/>
      <c r="AS290" s="4"/>
      <c r="AT290" s="6"/>
      <c r="AU290" s="5"/>
      <c r="AV290" s="5"/>
      <c r="AW290" s="4"/>
      <c r="AX290" s="6"/>
      <c r="AY290" s="4">
        <v>2</v>
      </c>
      <c r="AZ290" s="6">
        <v>81.75</v>
      </c>
      <c r="BA290" s="5"/>
      <c r="BB290" s="5"/>
      <c r="BC290" s="4"/>
      <c r="BD290" s="6"/>
      <c r="BE290" s="4"/>
      <c r="BF290" s="6"/>
      <c r="BG290" s="5"/>
      <c r="BH290" s="5"/>
      <c r="BI290" s="4"/>
      <c r="BJ290" s="6"/>
      <c r="BK290" s="4">
        <v>12</v>
      </c>
      <c r="BL290" s="6">
        <v>399.36</v>
      </c>
      <c r="BM290" s="5"/>
      <c r="BN290" s="5"/>
      <c r="BO290" s="4"/>
      <c r="BP290" s="6"/>
      <c r="BQ290" s="4">
        <v>1</v>
      </c>
      <c r="BR290" s="6">
        <v>36.07</v>
      </c>
      <c r="BS290" s="5"/>
      <c r="BT290" s="5"/>
      <c r="BU290" s="4"/>
      <c r="BV290" s="6"/>
      <c r="BW290" s="4"/>
      <c r="BX290" s="6"/>
      <c r="BY290" s="5"/>
      <c r="BZ290" s="5"/>
      <c r="CA290" s="4"/>
      <c r="CB290" s="6"/>
      <c r="CC290" s="4"/>
      <c r="CD290" s="6"/>
      <c r="CE290" s="5"/>
      <c r="CF290" s="5"/>
      <c r="CG290" s="4"/>
      <c r="CH290" s="6"/>
      <c r="CI290" s="4"/>
      <c r="CJ290" s="6"/>
      <c r="CK290" s="5"/>
      <c r="CL290" s="5"/>
      <c r="CM290" s="4"/>
      <c r="CN290" s="6"/>
      <c r="CO290" s="4"/>
      <c r="CP290" s="6"/>
      <c r="CQ290" s="5"/>
      <c r="CR290" s="5"/>
      <c r="CS290" s="4"/>
      <c r="CT290" s="6"/>
      <c r="CU290" s="4"/>
      <c r="CV290" s="6"/>
      <c r="CW290" s="5"/>
      <c r="CX290" s="5"/>
      <c r="CY290" s="4"/>
      <c r="CZ290" s="6"/>
      <c r="DA290" s="4"/>
      <c r="DB290" s="6"/>
      <c r="DC290" s="5"/>
      <c r="DD290" s="5"/>
      <c r="DE290" s="4"/>
      <c r="DF290" s="6"/>
      <c r="DG290" s="4"/>
      <c r="DH290" s="6"/>
      <c r="DI290" s="5"/>
      <c r="DJ290" s="5"/>
      <c r="DK290" s="4"/>
      <c r="DL290" s="6"/>
      <c r="DM290" s="4">
        <v>1</v>
      </c>
      <c r="DN290" s="6">
        <v>84.99</v>
      </c>
      <c r="DO290" s="5"/>
      <c r="DP290" s="5"/>
      <c r="DQ290" s="4"/>
      <c r="DR290" s="6"/>
      <c r="DS290" s="4"/>
      <c r="DT290" s="6"/>
      <c r="DU290" s="5"/>
      <c r="DV290" s="5"/>
      <c r="DW290" s="4"/>
      <c r="DX290" s="6"/>
      <c r="DY290" s="4"/>
      <c r="DZ290" s="6"/>
      <c r="EA290" s="5"/>
      <c r="EB290" s="5"/>
      <c r="EC290" s="4"/>
      <c r="ED290" s="6"/>
      <c r="EE290" s="4"/>
      <c r="EF290" s="6"/>
      <c r="EG290" s="5"/>
      <c r="EH290" s="5"/>
      <c r="EI290" s="4"/>
      <c r="EJ290" s="6"/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>
        <v>3</v>
      </c>
      <c r="FV290" s="6">
        <v>115</v>
      </c>
      <c r="FW290" s="5"/>
      <c r="FX290" s="5"/>
      <c r="FY290" s="4"/>
      <c r="FZ290" s="6"/>
      <c r="GA290" s="4"/>
      <c r="GB290" s="6"/>
      <c r="GC290" s="5"/>
      <c r="GD290" s="5"/>
      <c r="GE290" s="4"/>
      <c r="GF290" s="6"/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  <c r="IA290" s="4"/>
      <c r="IB290" s="6"/>
      <c r="IC290" s="4"/>
      <c r="ID290" s="6"/>
      <c r="IE290" s="5"/>
      <c r="IF290" s="5"/>
      <c r="IG290" s="4"/>
      <c r="IH290" s="6"/>
      <c r="II290" s="4"/>
      <c r="IJ290" s="6"/>
      <c r="IK290" s="5"/>
      <c r="IL290" s="5"/>
      <c r="IM290" s="4"/>
      <c r="IN290" s="6"/>
      <c r="IO290" s="4"/>
      <c r="IP290" s="6"/>
      <c r="IQ290" s="5"/>
      <c r="IR290" s="5"/>
      <c r="IS290" s="4"/>
      <c r="IT290" s="6"/>
      <c r="IU290" s="4"/>
      <c r="IV290" s="6"/>
      <c r="IW290" s="5"/>
      <c r="IX290" s="5"/>
      <c r="IY290" s="4"/>
      <c r="IZ290" s="6"/>
      <c r="JA290" s="4"/>
      <c r="JB290" s="6"/>
      <c r="JC290" s="5"/>
      <c r="JD290" s="5"/>
      <c r="JE290" s="4"/>
      <c r="JF290" s="6"/>
      <c r="JG290" s="4"/>
      <c r="JH290" s="6"/>
      <c r="JI290" s="5"/>
      <c r="JJ290" s="5"/>
      <c r="JK290" s="4"/>
      <c r="JL290" s="4"/>
      <c r="JM290" s="4"/>
      <c r="JN290" s="4"/>
      <c r="JO290" s="4"/>
      <c r="JP290" s="4"/>
      <c r="JQ290" s="4"/>
      <c r="JR290" s="4"/>
      <c r="JS290" s="4"/>
      <c r="JT290" s="4"/>
      <c r="JU290" s="4"/>
      <c r="JV290" s="4"/>
      <c r="JW290" s="4"/>
      <c r="JX290" s="4"/>
      <c r="JY290" s="4"/>
      <c r="JZ290" s="4"/>
      <c r="KA290" s="4"/>
      <c r="KB290" s="4"/>
      <c r="KC290" s="4"/>
      <c r="KD290" s="4"/>
      <c r="KE290" s="4"/>
      <c r="KF290" s="4"/>
      <c r="KG290" s="4"/>
      <c r="KH290" s="4"/>
      <c r="KI290" s="4"/>
      <c r="KJ290" s="4"/>
      <c r="KK290" s="4"/>
      <c r="KL290" s="4"/>
      <c r="KM290" s="4"/>
      <c r="KN290" s="4"/>
      <c r="KO290" s="4"/>
      <c r="KP290" s="4"/>
      <c r="KQ290" s="4"/>
      <c r="KR290" s="4"/>
      <c r="KS290" s="4"/>
      <c r="KT290" s="4"/>
      <c r="KU290" s="4"/>
      <c r="KV290" s="4"/>
      <c r="KW290" s="4"/>
      <c r="KX290" s="4"/>
      <c r="KY290" s="4"/>
      <c r="KZ290" s="4"/>
      <c r="LA290" s="4"/>
      <c r="LB290" s="4"/>
      <c r="LC290" s="4"/>
      <c r="LD290" s="4"/>
      <c r="LE290" s="4"/>
      <c r="LF290" s="4"/>
      <c r="LG290" s="4"/>
      <c r="LH290" s="4"/>
      <c r="LI290" s="4"/>
      <c r="LJ290" s="4"/>
      <c r="LK290" s="4"/>
      <c r="LL290" s="4"/>
      <c r="LM290" s="4"/>
    </row>
    <row r="291">
      <c r="A291" s="3" t="s">
        <v>136</v>
      </c>
      <c r="B291" s="3" t="s">
        <v>193</v>
      </c>
      <c r="C291" s="3" t="s">
        <v>138</v>
      </c>
      <c r="D291" s="3" t="s">
        <v>139</v>
      </c>
      <c r="E291" s="3" t="s">
        <v>198</v>
      </c>
      <c r="F291" s="3" t="s">
        <v>188</v>
      </c>
      <c r="G291" s="3" t="s">
        <v>188</v>
      </c>
      <c r="H291" s="3" t="s">
        <v>143</v>
      </c>
      <c r="I291" s="3" t="s">
        <v>240</v>
      </c>
      <c r="J291" s="3" t="s">
        <v>241</v>
      </c>
      <c r="K291" s="4"/>
      <c r="L291" s="4">
        <f>=ROUNDDOWN({0},0)</f>
      </c>
      <c r="M291" s="4"/>
      <c r="N291" s="5"/>
      <c r="O291" s="4"/>
      <c r="P291" s="4">
        <f>=ROUNDDOWN({0},0)</f>
      </c>
      <c r="Q291" s="4"/>
      <c r="R291" s="5"/>
      <c r="S291" s="4"/>
      <c r="T291" s="6"/>
      <c r="U291" s="4">
        <v>16</v>
      </c>
      <c r="V291" s="6">
        <v>551.24</v>
      </c>
      <c r="W291" s="5"/>
      <c r="X291" s="5"/>
      <c r="Y291" s="4"/>
      <c r="Z291" s="6"/>
      <c r="AA291" s="4"/>
      <c r="AB291" s="6"/>
      <c r="AC291" s="5"/>
      <c r="AD291" s="5"/>
      <c r="AE291" s="4"/>
      <c r="AF291" s="6"/>
      <c r="AG291" s="4">
        <v>4</v>
      </c>
      <c r="AH291" s="6">
        <v>113.78</v>
      </c>
      <c r="AI291" s="5"/>
      <c r="AJ291" s="5"/>
      <c r="AK291" s="4"/>
      <c r="AL291" s="6"/>
      <c r="AM291" s="4"/>
      <c r="AN291" s="6"/>
      <c r="AO291" s="5"/>
      <c r="AP291" s="5"/>
      <c r="AQ291" s="4"/>
      <c r="AR291" s="6"/>
      <c r="AS291" s="4"/>
      <c r="AT291" s="6"/>
      <c r="AU291" s="5"/>
      <c r="AV291" s="5"/>
      <c r="AW291" s="4"/>
      <c r="AX291" s="6"/>
      <c r="AY291" s="4"/>
      <c r="AZ291" s="6"/>
      <c r="BA291" s="5"/>
      <c r="BB291" s="5"/>
      <c r="BC291" s="4"/>
      <c r="BD291" s="6"/>
      <c r="BE291" s="4">
        <v>6</v>
      </c>
      <c r="BF291" s="6">
        <v>228.84</v>
      </c>
      <c r="BG291" s="5"/>
      <c r="BH291" s="5"/>
      <c r="BI291" s="4"/>
      <c r="BJ291" s="6"/>
      <c r="BK291" s="4"/>
      <c r="BL291" s="6"/>
      <c r="BM291" s="5"/>
      <c r="BN291" s="5"/>
      <c r="BO291" s="4"/>
      <c r="BP291" s="6"/>
      <c r="BQ291" s="4">
        <v>2</v>
      </c>
      <c r="BR291" s="6">
        <v>52.9</v>
      </c>
      <c r="BS291" s="5"/>
      <c r="BT291" s="5"/>
      <c r="BU291" s="4"/>
      <c r="BV291" s="6"/>
      <c r="BW291" s="4">
        <v>2</v>
      </c>
      <c r="BX291" s="6">
        <v>77.86</v>
      </c>
      <c r="BY291" s="5"/>
      <c r="BZ291" s="5"/>
      <c r="CA291" s="4"/>
      <c r="CB291" s="6"/>
      <c r="CC291" s="4"/>
      <c r="CD291" s="6"/>
      <c r="CE291" s="5"/>
      <c r="CF291" s="5"/>
      <c r="CG291" s="4"/>
      <c r="CH291" s="6"/>
      <c r="CI291" s="4"/>
      <c r="CJ291" s="6"/>
      <c r="CK291" s="5"/>
      <c r="CL291" s="5"/>
      <c r="CM291" s="4"/>
      <c r="CN291" s="6"/>
      <c r="CO291" s="4"/>
      <c r="CP291" s="6"/>
      <c r="CQ291" s="5"/>
      <c r="CR291" s="5"/>
      <c r="CS291" s="4"/>
      <c r="CT291" s="6"/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/>
      <c r="DF291" s="6"/>
      <c r="DG291" s="4"/>
      <c r="DH291" s="6"/>
      <c r="DI291" s="5"/>
      <c r="DJ291" s="5"/>
      <c r="DK291" s="4"/>
      <c r="DL291" s="6"/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/>
      <c r="DX291" s="6"/>
      <c r="DY291" s="4"/>
      <c r="DZ291" s="6"/>
      <c r="EA291" s="5"/>
      <c r="EB291" s="5"/>
      <c r="EC291" s="4"/>
      <c r="ED291" s="6"/>
      <c r="EE291" s="4"/>
      <c r="EF291" s="6"/>
      <c r="EG291" s="5"/>
      <c r="EH291" s="5"/>
      <c r="EI291" s="4"/>
      <c r="EJ291" s="6"/>
      <c r="EK291" s="4">
        <v>2</v>
      </c>
      <c r="EL291" s="6">
        <v>77.86</v>
      </c>
      <c r="EM291" s="5"/>
      <c r="EN291" s="5"/>
      <c r="EO291" s="4"/>
      <c r="EP291" s="6"/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  <c r="IA291" s="4"/>
      <c r="IB291" s="6"/>
      <c r="IC291" s="4"/>
      <c r="ID291" s="6"/>
      <c r="IE291" s="5"/>
      <c r="IF291" s="5"/>
      <c r="IG291" s="4"/>
      <c r="IH291" s="6"/>
      <c r="II291" s="4"/>
      <c r="IJ291" s="6"/>
      <c r="IK291" s="5"/>
      <c r="IL291" s="5"/>
      <c r="IM291" s="4"/>
      <c r="IN291" s="6"/>
      <c r="IO291" s="4"/>
      <c r="IP291" s="6"/>
      <c r="IQ291" s="5"/>
      <c r="IR291" s="5"/>
      <c r="IS291" s="4"/>
      <c r="IT291" s="6"/>
      <c r="IU291" s="4"/>
      <c r="IV291" s="6"/>
      <c r="IW291" s="5"/>
      <c r="IX291" s="5"/>
      <c r="IY291" s="4"/>
      <c r="IZ291" s="6"/>
      <c r="JA291" s="4"/>
      <c r="JB291" s="6"/>
      <c r="JC291" s="5"/>
      <c r="JD291" s="5"/>
      <c r="JE291" s="4"/>
      <c r="JF291" s="6"/>
      <c r="JG291" s="4"/>
      <c r="JH291" s="6"/>
      <c r="JI291" s="5"/>
      <c r="JJ291" s="5"/>
      <c r="JK291" s="4"/>
      <c r="JL291" s="4"/>
      <c r="JM291" s="4"/>
      <c r="JN291" s="4"/>
      <c r="JO291" s="4"/>
      <c r="JP291" s="4"/>
      <c r="JQ291" s="4"/>
      <c r="JR291" s="4"/>
      <c r="JS291" s="4"/>
      <c r="JT291" s="4"/>
      <c r="JU291" s="4"/>
      <c r="JV291" s="4"/>
      <c r="JW291" s="4"/>
      <c r="JX291" s="4"/>
      <c r="JY291" s="4"/>
      <c r="JZ291" s="4"/>
      <c r="KA291" s="4"/>
      <c r="KB291" s="4"/>
      <c r="KC291" s="4"/>
      <c r="KD291" s="4"/>
      <c r="KE291" s="4"/>
      <c r="KF291" s="4"/>
      <c r="KG291" s="4"/>
      <c r="KH291" s="4"/>
      <c r="KI291" s="4"/>
      <c r="KJ291" s="4"/>
      <c r="KK291" s="4"/>
      <c r="KL291" s="4"/>
      <c r="KM291" s="4"/>
      <c r="KN291" s="4"/>
      <c r="KO291" s="4"/>
      <c r="KP291" s="4"/>
      <c r="KQ291" s="4"/>
      <c r="KR291" s="4"/>
      <c r="KS291" s="4"/>
      <c r="KT291" s="4"/>
      <c r="KU291" s="4"/>
      <c r="KV291" s="4"/>
      <c r="KW291" s="4"/>
      <c r="KX291" s="4"/>
      <c r="KY291" s="4"/>
      <c r="KZ291" s="4"/>
      <c r="LA291" s="4"/>
      <c r="LB291" s="4"/>
      <c r="LC291" s="4"/>
      <c r="LD291" s="4"/>
      <c r="LE291" s="4"/>
      <c r="LF291" s="4"/>
      <c r="LG291" s="4"/>
      <c r="LH291" s="4"/>
      <c r="LI291" s="4"/>
      <c r="LJ291" s="4"/>
      <c r="LK291" s="4"/>
      <c r="LL291" s="4"/>
      <c r="LM291" s="4"/>
    </row>
    <row r="292">
      <c r="A292" s="3" t="s">
        <v>136</v>
      </c>
      <c r="B292" s="3" t="s">
        <v>193</v>
      </c>
      <c r="C292" s="3" t="s">
        <v>138</v>
      </c>
      <c r="D292" s="3" t="s">
        <v>139</v>
      </c>
      <c r="E292" s="3" t="s">
        <v>198</v>
      </c>
      <c r="F292" s="3" t="s">
        <v>188</v>
      </c>
      <c r="G292" s="3" t="s">
        <v>188</v>
      </c>
      <c r="H292" s="3" t="s">
        <v>143</v>
      </c>
      <c r="I292" s="3" t="s">
        <v>261</v>
      </c>
      <c r="J292" s="3" t="s">
        <v>241</v>
      </c>
      <c r="K292" s="4"/>
      <c r="L292" s="4">
        <f>=ROUNDDOWN({0},0)</f>
      </c>
      <c r="M292" s="4"/>
      <c r="N292" s="5"/>
      <c r="O292" s="4"/>
      <c r="P292" s="4">
        <f>=ROUNDDOWN({0},0)</f>
      </c>
      <c r="Q292" s="4"/>
      <c r="R292" s="5"/>
      <c r="S292" s="4"/>
      <c r="T292" s="6"/>
      <c r="U292" s="4">
        <v>2</v>
      </c>
      <c r="V292" s="6">
        <v>109.25</v>
      </c>
      <c r="W292" s="5"/>
      <c r="X292" s="5"/>
      <c r="Y292" s="4"/>
      <c r="Z292" s="6"/>
      <c r="AA292" s="4"/>
      <c r="AB292" s="6"/>
      <c r="AC292" s="5"/>
      <c r="AD292" s="5"/>
      <c r="AE292" s="4"/>
      <c r="AF292" s="6"/>
      <c r="AG292" s="4"/>
      <c r="AH292" s="6"/>
      <c r="AI292" s="5"/>
      <c r="AJ292" s="5"/>
      <c r="AK292" s="4"/>
      <c r="AL292" s="6"/>
      <c r="AM292" s="4"/>
      <c r="AN292" s="6"/>
      <c r="AO292" s="5"/>
      <c r="AP292" s="5"/>
      <c r="AQ292" s="4"/>
      <c r="AR292" s="6"/>
      <c r="AS292" s="4"/>
      <c r="AT292" s="6"/>
      <c r="AU292" s="5"/>
      <c r="AV292" s="5"/>
      <c r="AW292" s="4"/>
      <c r="AX292" s="6"/>
      <c r="AY292" s="4"/>
      <c r="AZ292" s="6"/>
      <c r="BA292" s="5"/>
      <c r="BB292" s="5"/>
      <c r="BC292" s="4"/>
      <c r="BD292" s="6"/>
      <c r="BE292" s="4"/>
      <c r="BF292" s="6"/>
      <c r="BG292" s="5"/>
      <c r="BH292" s="5"/>
      <c r="BI292" s="4"/>
      <c r="BJ292" s="6"/>
      <c r="BK292" s="4"/>
      <c r="BL292" s="6"/>
      <c r="BM292" s="5"/>
      <c r="BN292" s="5"/>
      <c r="BO292" s="4"/>
      <c r="BP292" s="6"/>
      <c r="BQ292" s="4"/>
      <c r="BR292" s="6"/>
      <c r="BS292" s="5"/>
      <c r="BT292" s="5"/>
      <c r="BU292" s="4"/>
      <c r="BV292" s="6"/>
      <c r="BW292" s="4"/>
      <c r="BX292" s="6"/>
      <c r="BY292" s="5"/>
      <c r="BZ292" s="5"/>
      <c r="CA292" s="4"/>
      <c r="CB292" s="6"/>
      <c r="CC292" s="4">
        <v>1</v>
      </c>
      <c r="CD292" s="6">
        <v>39.26</v>
      </c>
      <c r="CE292" s="5"/>
      <c r="CF292" s="5"/>
      <c r="CG292" s="4"/>
      <c r="CH292" s="6"/>
      <c r="CI292" s="4"/>
      <c r="CJ292" s="6"/>
      <c r="CK292" s="5"/>
      <c r="CL292" s="5"/>
      <c r="CM292" s="4"/>
      <c r="CN292" s="6"/>
      <c r="CO292" s="4"/>
      <c r="CP292" s="6"/>
      <c r="CQ292" s="5"/>
      <c r="CR292" s="5"/>
      <c r="CS292" s="4"/>
      <c r="CT292" s="6"/>
      <c r="CU292" s="4"/>
      <c r="CV292" s="6"/>
      <c r="CW292" s="5"/>
      <c r="CX292" s="5"/>
      <c r="CY292" s="4"/>
      <c r="CZ292" s="6"/>
      <c r="DA292" s="4"/>
      <c r="DB292" s="6"/>
      <c r="DC292" s="5"/>
      <c r="DD292" s="5"/>
      <c r="DE292" s="4"/>
      <c r="DF292" s="6"/>
      <c r="DG292" s="4"/>
      <c r="DH292" s="6"/>
      <c r="DI292" s="5"/>
      <c r="DJ292" s="5"/>
      <c r="DK292" s="4"/>
      <c r="DL292" s="6"/>
      <c r="DM292" s="4">
        <v>1</v>
      </c>
      <c r="DN292" s="6">
        <v>69.99</v>
      </c>
      <c r="DO292" s="5"/>
      <c r="DP292" s="5"/>
      <c r="DQ292" s="4"/>
      <c r="DR292" s="6"/>
      <c r="DS292" s="4"/>
      <c r="DT292" s="6"/>
      <c r="DU292" s="5"/>
      <c r="DV292" s="5"/>
      <c r="DW292" s="4"/>
      <c r="DX292" s="6"/>
      <c r="DY292" s="4"/>
      <c r="DZ292" s="6"/>
      <c r="EA292" s="5"/>
      <c r="EB292" s="5"/>
      <c r="EC292" s="4"/>
      <c r="ED292" s="6"/>
      <c r="EE292" s="4"/>
      <c r="EF292" s="6"/>
      <c r="EG292" s="5"/>
      <c r="EH292" s="5"/>
      <c r="EI292" s="4"/>
      <c r="EJ292" s="6"/>
      <c r="EK292" s="4"/>
      <c r="EL292" s="6"/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/>
      <c r="FN292" s="6"/>
      <c r="FO292" s="4"/>
      <c r="FP292" s="6"/>
      <c r="FQ292" s="5"/>
      <c r="FR292" s="5"/>
      <c r="FS292" s="4"/>
      <c r="FT292" s="6"/>
      <c r="FU292" s="4"/>
      <c r="FV292" s="6"/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  <c r="IA292" s="4"/>
      <c r="IB292" s="6"/>
      <c r="IC292" s="4"/>
      <c r="ID292" s="6"/>
      <c r="IE292" s="5"/>
      <c r="IF292" s="5"/>
      <c r="IG292" s="4"/>
      <c r="IH292" s="6"/>
      <c r="II292" s="4"/>
      <c r="IJ292" s="6"/>
      <c r="IK292" s="5"/>
      <c r="IL292" s="5"/>
      <c r="IM292" s="4"/>
      <c r="IN292" s="6"/>
      <c r="IO292" s="4"/>
      <c r="IP292" s="6"/>
      <c r="IQ292" s="5"/>
      <c r="IR292" s="5"/>
      <c r="IS292" s="4"/>
      <c r="IT292" s="6"/>
      <c r="IU292" s="4"/>
      <c r="IV292" s="6"/>
      <c r="IW292" s="5"/>
      <c r="IX292" s="5"/>
      <c r="IY292" s="4"/>
      <c r="IZ292" s="6"/>
      <c r="JA292" s="4"/>
      <c r="JB292" s="6"/>
      <c r="JC292" s="5"/>
      <c r="JD292" s="5"/>
      <c r="JE292" s="4"/>
      <c r="JF292" s="6"/>
      <c r="JG292" s="4"/>
      <c r="JH292" s="6"/>
      <c r="JI292" s="5"/>
      <c r="JJ292" s="5"/>
      <c r="JK292" s="4"/>
      <c r="JL292" s="4"/>
      <c r="JM292" s="4"/>
      <c r="JN292" s="4"/>
      <c r="JO292" s="4"/>
      <c r="JP292" s="4"/>
      <c r="JQ292" s="4"/>
      <c r="JR292" s="4"/>
      <c r="JS292" s="4"/>
      <c r="JT292" s="4"/>
      <c r="JU292" s="4"/>
      <c r="JV292" s="4"/>
      <c r="JW292" s="4"/>
      <c r="JX292" s="4"/>
      <c r="JY292" s="4"/>
      <c r="JZ292" s="4"/>
      <c r="KA292" s="4"/>
      <c r="KB292" s="4"/>
      <c r="KC292" s="4"/>
      <c r="KD292" s="4"/>
      <c r="KE292" s="4"/>
      <c r="KF292" s="4"/>
      <c r="KG292" s="4"/>
      <c r="KH292" s="4"/>
      <c r="KI292" s="4"/>
      <c r="KJ292" s="4"/>
      <c r="KK292" s="4"/>
      <c r="KL292" s="4"/>
      <c r="KM292" s="4"/>
      <c r="KN292" s="4"/>
      <c r="KO292" s="4"/>
      <c r="KP292" s="4"/>
      <c r="KQ292" s="4"/>
      <c r="KR292" s="4"/>
      <c r="KS292" s="4"/>
      <c r="KT292" s="4"/>
      <c r="KU292" s="4"/>
      <c r="KV292" s="4"/>
      <c r="KW292" s="4"/>
      <c r="KX292" s="4"/>
      <c r="KY292" s="4"/>
      <c r="KZ292" s="4"/>
      <c r="LA292" s="4"/>
      <c r="LB292" s="4"/>
      <c r="LC292" s="4"/>
      <c r="LD292" s="4"/>
      <c r="LE292" s="4"/>
      <c r="LF292" s="4"/>
      <c r="LG292" s="4"/>
      <c r="LH292" s="4"/>
      <c r="LI292" s="4"/>
      <c r="LJ292" s="4"/>
      <c r="LK292" s="4"/>
      <c r="LL292" s="4"/>
      <c r="LM292" s="4"/>
    </row>
    <row r="293">
      <c r="A293" s="3" t="s">
        <v>136</v>
      </c>
      <c r="B293" s="3" t="s">
        <v>193</v>
      </c>
      <c r="C293" s="3" t="s">
        <v>138</v>
      </c>
      <c r="D293" s="3" t="s">
        <v>139</v>
      </c>
      <c r="E293" s="3" t="s">
        <v>198</v>
      </c>
      <c r="F293" s="3" t="s">
        <v>188</v>
      </c>
      <c r="G293" s="3" t="s">
        <v>188</v>
      </c>
      <c r="H293" s="3" t="s">
        <v>143</v>
      </c>
      <c r="I293" s="3" t="s">
        <v>230</v>
      </c>
      <c r="J293" s="3" t="s">
        <v>241</v>
      </c>
      <c r="K293" s="4"/>
      <c r="L293" s="4">
        <f>=ROUNDDOWN({0},0)</f>
      </c>
      <c r="M293" s="4"/>
      <c r="N293" s="5"/>
      <c r="O293" s="4"/>
      <c r="P293" s="4">
        <f>=ROUNDDOWN({0},0)</f>
      </c>
      <c r="Q293" s="4"/>
      <c r="R293" s="5"/>
      <c r="S293" s="4"/>
      <c r="T293" s="6"/>
      <c r="U293" s="4">
        <v>6</v>
      </c>
      <c r="V293" s="6">
        <v>220.99</v>
      </c>
      <c r="W293" s="5"/>
      <c r="X293" s="5"/>
      <c r="Y293" s="4"/>
      <c r="Z293" s="6"/>
      <c r="AA293" s="4"/>
      <c r="AB293" s="6"/>
      <c r="AC293" s="5"/>
      <c r="AD293" s="5"/>
      <c r="AE293" s="4"/>
      <c r="AF293" s="6"/>
      <c r="AG293" s="4">
        <v>1</v>
      </c>
      <c r="AH293" s="6">
        <v>40.04</v>
      </c>
      <c r="AI293" s="5"/>
      <c r="AJ293" s="5"/>
      <c r="AK293" s="4"/>
      <c r="AL293" s="6"/>
      <c r="AM293" s="4"/>
      <c r="AN293" s="6"/>
      <c r="AO293" s="5"/>
      <c r="AP293" s="5"/>
      <c r="AQ293" s="4"/>
      <c r="AR293" s="6"/>
      <c r="AS293" s="4"/>
      <c r="AT293" s="6"/>
      <c r="AU293" s="5"/>
      <c r="AV293" s="5"/>
      <c r="AW293" s="4"/>
      <c r="AX293" s="6"/>
      <c r="AY293" s="4"/>
      <c r="AZ293" s="6"/>
      <c r="BA293" s="5"/>
      <c r="BB293" s="5"/>
      <c r="BC293" s="4"/>
      <c r="BD293" s="6"/>
      <c r="BE293" s="4"/>
      <c r="BF293" s="6"/>
      <c r="BG293" s="5"/>
      <c r="BH293" s="5"/>
      <c r="BI293" s="4"/>
      <c r="BJ293" s="6"/>
      <c r="BK293" s="4"/>
      <c r="BL293" s="6"/>
      <c r="BM293" s="5"/>
      <c r="BN293" s="5"/>
      <c r="BO293" s="4"/>
      <c r="BP293" s="6"/>
      <c r="BQ293" s="4">
        <v>1</v>
      </c>
      <c r="BR293" s="6">
        <v>26.45</v>
      </c>
      <c r="BS293" s="5"/>
      <c r="BT293" s="5"/>
      <c r="BU293" s="4"/>
      <c r="BV293" s="6"/>
      <c r="BW293" s="4">
        <v>2</v>
      </c>
      <c r="BX293" s="6">
        <v>77.86</v>
      </c>
      <c r="BY293" s="5"/>
      <c r="BZ293" s="5"/>
      <c r="CA293" s="4"/>
      <c r="CB293" s="6"/>
      <c r="CC293" s="4"/>
      <c r="CD293" s="6"/>
      <c r="CE293" s="5"/>
      <c r="CF293" s="5"/>
      <c r="CG293" s="4"/>
      <c r="CH293" s="6"/>
      <c r="CI293" s="4"/>
      <c r="CJ293" s="6"/>
      <c r="CK293" s="5"/>
      <c r="CL293" s="5"/>
      <c r="CM293" s="4"/>
      <c r="CN293" s="6"/>
      <c r="CO293" s="4"/>
      <c r="CP293" s="6"/>
      <c r="CQ293" s="5"/>
      <c r="CR293" s="5"/>
      <c r="CS293" s="4"/>
      <c r="CT293" s="6"/>
      <c r="CU293" s="4"/>
      <c r="CV293" s="6"/>
      <c r="CW293" s="5"/>
      <c r="CX293" s="5"/>
      <c r="CY293" s="4"/>
      <c r="CZ293" s="6"/>
      <c r="DA293" s="4">
        <v>2</v>
      </c>
      <c r="DB293" s="6">
        <v>76.64</v>
      </c>
      <c r="DC293" s="5"/>
      <c r="DD293" s="5"/>
      <c r="DE293" s="4"/>
      <c r="DF293" s="6"/>
      <c r="DG293" s="4"/>
      <c r="DH293" s="6"/>
      <c r="DI293" s="5"/>
      <c r="DJ293" s="5"/>
      <c r="DK293" s="4"/>
      <c r="DL293" s="6"/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/>
      <c r="DX293" s="6"/>
      <c r="DY293" s="4"/>
      <c r="DZ293" s="6"/>
      <c r="EA293" s="5"/>
      <c r="EB293" s="5"/>
      <c r="EC293" s="4"/>
      <c r="ED293" s="6"/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/>
      <c r="FV293" s="6"/>
      <c r="FW293" s="5"/>
      <c r="FX293" s="5"/>
      <c r="FY293" s="4"/>
      <c r="FZ293" s="6"/>
      <c r="GA293" s="4"/>
      <c r="GB293" s="6"/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  <c r="IA293" s="4"/>
      <c r="IB293" s="6"/>
      <c r="IC293" s="4"/>
      <c r="ID293" s="6"/>
      <c r="IE293" s="5"/>
      <c r="IF293" s="5"/>
      <c r="IG293" s="4"/>
      <c r="IH293" s="6"/>
      <c r="II293" s="4"/>
      <c r="IJ293" s="6"/>
      <c r="IK293" s="5"/>
      <c r="IL293" s="5"/>
      <c r="IM293" s="4"/>
      <c r="IN293" s="6"/>
      <c r="IO293" s="4"/>
      <c r="IP293" s="6"/>
      <c r="IQ293" s="5"/>
      <c r="IR293" s="5"/>
      <c r="IS293" s="4"/>
      <c r="IT293" s="6"/>
      <c r="IU293" s="4"/>
      <c r="IV293" s="6"/>
      <c r="IW293" s="5"/>
      <c r="IX293" s="5"/>
      <c r="IY293" s="4"/>
      <c r="IZ293" s="6"/>
      <c r="JA293" s="4"/>
      <c r="JB293" s="6"/>
      <c r="JC293" s="5"/>
      <c r="JD293" s="5"/>
      <c r="JE293" s="4"/>
      <c r="JF293" s="6"/>
      <c r="JG293" s="4"/>
      <c r="JH293" s="6"/>
      <c r="JI293" s="5"/>
      <c r="JJ293" s="5"/>
      <c r="JK293" s="4"/>
      <c r="JL293" s="4"/>
      <c r="JM293" s="4"/>
      <c r="JN293" s="4"/>
      <c r="JO293" s="4"/>
      <c r="JP293" s="4"/>
      <c r="JQ293" s="4"/>
      <c r="JR293" s="4"/>
      <c r="JS293" s="4"/>
      <c r="JT293" s="4"/>
      <c r="JU293" s="4"/>
      <c r="JV293" s="4"/>
      <c r="JW293" s="4"/>
      <c r="JX293" s="4"/>
      <c r="JY293" s="4"/>
      <c r="JZ293" s="4"/>
      <c r="KA293" s="4"/>
      <c r="KB293" s="4"/>
      <c r="KC293" s="4"/>
      <c r="KD293" s="4"/>
      <c r="KE293" s="4"/>
      <c r="KF293" s="4"/>
      <c r="KG293" s="4"/>
      <c r="KH293" s="4"/>
      <c r="KI293" s="4"/>
      <c r="KJ293" s="4"/>
      <c r="KK293" s="4"/>
      <c r="KL293" s="4"/>
      <c r="KM293" s="4"/>
      <c r="KN293" s="4"/>
      <c r="KO293" s="4"/>
      <c r="KP293" s="4"/>
      <c r="KQ293" s="4"/>
      <c r="KR293" s="4"/>
      <c r="KS293" s="4"/>
      <c r="KT293" s="4"/>
      <c r="KU293" s="4"/>
      <c r="KV293" s="4"/>
      <c r="KW293" s="4"/>
      <c r="KX293" s="4"/>
      <c r="KY293" s="4"/>
      <c r="KZ293" s="4"/>
      <c r="LA293" s="4"/>
      <c r="LB293" s="4"/>
      <c r="LC293" s="4"/>
      <c r="LD293" s="4"/>
      <c r="LE293" s="4"/>
      <c r="LF293" s="4"/>
      <c r="LG293" s="4"/>
      <c r="LH293" s="4"/>
      <c r="LI293" s="4"/>
      <c r="LJ293" s="4"/>
      <c r="LK293" s="4"/>
      <c r="LL293" s="4"/>
      <c r="LM293" s="4"/>
    </row>
    <row r="294">
      <c r="A294" s="3" t="s">
        <v>136</v>
      </c>
      <c r="B294" s="3" t="s">
        <v>193</v>
      </c>
      <c r="C294" s="3" t="s">
        <v>138</v>
      </c>
      <c r="D294" s="3" t="s">
        <v>139</v>
      </c>
      <c r="E294" s="3" t="s">
        <v>198</v>
      </c>
      <c r="F294" s="3" t="s">
        <v>188</v>
      </c>
      <c r="G294" s="3" t="s">
        <v>188</v>
      </c>
      <c r="H294" s="3" t="s">
        <v>143</v>
      </c>
      <c r="I294" s="3" t="s">
        <v>244</v>
      </c>
      <c r="J294" s="3" t="s">
        <v>241</v>
      </c>
      <c r="K294" s="4"/>
      <c r="L294" s="4">
        <f>=ROUNDDOWN({0},0)</f>
      </c>
      <c r="M294" s="4"/>
      <c r="N294" s="5"/>
      <c r="O294" s="4"/>
      <c r="P294" s="4">
        <f>=ROUNDDOWN({0},0)</f>
      </c>
      <c r="Q294" s="4"/>
      <c r="R294" s="5"/>
      <c r="S294" s="4"/>
      <c r="T294" s="6"/>
      <c r="U294" s="4">
        <v>3</v>
      </c>
      <c r="V294" s="6">
        <v>86.28</v>
      </c>
      <c r="W294" s="5"/>
      <c r="X294" s="5"/>
      <c r="Y294" s="4"/>
      <c r="Z294" s="6"/>
      <c r="AA294" s="4"/>
      <c r="AB294" s="6"/>
      <c r="AC294" s="5"/>
      <c r="AD294" s="5"/>
      <c r="AE294" s="4"/>
      <c r="AF294" s="6"/>
      <c r="AG294" s="4"/>
      <c r="AH294" s="6"/>
      <c r="AI294" s="5"/>
      <c r="AJ294" s="5"/>
      <c r="AK294" s="4"/>
      <c r="AL294" s="6"/>
      <c r="AM294" s="4"/>
      <c r="AN294" s="6"/>
      <c r="AO294" s="5"/>
      <c r="AP294" s="5"/>
      <c r="AQ294" s="4"/>
      <c r="AR294" s="6"/>
      <c r="AS294" s="4"/>
      <c r="AT294" s="6"/>
      <c r="AU294" s="5"/>
      <c r="AV294" s="5"/>
      <c r="AW294" s="4"/>
      <c r="AX294" s="6"/>
      <c r="AY294" s="4"/>
      <c r="AZ294" s="6"/>
      <c r="BA294" s="5"/>
      <c r="BB294" s="5"/>
      <c r="BC294" s="4"/>
      <c r="BD294" s="6"/>
      <c r="BE294" s="4"/>
      <c r="BF294" s="6"/>
      <c r="BG294" s="5"/>
      <c r="BH294" s="5"/>
      <c r="BI294" s="4"/>
      <c r="BJ294" s="6"/>
      <c r="BK294" s="4"/>
      <c r="BL294" s="6"/>
      <c r="BM294" s="5"/>
      <c r="BN294" s="5"/>
      <c r="BO294" s="4"/>
      <c r="BP294" s="6"/>
      <c r="BQ294" s="4"/>
      <c r="BR294" s="6"/>
      <c r="BS294" s="5"/>
      <c r="BT294" s="5"/>
      <c r="BU294" s="4"/>
      <c r="BV294" s="6"/>
      <c r="BW294" s="4"/>
      <c r="BX294" s="6"/>
      <c r="BY294" s="5"/>
      <c r="BZ294" s="5"/>
      <c r="CA294" s="4"/>
      <c r="CB294" s="6"/>
      <c r="CC294" s="4"/>
      <c r="CD294" s="6"/>
      <c r="CE294" s="5"/>
      <c r="CF294" s="5"/>
      <c r="CG294" s="4"/>
      <c r="CH294" s="6"/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/>
      <c r="CT294" s="6"/>
      <c r="CU294" s="4"/>
      <c r="CV294" s="6"/>
      <c r="CW294" s="5"/>
      <c r="CX294" s="5"/>
      <c r="CY294" s="4"/>
      <c r="CZ294" s="6"/>
      <c r="DA294" s="4"/>
      <c r="DB294" s="6"/>
      <c r="DC294" s="5"/>
      <c r="DD294" s="5"/>
      <c r="DE294" s="4"/>
      <c r="DF294" s="6"/>
      <c r="DG294" s="4"/>
      <c r="DH294" s="6"/>
      <c r="DI294" s="5"/>
      <c r="DJ294" s="5"/>
      <c r="DK294" s="4"/>
      <c r="DL294" s="6"/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/>
      <c r="DX294" s="6"/>
      <c r="DY294" s="4"/>
      <c r="DZ294" s="6"/>
      <c r="EA294" s="5"/>
      <c r="EB294" s="5"/>
      <c r="EC294" s="4"/>
      <c r="ED294" s="6"/>
      <c r="EE294" s="4"/>
      <c r="EF294" s="6"/>
      <c r="EG294" s="5"/>
      <c r="EH294" s="5"/>
      <c r="EI294" s="4"/>
      <c r="EJ294" s="6"/>
      <c r="EK294" s="4">
        <v>3</v>
      </c>
      <c r="EL294" s="6">
        <v>86.28</v>
      </c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/>
      <c r="FP294" s="6"/>
      <c r="FQ294" s="5"/>
      <c r="FR294" s="5"/>
      <c r="FS294" s="4"/>
      <c r="FT294" s="6"/>
      <c r="FU294" s="4"/>
      <c r="FV294" s="6"/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  <c r="IA294" s="4"/>
      <c r="IB294" s="6"/>
      <c r="IC294" s="4"/>
      <c r="ID294" s="6"/>
      <c r="IE294" s="5"/>
      <c r="IF294" s="5"/>
      <c r="IG294" s="4"/>
      <c r="IH294" s="6"/>
      <c r="II294" s="4"/>
      <c r="IJ294" s="6"/>
      <c r="IK294" s="5"/>
      <c r="IL294" s="5"/>
      <c r="IM294" s="4"/>
      <c r="IN294" s="6"/>
      <c r="IO294" s="4"/>
      <c r="IP294" s="6"/>
      <c r="IQ294" s="5"/>
      <c r="IR294" s="5"/>
      <c r="IS294" s="4"/>
      <c r="IT294" s="6"/>
      <c r="IU294" s="4"/>
      <c r="IV294" s="6"/>
      <c r="IW294" s="5"/>
      <c r="IX294" s="5"/>
      <c r="IY294" s="4"/>
      <c r="IZ294" s="6"/>
      <c r="JA294" s="4"/>
      <c r="JB294" s="6"/>
      <c r="JC294" s="5"/>
      <c r="JD294" s="5"/>
      <c r="JE294" s="4"/>
      <c r="JF294" s="6"/>
      <c r="JG294" s="4"/>
      <c r="JH294" s="6"/>
      <c r="JI294" s="5"/>
      <c r="JJ294" s="5"/>
      <c r="JK294" s="4"/>
      <c r="JL294" s="4"/>
      <c r="JM294" s="4"/>
      <c r="JN294" s="4"/>
      <c r="JO294" s="4"/>
      <c r="JP294" s="4"/>
      <c r="JQ294" s="4"/>
      <c r="JR294" s="4"/>
      <c r="JS294" s="4"/>
      <c r="JT294" s="4"/>
      <c r="JU294" s="4"/>
      <c r="JV294" s="4"/>
      <c r="JW294" s="4"/>
      <c r="JX294" s="4"/>
      <c r="JY294" s="4"/>
      <c r="JZ294" s="4"/>
      <c r="KA294" s="4"/>
      <c r="KB294" s="4"/>
      <c r="KC294" s="4"/>
      <c r="KD294" s="4"/>
      <c r="KE294" s="4"/>
      <c r="KF294" s="4"/>
      <c r="KG294" s="4"/>
      <c r="KH294" s="4"/>
      <c r="KI294" s="4"/>
      <c r="KJ294" s="4"/>
      <c r="KK294" s="4"/>
      <c r="KL294" s="4"/>
      <c r="KM294" s="4"/>
      <c r="KN294" s="4"/>
      <c r="KO294" s="4"/>
      <c r="KP294" s="4"/>
      <c r="KQ294" s="4"/>
      <c r="KR294" s="4"/>
      <c r="KS294" s="4"/>
      <c r="KT294" s="4"/>
      <c r="KU294" s="4"/>
      <c r="KV294" s="4"/>
      <c r="KW294" s="4"/>
      <c r="KX294" s="4"/>
      <c r="KY294" s="4"/>
      <c r="KZ294" s="4"/>
      <c r="LA294" s="4"/>
      <c r="LB294" s="4"/>
      <c r="LC294" s="4"/>
      <c r="LD294" s="4"/>
      <c r="LE294" s="4"/>
      <c r="LF294" s="4"/>
      <c r="LG294" s="4"/>
      <c r="LH294" s="4"/>
      <c r="LI294" s="4"/>
      <c r="LJ294" s="4"/>
      <c r="LK294" s="4"/>
      <c r="LL294" s="4"/>
      <c r="LM294" s="4"/>
    </row>
    <row r="295">
      <c r="A295" s="3" t="s">
        <v>136</v>
      </c>
      <c r="B295" s="3" t="s">
        <v>193</v>
      </c>
      <c r="C295" s="3" t="s">
        <v>138</v>
      </c>
      <c r="D295" s="3" t="s">
        <v>139</v>
      </c>
      <c r="E295" s="3" t="s">
        <v>198</v>
      </c>
      <c r="F295" s="3" t="s">
        <v>188</v>
      </c>
      <c r="G295" s="3" t="s">
        <v>188</v>
      </c>
      <c r="H295" s="3" t="s">
        <v>143</v>
      </c>
      <c r="I295" s="3" t="s">
        <v>347</v>
      </c>
      <c r="J295" s="3" t="s">
        <v>241</v>
      </c>
      <c r="K295" s="4"/>
      <c r="L295" s="4">
        <f>=ROUNDDOWN({0},0)</f>
      </c>
      <c r="M295" s="4"/>
      <c r="N295" s="5"/>
      <c r="O295" s="4"/>
      <c r="P295" s="4">
        <f>=ROUNDDOWN({0},0)</f>
      </c>
      <c r="Q295" s="4"/>
      <c r="R295" s="5"/>
      <c r="S295" s="4"/>
      <c r="T295" s="6"/>
      <c r="U295" s="4">
        <v>1</v>
      </c>
      <c r="V295" s="6">
        <v>39.26</v>
      </c>
      <c r="W295" s="5"/>
      <c r="X295" s="5"/>
      <c r="Y295" s="4"/>
      <c r="Z295" s="6"/>
      <c r="AA295" s="4"/>
      <c r="AB295" s="6"/>
      <c r="AC295" s="5"/>
      <c r="AD295" s="5"/>
      <c r="AE295" s="4"/>
      <c r="AF295" s="6"/>
      <c r="AG295" s="4"/>
      <c r="AH295" s="6"/>
      <c r="AI295" s="5"/>
      <c r="AJ295" s="5"/>
      <c r="AK295" s="4"/>
      <c r="AL295" s="6"/>
      <c r="AM295" s="4"/>
      <c r="AN295" s="6"/>
      <c r="AO295" s="5"/>
      <c r="AP295" s="5"/>
      <c r="AQ295" s="4"/>
      <c r="AR295" s="6"/>
      <c r="AS295" s="4"/>
      <c r="AT295" s="6"/>
      <c r="AU295" s="5"/>
      <c r="AV295" s="5"/>
      <c r="AW295" s="4"/>
      <c r="AX295" s="6"/>
      <c r="AY295" s="4"/>
      <c r="AZ295" s="6"/>
      <c r="BA295" s="5"/>
      <c r="BB295" s="5"/>
      <c r="BC295" s="4"/>
      <c r="BD295" s="6"/>
      <c r="BE295" s="4"/>
      <c r="BF295" s="6"/>
      <c r="BG295" s="5"/>
      <c r="BH295" s="5"/>
      <c r="BI295" s="4"/>
      <c r="BJ295" s="6"/>
      <c r="BK295" s="4"/>
      <c r="BL295" s="6"/>
      <c r="BM295" s="5"/>
      <c r="BN295" s="5"/>
      <c r="BO295" s="4"/>
      <c r="BP295" s="6"/>
      <c r="BQ295" s="4"/>
      <c r="BR295" s="6"/>
      <c r="BS295" s="5"/>
      <c r="BT295" s="5"/>
      <c r="BU295" s="4"/>
      <c r="BV295" s="6"/>
      <c r="BW295" s="4"/>
      <c r="BX295" s="6"/>
      <c r="BY295" s="5"/>
      <c r="BZ295" s="5"/>
      <c r="CA295" s="4"/>
      <c r="CB295" s="6"/>
      <c r="CC295" s="4">
        <v>1</v>
      </c>
      <c r="CD295" s="6">
        <v>39.26</v>
      </c>
      <c r="CE295" s="5"/>
      <c r="CF295" s="5"/>
      <c r="CG295" s="4"/>
      <c r="CH295" s="6"/>
      <c r="CI295" s="4"/>
      <c r="CJ295" s="6"/>
      <c r="CK295" s="5"/>
      <c r="CL295" s="5"/>
      <c r="CM295" s="4"/>
      <c r="CN295" s="6"/>
      <c r="CO295" s="4"/>
      <c r="CP295" s="6"/>
      <c r="CQ295" s="5"/>
      <c r="CR295" s="5"/>
      <c r="CS295" s="4"/>
      <c r="CT295" s="6"/>
      <c r="CU295" s="4"/>
      <c r="CV295" s="6"/>
      <c r="CW295" s="5"/>
      <c r="CX295" s="5"/>
      <c r="CY295" s="4"/>
      <c r="CZ295" s="6"/>
      <c r="DA295" s="4"/>
      <c r="DB295" s="6"/>
      <c r="DC295" s="5"/>
      <c r="DD295" s="5"/>
      <c r="DE295" s="4"/>
      <c r="DF295" s="6"/>
      <c r="DG295" s="4"/>
      <c r="DH295" s="6"/>
      <c r="DI295" s="5"/>
      <c r="DJ295" s="5"/>
      <c r="DK295" s="4"/>
      <c r="DL295" s="6"/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/>
      <c r="DX295" s="6"/>
      <c r="DY295" s="4"/>
      <c r="DZ295" s="6"/>
      <c r="EA295" s="5"/>
      <c r="EB295" s="5"/>
      <c r="EC295" s="4"/>
      <c r="ED295" s="6"/>
      <c r="EE295" s="4"/>
      <c r="EF295" s="6"/>
      <c r="EG295" s="5"/>
      <c r="EH295" s="5"/>
      <c r="EI295" s="4"/>
      <c r="EJ295" s="6"/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  <c r="IA295" s="4"/>
      <c r="IB295" s="6"/>
      <c r="IC295" s="4"/>
      <c r="ID295" s="6"/>
      <c r="IE295" s="5"/>
      <c r="IF295" s="5"/>
      <c r="IG295" s="4"/>
      <c r="IH295" s="6"/>
      <c r="II295" s="4"/>
      <c r="IJ295" s="6"/>
      <c r="IK295" s="5"/>
      <c r="IL295" s="5"/>
      <c r="IM295" s="4"/>
      <c r="IN295" s="6"/>
      <c r="IO295" s="4"/>
      <c r="IP295" s="6"/>
      <c r="IQ295" s="5"/>
      <c r="IR295" s="5"/>
      <c r="IS295" s="4"/>
      <c r="IT295" s="6"/>
      <c r="IU295" s="4"/>
      <c r="IV295" s="6"/>
      <c r="IW295" s="5"/>
      <c r="IX295" s="5"/>
      <c r="IY295" s="4"/>
      <c r="IZ295" s="6"/>
      <c r="JA295" s="4"/>
      <c r="JB295" s="6"/>
      <c r="JC295" s="5"/>
      <c r="JD295" s="5"/>
      <c r="JE295" s="4"/>
      <c r="JF295" s="6"/>
      <c r="JG295" s="4"/>
      <c r="JH295" s="6"/>
      <c r="JI295" s="5"/>
      <c r="JJ295" s="5"/>
      <c r="JK295" s="4"/>
      <c r="JL295" s="4"/>
      <c r="JM295" s="4"/>
      <c r="JN295" s="4"/>
      <c r="JO295" s="4"/>
      <c r="JP295" s="4"/>
      <c r="JQ295" s="4"/>
      <c r="JR295" s="4"/>
      <c r="JS295" s="4"/>
      <c r="JT295" s="4"/>
      <c r="JU295" s="4"/>
      <c r="JV295" s="4"/>
      <c r="JW295" s="4"/>
      <c r="JX295" s="4"/>
      <c r="JY295" s="4"/>
      <c r="JZ295" s="4"/>
      <c r="KA295" s="4"/>
      <c r="KB295" s="4"/>
      <c r="KC295" s="4"/>
      <c r="KD295" s="4"/>
      <c r="KE295" s="4"/>
      <c r="KF295" s="4"/>
      <c r="KG295" s="4"/>
      <c r="KH295" s="4"/>
      <c r="KI295" s="4"/>
      <c r="KJ295" s="4"/>
      <c r="KK295" s="4"/>
      <c r="KL295" s="4"/>
      <c r="KM295" s="4"/>
      <c r="KN295" s="4"/>
      <c r="KO295" s="4"/>
      <c r="KP295" s="4"/>
      <c r="KQ295" s="4"/>
      <c r="KR295" s="4"/>
      <c r="KS295" s="4"/>
      <c r="KT295" s="4"/>
      <c r="KU295" s="4"/>
      <c r="KV295" s="4"/>
      <c r="KW295" s="4"/>
      <c r="KX295" s="4"/>
      <c r="KY295" s="4"/>
      <c r="KZ295" s="4"/>
      <c r="LA295" s="4"/>
      <c r="LB295" s="4"/>
      <c r="LC295" s="4"/>
      <c r="LD295" s="4"/>
      <c r="LE295" s="4"/>
      <c r="LF295" s="4"/>
      <c r="LG295" s="4"/>
      <c r="LH295" s="4"/>
      <c r="LI295" s="4"/>
      <c r="LJ295" s="4"/>
      <c r="LK295" s="4"/>
      <c r="LL295" s="4"/>
      <c r="LM295" s="4"/>
    </row>
    <row r="296">
      <c r="A296" s="3" t="s">
        <v>136</v>
      </c>
      <c r="B296" s="3" t="s">
        <v>193</v>
      </c>
      <c r="C296" s="3" t="s">
        <v>155</v>
      </c>
      <c r="D296" s="3" t="s">
        <v>156</v>
      </c>
      <c r="E296" s="3" t="s">
        <v>198</v>
      </c>
      <c r="F296" s="3" t="s">
        <v>188</v>
      </c>
      <c r="G296" s="3" t="s">
        <v>188</v>
      </c>
      <c r="H296" s="3" t="s">
        <v>143</v>
      </c>
      <c r="I296" s="3" t="s">
        <v>347</v>
      </c>
      <c r="J296" s="3" t="s">
        <v>241</v>
      </c>
      <c r="K296" s="4"/>
      <c r="L296" s="4">
        <f>=ROUNDDOWN({0},0)</f>
      </c>
      <c r="M296" s="4"/>
      <c r="N296" s="5"/>
      <c r="O296" s="4"/>
      <c r="P296" s="4">
        <f>=ROUNDDOWN({0},0)</f>
      </c>
      <c r="Q296" s="4"/>
      <c r="R296" s="5"/>
      <c r="S296" s="4">
        <v>2</v>
      </c>
      <c r="T296" s="6">
        <v>16.64</v>
      </c>
      <c r="U296" s="4">
        <v>7</v>
      </c>
      <c r="V296" s="6">
        <v>78.72</v>
      </c>
      <c r="W296" s="5">
        <v>-0.7143</v>
      </c>
      <c r="X296" s="5">
        <v>-0.7886</v>
      </c>
      <c r="Y296" s="4"/>
      <c r="Z296" s="6"/>
      <c r="AA296" s="4"/>
      <c r="AB296" s="6"/>
      <c r="AC296" s="5"/>
      <c r="AD296" s="5"/>
      <c r="AE296" s="4">
        <v>2</v>
      </c>
      <c r="AF296" s="6">
        <v>16.64</v>
      </c>
      <c r="AG296" s="4"/>
      <c r="AH296" s="6"/>
      <c r="AI296" s="5"/>
      <c r="AJ296" s="5"/>
      <c r="AK296" s="4"/>
      <c r="AL296" s="6"/>
      <c r="AM296" s="4"/>
      <c r="AN296" s="6"/>
      <c r="AO296" s="5"/>
      <c r="AP296" s="5"/>
      <c r="AQ296" s="4"/>
      <c r="AR296" s="6"/>
      <c r="AS296" s="4"/>
      <c r="AT296" s="6"/>
      <c r="AU296" s="5"/>
      <c r="AV296" s="5"/>
      <c r="AW296" s="4"/>
      <c r="AX296" s="6"/>
      <c r="AY296" s="4"/>
      <c r="AZ296" s="6"/>
      <c r="BA296" s="5"/>
      <c r="BB296" s="5"/>
      <c r="BC296" s="4"/>
      <c r="BD296" s="6"/>
      <c r="BE296" s="4"/>
      <c r="BF296" s="6"/>
      <c r="BG296" s="5"/>
      <c r="BH296" s="5"/>
      <c r="BI296" s="4"/>
      <c r="BJ296" s="6"/>
      <c r="BK296" s="4">
        <v>2</v>
      </c>
      <c r="BL296" s="6">
        <v>23.38</v>
      </c>
      <c r="BM296" s="5"/>
      <c r="BN296" s="5"/>
      <c r="BO296" s="4"/>
      <c r="BP296" s="6"/>
      <c r="BQ296" s="4"/>
      <c r="BR296" s="6"/>
      <c r="BS296" s="5"/>
      <c r="BT296" s="5"/>
      <c r="BU296" s="4"/>
      <c r="BV296" s="6"/>
      <c r="BW296" s="4"/>
      <c r="BX296" s="6"/>
      <c r="BY296" s="5"/>
      <c r="BZ296" s="5"/>
      <c r="CA296" s="4"/>
      <c r="CB296" s="6"/>
      <c r="CC296" s="4">
        <v>3</v>
      </c>
      <c r="CD296" s="6">
        <v>34.86</v>
      </c>
      <c r="CE296" s="5"/>
      <c r="CF296" s="5"/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/>
      <c r="CT296" s="6"/>
      <c r="CU296" s="4"/>
      <c r="CV296" s="6"/>
      <c r="CW296" s="5"/>
      <c r="CX296" s="5"/>
      <c r="CY296" s="4"/>
      <c r="CZ296" s="6"/>
      <c r="DA296" s="4">
        <v>2</v>
      </c>
      <c r="DB296" s="6">
        <v>20.48</v>
      </c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/>
      <c r="DX296" s="6"/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/>
      <c r="EJ296" s="6"/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/>
      <c r="FN296" s="6"/>
      <c r="FO296" s="4"/>
      <c r="FP296" s="6"/>
      <c r="FQ296" s="5"/>
      <c r="FR296" s="5"/>
      <c r="FS296" s="4"/>
      <c r="FT296" s="6"/>
      <c r="FU296" s="4"/>
      <c r="FV296" s="6"/>
      <c r="FW296" s="5"/>
      <c r="FX296" s="5"/>
      <c r="FY296" s="4"/>
      <c r="FZ296" s="6"/>
      <c r="GA296" s="4"/>
      <c r="GB296" s="6"/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  <c r="IA296" s="4"/>
      <c r="IB296" s="6"/>
      <c r="IC296" s="4"/>
      <c r="ID296" s="6"/>
      <c r="IE296" s="5"/>
      <c r="IF296" s="5"/>
      <c r="IG296" s="4"/>
      <c r="IH296" s="6"/>
      <c r="II296" s="4"/>
      <c r="IJ296" s="6"/>
      <c r="IK296" s="5"/>
      <c r="IL296" s="5"/>
      <c r="IM296" s="4"/>
      <c r="IN296" s="6"/>
      <c r="IO296" s="4"/>
      <c r="IP296" s="6"/>
      <c r="IQ296" s="5"/>
      <c r="IR296" s="5"/>
      <c r="IS296" s="4"/>
      <c r="IT296" s="6"/>
      <c r="IU296" s="4"/>
      <c r="IV296" s="6"/>
      <c r="IW296" s="5"/>
      <c r="IX296" s="5"/>
      <c r="IY296" s="4"/>
      <c r="IZ296" s="6"/>
      <c r="JA296" s="4"/>
      <c r="JB296" s="6"/>
      <c r="JC296" s="5"/>
      <c r="JD296" s="5"/>
      <c r="JE296" s="4"/>
      <c r="JF296" s="6"/>
      <c r="JG296" s="4"/>
      <c r="JH296" s="6"/>
      <c r="JI296" s="5"/>
      <c r="JJ296" s="5"/>
      <c r="JK296" s="4"/>
      <c r="JL296" s="4"/>
      <c r="JM296" s="4"/>
      <c r="JN296" s="4"/>
      <c r="JO296" s="4"/>
      <c r="JP296" s="4"/>
      <c r="JQ296" s="4"/>
      <c r="JR296" s="4"/>
      <c r="JS296" s="4"/>
      <c r="JT296" s="4"/>
      <c r="JU296" s="4"/>
      <c r="JV296" s="4"/>
      <c r="JW296" s="4"/>
      <c r="JX296" s="4"/>
      <c r="JY296" s="4"/>
      <c r="JZ296" s="4"/>
      <c r="KA296" s="4"/>
      <c r="KB296" s="4"/>
      <c r="KC296" s="4"/>
      <c r="KD296" s="4"/>
      <c r="KE296" s="4"/>
      <c r="KF296" s="4"/>
      <c r="KG296" s="4"/>
      <c r="KH296" s="4"/>
      <c r="KI296" s="4"/>
      <c r="KJ296" s="4"/>
      <c r="KK296" s="4"/>
      <c r="KL296" s="4"/>
      <c r="KM296" s="4"/>
      <c r="KN296" s="4"/>
      <c r="KO296" s="4"/>
      <c r="KP296" s="4"/>
      <c r="KQ296" s="4"/>
      <c r="KR296" s="4"/>
      <c r="KS296" s="4"/>
      <c r="KT296" s="4"/>
      <c r="KU296" s="4"/>
      <c r="KV296" s="4"/>
      <c r="KW296" s="4"/>
      <c r="KX296" s="4"/>
      <c r="KY296" s="4"/>
      <c r="KZ296" s="4"/>
      <c r="LA296" s="4"/>
      <c r="LB296" s="4"/>
      <c r="LC296" s="4"/>
      <c r="LD296" s="4"/>
      <c r="LE296" s="4"/>
      <c r="LF296" s="4"/>
      <c r="LG296" s="4"/>
      <c r="LH296" s="4"/>
      <c r="LI296" s="4"/>
      <c r="LJ296" s="4"/>
      <c r="LK296" s="4"/>
      <c r="LL296" s="4"/>
      <c r="LM296" s="4"/>
    </row>
    <row r="297">
      <c r="A297" s="3" t="s">
        <v>136</v>
      </c>
      <c r="B297" s="3" t="s">
        <v>199</v>
      </c>
      <c r="C297" s="3" t="s">
        <v>138</v>
      </c>
      <c r="D297" s="3" t="s">
        <v>139</v>
      </c>
      <c r="E297" s="3" t="s">
        <v>200</v>
      </c>
      <c r="F297" s="3" t="s">
        <v>200</v>
      </c>
      <c r="G297" s="3" t="s">
        <v>200</v>
      </c>
      <c r="H297" s="3" t="s">
        <v>143</v>
      </c>
      <c r="I297" s="3" t="s">
        <v>258</v>
      </c>
      <c r="J297" s="3" t="s">
        <v>228</v>
      </c>
      <c r="K297" s="4">
        <v>560</v>
      </c>
      <c r="L297" s="4">
        <f>=ROUNDDOWN(10.7692307692308,0)</f>
      </c>
      <c r="M297" s="4">
        <v>1120</v>
      </c>
      <c r="N297" s="5">
        <v>0.9568</v>
      </c>
      <c r="O297" s="4"/>
      <c r="P297" s="4">
        <f>=ROUNDDOWN({0},0)</f>
      </c>
      <c r="Q297" s="4"/>
      <c r="R297" s="5"/>
      <c r="S297" s="4">
        <v>559</v>
      </c>
      <c r="T297" s="6">
        <v>13673.48</v>
      </c>
      <c r="U297" s="4">
        <v>325</v>
      </c>
      <c r="V297" s="6">
        <v>7937.51</v>
      </c>
      <c r="W297" s="5">
        <v>0.72</v>
      </c>
      <c r="X297" s="5">
        <v>0.7226</v>
      </c>
      <c r="Y297" s="4">
        <v>49</v>
      </c>
      <c r="Z297" s="6">
        <v>1372.88</v>
      </c>
      <c r="AA297" s="4">
        <v>29</v>
      </c>
      <c r="AB297" s="6">
        <v>816.4</v>
      </c>
      <c r="AC297" s="5">
        <v>0.6897</v>
      </c>
      <c r="AD297" s="5">
        <v>0.6816</v>
      </c>
      <c r="AE297" s="4">
        <v>23</v>
      </c>
      <c r="AF297" s="6">
        <v>657</v>
      </c>
      <c r="AG297" s="4">
        <v>4</v>
      </c>
      <c r="AH297" s="6">
        <v>122.79</v>
      </c>
      <c r="AI297" s="5">
        <v>4.75</v>
      </c>
      <c r="AJ297" s="5">
        <v>4.3506</v>
      </c>
      <c r="AK297" s="4"/>
      <c r="AL297" s="6"/>
      <c r="AM297" s="4"/>
      <c r="AN297" s="6"/>
      <c r="AO297" s="5"/>
      <c r="AP297" s="5"/>
      <c r="AQ297" s="4">
        <v>382</v>
      </c>
      <c r="AR297" s="6">
        <v>8927.97</v>
      </c>
      <c r="AS297" s="4">
        <v>151</v>
      </c>
      <c r="AT297" s="6">
        <v>3497.47</v>
      </c>
      <c r="AU297" s="5">
        <v>1.5298</v>
      </c>
      <c r="AV297" s="5">
        <v>1.5527</v>
      </c>
      <c r="AW297" s="4"/>
      <c r="AX297" s="6"/>
      <c r="AY297" s="4"/>
      <c r="AZ297" s="6"/>
      <c r="BA297" s="5"/>
      <c r="BB297" s="5"/>
      <c r="BC297" s="4">
        <v>69</v>
      </c>
      <c r="BD297" s="6">
        <v>1860.44</v>
      </c>
      <c r="BE297" s="4">
        <v>55</v>
      </c>
      <c r="BF297" s="6">
        <v>1382.16</v>
      </c>
      <c r="BG297" s="5">
        <v>0.2545</v>
      </c>
      <c r="BH297" s="5">
        <v>0.346</v>
      </c>
      <c r="BI297" s="4">
        <v>5</v>
      </c>
      <c r="BJ297" s="6">
        <v>144.96</v>
      </c>
      <c r="BK297" s="4">
        <v>31</v>
      </c>
      <c r="BL297" s="6">
        <v>833.52</v>
      </c>
      <c r="BM297" s="5">
        <v>-0.8387</v>
      </c>
      <c r="BN297" s="5">
        <v>-0.8261</v>
      </c>
      <c r="BO297" s="4">
        <v>20</v>
      </c>
      <c r="BP297" s="6">
        <v>414.94</v>
      </c>
      <c r="BQ297" s="4">
        <v>29</v>
      </c>
      <c r="BR297" s="6">
        <v>614.2</v>
      </c>
      <c r="BS297" s="5">
        <v>-0.3103</v>
      </c>
      <c r="BT297" s="5">
        <v>-0.3244</v>
      </c>
      <c r="BU297" s="4">
        <v>3</v>
      </c>
      <c r="BV297" s="6">
        <v>74.88</v>
      </c>
      <c r="BW297" s="4">
        <v>6</v>
      </c>
      <c r="BX297" s="6">
        <v>158.43</v>
      </c>
      <c r="BY297" s="5">
        <v>-0.5</v>
      </c>
      <c r="BZ297" s="5">
        <v>-0.5274</v>
      </c>
      <c r="CA297" s="4">
        <v>1</v>
      </c>
      <c r="CB297" s="6">
        <v>22.67</v>
      </c>
      <c r="CC297" s="4">
        <v>10</v>
      </c>
      <c r="CD297" s="6">
        <v>259.31</v>
      </c>
      <c r="CE297" s="5">
        <v>-0.9</v>
      </c>
      <c r="CF297" s="5">
        <v>-0.9126</v>
      </c>
      <c r="CG297" s="4">
        <v>3</v>
      </c>
      <c r="CH297" s="6">
        <v>79.44</v>
      </c>
      <c r="CI297" s="4">
        <v>2</v>
      </c>
      <c r="CJ297" s="6">
        <v>44.28</v>
      </c>
      <c r="CK297" s="5">
        <v>0.5</v>
      </c>
      <c r="CL297" s="5">
        <v>0.794</v>
      </c>
      <c r="CM297" s="4"/>
      <c r="CN297" s="6"/>
      <c r="CO297" s="4"/>
      <c r="CP297" s="6"/>
      <c r="CQ297" s="5"/>
      <c r="CR297" s="5"/>
      <c r="CS297" s="4"/>
      <c r="CT297" s="6"/>
      <c r="CU297" s="4"/>
      <c r="CV297" s="6"/>
      <c r="CW297" s="5"/>
      <c r="CX297" s="5"/>
      <c r="CY297" s="4">
        <v>2</v>
      </c>
      <c r="CZ297" s="6">
        <v>42</v>
      </c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>
        <v>1</v>
      </c>
      <c r="DL297" s="6">
        <v>45.11</v>
      </c>
      <c r="DM297" s="4"/>
      <c r="DN297" s="6"/>
      <c r="DO297" s="5"/>
      <c r="DP297" s="5"/>
      <c r="DQ297" s="4">
        <v>1</v>
      </c>
      <c r="DR297" s="6">
        <v>31.19</v>
      </c>
      <c r="DS297" s="4">
        <v>2</v>
      </c>
      <c r="DT297" s="6">
        <v>62.38</v>
      </c>
      <c r="DU297" s="5">
        <v>-0.5</v>
      </c>
      <c r="DV297" s="5">
        <v>-0.5</v>
      </c>
      <c r="DW297" s="4"/>
      <c r="DX297" s="6"/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/>
      <c r="EJ297" s="6"/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/>
      <c r="FP297" s="6"/>
      <c r="FQ297" s="5"/>
      <c r="FR297" s="5"/>
      <c r="FS297" s="4"/>
      <c r="FT297" s="6"/>
      <c r="FU297" s="4">
        <v>5</v>
      </c>
      <c r="FV297" s="6">
        <v>120.58</v>
      </c>
      <c r="FW297" s="5"/>
      <c r="FX297" s="5"/>
      <c r="FY297" s="4"/>
      <c r="FZ297" s="6"/>
      <c r="GA297" s="4">
        <v>1</v>
      </c>
      <c r="GB297" s="6">
        <v>25.99</v>
      </c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  <c r="IA297" s="4"/>
      <c r="IB297" s="6"/>
      <c r="IC297" s="4"/>
      <c r="ID297" s="6"/>
      <c r="IE297" s="5"/>
      <c r="IF297" s="5"/>
      <c r="IG297" s="4"/>
      <c r="IH297" s="6"/>
      <c r="II297" s="4"/>
      <c r="IJ297" s="6"/>
      <c r="IK297" s="5"/>
      <c r="IL297" s="5"/>
      <c r="IM297" s="4"/>
      <c r="IN297" s="6"/>
      <c r="IO297" s="4"/>
      <c r="IP297" s="6"/>
      <c r="IQ297" s="5"/>
      <c r="IR297" s="5"/>
      <c r="IS297" s="4"/>
      <c r="IT297" s="6"/>
      <c r="IU297" s="4"/>
      <c r="IV297" s="6"/>
      <c r="IW297" s="5"/>
      <c r="IX297" s="5"/>
      <c r="IY297" s="4"/>
      <c r="IZ297" s="6"/>
      <c r="JA297" s="4"/>
      <c r="JB297" s="6"/>
      <c r="JC297" s="5"/>
      <c r="JD297" s="5"/>
      <c r="JE297" s="4"/>
      <c r="JF297" s="6"/>
      <c r="JG297" s="4"/>
      <c r="JH297" s="6"/>
      <c r="JI297" s="5"/>
      <c r="JJ297" s="5"/>
      <c r="JK297" s="4">
        <v>560</v>
      </c>
      <c r="JL297" s="4"/>
      <c r="JM297" s="4"/>
      <c r="JN297" s="4"/>
      <c r="JO297" s="4"/>
      <c r="JP297" s="4"/>
      <c r="JQ297" s="4"/>
      <c r="JR297" s="4"/>
      <c r="JS297" s="4"/>
      <c r="JT297" s="4"/>
      <c r="JU297" s="4"/>
      <c r="JV297" s="4"/>
      <c r="JW297" s="4"/>
      <c r="JX297" s="4"/>
      <c r="JY297" s="4"/>
      <c r="JZ297" s="4"/>
      <c r="KA297" s="4"/>
      <c r="KB297" s="4"/>
      <c r="KC297" s="4"/>
      <c r="KD297" s="4"/>
      <c r="KE297" s="4"/>
      <c r="KF297" s="4"/>
      <c r="KG297" s="4"/>
      <c r="KH297" s="4"/>
      <c r="KI297" s="4"/>
      <c r="KJ297" s="4"/>
      <c r="KK297" s="4"/>
      <c r="KL297" s="4"/>
      <c r="KM297" s="4"/>
      <c r="KN297" s="4"/>
      <c r="KO297" s="4"/>
      <c r="KP297" s="4"/>
      <c r="KQ297" s="4">
        <v>380</v>
      </c>
      <c r="KR297" s="4"/>
      <c r="KS297" s="4"/>
      <c r="KT297" s="4"/>
      <c r="KU297" s="4"/>
      <c r="KV297" s="4"/>
      <c r="KW297" s="4"/>
      <c r="KX297" s="4"/>
      <c r="KY297" s="4"/>
      <c r="KZ297" s="4"/>
      <c r="LA297" s="4"/>
      <c r="LB297" s="4"/>
      <c r="LC297" s="4"/>
      <c r="LD297" s="4"/>
      <c r="LE297" s="4">
        <v>450</v>
      </c>
      <c r="LF297" s="4"/>
      <c r="LG297" s="4"/>
      <c r="LH297" s="4"/>
      <c r="LI297" s="4"/>
      <c r="LJ297" s="4"/>
      <c r="LK297" s="4">
        <v>290</v>
      </c>
      <c r="LL297" s="4"/>
      <c r="LM297" s="4"/>
    </row>
    <row r="298">
      <c r="A298" s="3" t="s">
        <v>136</v>
      </c>
      <c r="B298" s="3" t="s">
        <v>199</v>
      </c>
      <c r="C298" s="3" t="s">
        <v>138</v>
      </c>
      <c r="D298" s="3" t="s">
        <v>139</v>
      </c>
      <c r="E298" s="3" t="s">
        <v>200</v>
      </c>
      <c r="F298" s="3" t="s">
        <v>200</v>
      </c>
      <c r="G298" s="3" t="s">
        <v>200</v>
      </c>
      <c r="H298" s="3" t="s">
        <v>143</v>
      </c>
      <c r="I298" s="3" t="s">
        <v>232</v>
      </c>
      <c r="J298" s="3" t="s">
        <v>228</v>
      </c>
      <c r="K298" s="4">
        <v>542</v>
      </c>
      <c r="L298" s="4">
        <f>=ROUNDDOWN(15.0555555555556,0)</f>
      </c>
      <c r="M298" s="4">
        <v>978</v>
      </c>
      <c r="N298" s="5">
        <v>0.9472</v>
      </c>
      <c r="O298" s="4"/>
      <c r="P298" s="4">
        <f>=ROUNDDOWN({0},0)</f>
      </c>
      <c r="Q298" s="4"/>
      <c r="R298" s="5"/>
      <c r="S298" s="4">
        <v>335</v>
      </c>
      <c r="T298" s="6">
        <v>8314.33</v>
      </c>
      <c r="U298" s="4">
        <v>215</v>
      </c>
      <c r="V298" s="6">
        <v>5315.12</v>
      </c>
      <c r="W298" s="5">
        <v>0.5581</v>
      </c>
      <c r="X298" s="5">
        <v>0.5643</v>
      </c>
      <c r="Y298" s="4">
        <v>45</v>
      </c>
      <c r="Z298" s="6">
        <v>1259.85</v>
      </c>
      <c r="AA298" s="4">
        <v>18</v>
      </c>
      <c r="AB298" s="6">
        <v>510.75</v>
      </c>
      <c r="AC298" s="5">
        <v>1.5</v>
      </c>
      <c r="AD298" s="5">
        <v>1.4667</v>
      </c>
      <c r="AE298" s="4">
        <v>17</v>
      </c>
      <c r="AF298" s="6">
        <v>477.81</v>
      </c>
      <c r="AG298" s="4">
        <v>7</v>
      </c>
      <c r="AH298" s="6">
        <v>205.73</v>
      </c>
      <c r="AI298" s="5">
        <v>1.4286</v>
      </c>
      <c r="AJ298" s="5">
        <v>1.3225</v>
      </c>
      <c r="AK298" s="4"/>
      <c r="AL298" s="6"/>
      <c r="AM298" s="4"/>
      <c r="AN298" s="6"/>
      <c r="AO298" s="5"/>
      <c r="AP298" s="5"/>
      <c r="AQ298" s="4">
        <v>163</v>
      </c>
      <c r="AR298" s="6">
        <v>3817.73</v>
      </c>
      <c r="AS298" s="4">
        <v>112</v>
      </c>
      <c r="AT298" s="6">
        <v>2641.26</v>
      </c>
      <c r="AU298" s="5">
        <v>0.4554</v>
      </c>
      <c r="AV298" s="5">
        <v>0.4454</v>
      </c>
      <c r="AW298" s="4"/>
      <c r="AX298" s="6"/>
      <c r="AY298" s="4"/>
      <c r="AZ298" s="6"/>
      <c r="BA298" s="5"/>
      <c r="BB298" s="5"/>
      <c r="BC298" s="4">
        <v>65</v>
      </c>
      <c r="BD298" s="6">
        <v>1667.36</v>
      </c>
      <c r="BE298" s="4">
        <v>34</v>
      </c>
      <c r="BF298" s="6">
        <v>836.96</v>
      </c>
      <c r="BG298" s="5">
        <v>0.9118</v>
      </c>
      <c r="BH298" s="5">
        <v>0.9922</v>
      </c>
      <c r="BI298" s="4">
        <v>11</v>
      </c>
      <c r="BJ298" s="6">
        <v>289.92</v>
      </c>
      <c r="BK298" s="4">
        <v>19</v>
      </c>
      <c r="BL298" s="6">
        <v>531.52</v>
      </c>
      <c r="BM298" s="5">
        <v>-0.4211</v>
      </c>
      <c r="BN298" s="5">
        <v>-0.4545</v>
      </c>
      <c r="BO298" s="4">
        <v>22</v>
      </c>
      <c r="BP298" s="6">
        <v>491.71</v>
      </c>
      <c r="BQ298" s="4">
        <v>9</v>
      </c>
      <c r="BR298" s="6">
        <v>187.41</v>
      </c>
      <c r="BS298" s="5">
        <v>1.4444</v>
      </c>
      <c r="BT298" s="5">
        <v>1.6237</v>
      </c>
      <c r="BU298" s="4">
        <v>3</v>
      </c>
      <c r="BV298" s="6">
        <v>77.77</v>
      </c>
      <c r="BW298" s="4">
        <v>2</v>
      </c>
      <c r="BX298" s="6">
        <v>54.73</v>
      </c>
      <c r="BY298" s="5">
        <v>0.5</v>
      </c>
      <c r="BZ298" s="5">
        <v>0.421</v>
      </c>
      <c r="CA298" s="4">
        <v>2</v>
      </c>
      <c r="CB298" s="6">
        <v>48.65</v>
      </c>
      <c r="CC298" s="4">
        <v>1</v>
      </c>
      <c r="CD298" s="6">
        <v>22.67</v>
      </c>
      <c r="CE298" s="5">
        <v>1</v>
      </c>
      <c r="CF298" s="5">
        <v>1.146</v>
      </c>
      <c r="CG298" s="4">
        <v>4</v>
      </c>
      <c r="CH298" s="6">
        <v>89.96</v>
      </c>
      <c r="CI298" s="4">
        <v>7</v>
      </c>
      <c r="CJ298" s="6">
        <v>162.92</v>
      </c>
      <c r="CK298" s="5">
        <v>-0.4286</v>
      </c>
      <c r="CL298" s="5">
        <v>-0.4478</v>
      </c>
      <c r="CM298" s="4"/>
      <c r="CN298" s="6"/>
      <c r="CO298" s="4"/>
      <c r="CP298" s="6"/>
      <c r="CQ298" s="5"/>
      <c r="CR298" s="5"/>
      <c r="CS298" s="4"/>
      <c r="CT298" s="6"/>
      <c r="CU298" s="4"/>
      <c r="CV298" s="6"/>
      <c r="CW298" s="5"/>
      <c r="CX298" s="5"/>
      <c r="CY298" s="4"/>
      <c r="CZ298" s="6"/>
      <c r="DA298" s="4"/>
      <c r="DB298" s="6"/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>
        <v>3</v>
      </c>
      <c r="DR298" s="6">
        <v>93.57</v>
      </c>
      <c r="DS298" s="4">
        <v>2</v>
      </c>
      <c r="DT298" s="6">
        <v>56.14</v>
      </c>
      <c r="DU298" s="5">
        <v>0.5</v>
      </c>
      <c r="DV298" s="5">
        <v>0.6667</v>
      </c>
      <c r="DW298" s="4"/>
      <c r="DX298" s="6"/>
      <c r="DY298" s="4"/>
      <c r="DZ298" s="6"/>
      <c r="EA298" s="5"/>
      <c r="EB298" s="5"/>
      <c r="EC298" s="4"/>
      <c r="ED298" s="6"/>
      <c r="EE298" s="4"/>
      <c r="EF298" s="6"/>
      <c r="EG298" s="5"/>
      <c r="EH298" s="5"/>
      <c r="EI298" s="4"/>
      <c r="EJ298" s="6"/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/>
      <c r="FN298" s="6"/>
      <c r="FO298" s="4"/>
      <c r="FP298" s="6"/>
      <c r="FQ298" s="5"/>
      <c r="FR298" s="5"/>
      <c r="FS298" s="4"/>
      <c r="FT298" s="6"/>
      <c r="FU298" s="4">
        <v>2</v>
      </c>
      <c r="FV298" s="6">
        <v>54</v>
      </c>
      <c r="FW298" s="5"/>
      <c r="FX298" s="5"/>
      <c r="FY298" s="4"/>
      <c r="FZ298" s="6"/>
      <c r="GA298" s="4">
        <v>2</v>
      </c>
      <c r="GB298" s="6">
        <v>51.03</v>
      </c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  <c r="IA298" s="4"/>
      <c r="IB298" s="6"/>
      <c r="IC298" s="4"/>
      <c r="ID298" s="6"/>
      <c r="IE298" s="5"/>
      <c r="IF298" s="5"/>
      <c r="IG298" s="4"/>
      <c r="IH298" s="6"/>
      <c r="II298" s="4"/>
      <c r="IJ298" s="6"/>
      <c r="IK298" s="5"/>
      <c r="IL298" s="5"/>
      <c r="IM298" s="4"/>
      <c r="IN298" s="6"/>
      <c r="IO298" s="4"/>
      <c r="IP298" s="6"/>
      <c r="IQ298" s="5"/>
      <c r="IR298" s="5"/>
      <c r="IS298" s="4"/>
      <c r="IT298" s="6"/>
      <c r="IU298" s="4"/>
      <c r="IV298" s="6"/>
      <c r="IW298" s="5"/>
      <c r="IX298" s="5"/>
      <c r="IY298" s="4"/>
      <c r="IZ298" s="6"/>
      <c r="JA298" s="4"/>
      <c r="JB298" s="6"/>
      <c r="JC298" s="5"/>
      <c r="JD298" s="5"/>
      <c r="JE298" s="4"/>
      <c r="JF298" s="6"/>
      <c r="JG298" s="4"/>
      <c r="JH298" s="6"/>
      <c r="JI298" s="5"/>
      <c r="JJ298" s="5"/>
      <c r="JK298" s="4">
        <v>542</v>
      </c>
      <c r="JL298" s="4"/>
      <c r="JM298" s="4"/>
      <c r="JN298" s="4"/>
      <c r="JO298" s="4"/>
      <c r="JP298" s="4"/>
      <c r="JQ298" s="4"/>
      <c r="JR298" s="4"/>
      <c r="JS298" s="4"/>
      <c r="JT298" s="4"/>
      <c r="JU298" s="4"/>
      <c r="JV298" s="4"/>
      <c r="JW298" s="4"/>
      <c r="JX298" s="4"/>
      <c r="JY298" s="4"/>
      <c r="JZ298" s="4"/>
      <c r="KA298" s="4"/>
      <c r="KB298" s="4"/>
      <c r="KC298" s="4"/>
      <c r="KD298" s="4"/>
      <c r="KE298" s="4"/>
      <c r="KF298" s="4"/>
      <c r="KG298" s="4"/>
      <c r="KH298" s="4"/>
      <c r="KI298" s="4"/>
      <c r="KJ298" s="4"/>
      <c r="KK298" s="4"/>
      <c r="KL298" s="4"/>
      <c r="KM298" s="4"/>
      <c r="KN298" s="4"/>
      <c r="KO298" s="4"/>
      <c r="KP298" s="4"/>
      <c r="KQ298" s="4">
        <v>378</v>
      </c>
      <c r="KR298" s="4"/>
      <c r="KS298" s="4"/>
      <c r="KT298" s="4"/>
      <c r="KU298" s="4"/>
      <c r="KV298" s="4"/>
      <c r="KW298" s="4"/>
      <c r="KX298" s="4"/>
      <c r="KY298" s="4"/>
      <c r="KZ298" s="4"/>
      <c r="LA298" s="4"/>
      <c r="LB298" s="4"/>
      <c r="LC298" s="4"/>
      <c r="LD298" s="4"/>
      <c r="LE298" s="4">
        <v>220</v>
      </c>
      <c r="LF298" s="4"/>
      <c r="LG298" s="4"/>
      <c r="LH298" s="4"/>
      <c r="LI298" s="4"/>
      <c r="LJ298" s="4"/>
      <c r="LK298" s="4">
        <v>380</v>
      </c>
      <c r="LL298" s="4"/>
      <c r="LM298" s="4"/>
    </row>
    <row r="299">
      <c r="A299" s="3" t="s">
        <v>136</v>
      </c>
      <c r="B299" s="3" t="s">
        <v>199</v>
      </c>
      <c r="C299" s="3" t="s">
        <v>138</v>
      </c>
      <c r="D299" s="3" t="s">
        <v>139</v>
      </c>
      <c r="E299" s="3" t="s">
        <v>200</v>
      </c>
      <c r="F299" s="3" t="s">
        <v>200</v>
      </c>
      <c r="G299" s="3" t="s">
        <v>200</v>
      </c>
      <c r="H299" s="3" t="s">
        <v>143</v>
      </c>
      <c r="I299" s="3" t="s">
        <v>348</v>
      </c>
      <c r="J299" s="3" t="s">
        <v>228</v>
      </c>
      <c r="K299" s="4">
        <v>724</v>
      </c>
      <c r="L299" s="4">
        <f>=ROUNDDOWN(40.2222222222222,0)</f>
      </c>
      <c r="M299" s="4"/>
      <c r="N299" s="5">
        <v>0.9639</v>
      </c>
      <c r="O299" s="4"/>
      <c r="P299" s="4">
        <f>=ROUNDDOWN({0},0)</f>
      </c>
      <c r="Q299" s="4"/>
      <c r="R299" s="5"/>
      <c r="S299" s="4">
        <v>181</v>
      </c>
      <c r="T299" s="6">
        <v>4532.66</v>
      </c>
      <c r="U299" s="4">
        <v>206</v>
      </c>
      <c r="V299" s="6">
        <v>5114.06</v>
      </c>
      <c r="W299" s="5">
        <v>-0.1214</v>
      </c>
      <c r="X299" s="5">
        <v>-0.1137</v>
      </c>
      <c r="Y299" s="4">
        <v>16</v>
      </c>
      <c r="Z299" s="6">
        <v>458.66</v>
      </c>
      <c r="AA299" s="4">
        <v>17</v>
      </c>
      <c r="AB299" s="6">
        <v>486.28</v>
      </c>
      <c r="AC299" s="5">
        <v>-0.0588</v>
      </c>
      <c r="AD299" s="5">
        <v>-0.0568</v>
      </c>
      <c r="AE299" s="4">
        <v>7</v>
      </c>
      <c r="AF299" s="6">
        <v>202.42</v>
      </c>
      <c r="AG299" s="4">
        <v>3</v>
      </c>
      <c r="AH299" s="6">
        <v>86.27</v>
      </c>
      <c r="AI299" s="5">
        <v>1.3333</v>
      </c>
      <c r="AJ299" s="5">
        <v>1.3464</v>
      </c>
      <c r="AK299" s="4"/>
      <c r="AL299" s="6"/>
      <c r="AM299" s="4"/>
      <c r="AN299" s="6"/>
      <c r="AO299" s="5"/>
      <c r="AP299" s="5"/>
      <c r="AQ299" s="4">
        <v>73</v>
      </c>
      <c r="AR299" s="6">
        <v>1706.24</v>
      </c>
      <c r="AS299" s="4">
        <v>121</v>
      </c>
      <c r="AT299" s="6">
        <v>2901.26</v>
      </c>
      <c r="AU299" s="5">
        <v>-0.3967</v>
      </c>
      <c r="AV299" s="5">
        <v>-0.4119</v>
      </c>
      <c r="AW299" s="4"/>
      <c r="AX299" s="6"/>
      <c r="AY299" s="4"/>
      <c r="AZ299" s="6"/>
      <c r="BA299" s="5"/>
      <c r="BB299" s="5"/>
      <c r="BC299" s="4">
        <v>61</v>
      </c>
      <c r="BD299" s="6">
        <v>1556.44</v>
      </c>
      <c r="BE299" s="4">
        <v>40</v>
      </c>
      <c r="BF299" s="6">
        <v>1004.92</v>
      </c>
      <c r="BG299" s="5">
        <v>0.525</v>
      </c>
      <c r="BH299" s="5">
        <v>0.5488</v>
      </c>
      <c r="BI299" s="4">
        <v>5</v>
      </c>
      <c r="BJ299" s="6">
        <v>138.92</v>
      </c>
      <c r="BK299" s="4">
        <v>6</v>
      </c>
      <c r="BL299" s="6">
        <v>166.1</v>
      </c>
      <c r="BM299" s="5">
        <v>-0.1667</v>
      </c>
      <c r="BN299" s="5">
        <v>-0.1636</v>
      </c>
      <c r="BO299" s="4">
        <v>7</v>
      </c>
      <c r="BP299" s="6">
        <v>145.58</v>
      </c>
      <c r="BQ299" s="4">
        <v>4</v>
      </c>
      <c r="BR299" s="6">
        <v>80.32</v>
      </c>
      <c r="BS299" s="5">
        <v>0.75</v>
      </c>
      <c r="BT299" s="5">
        <v>0.8125</v>
      </c>
      <c r="BU299" s="4">
        <v>2</v>
      </c>
      <c r="BV299" s="6">
        <v>54.73</v>
      </c>
      <c r="BW299" s="4">
        <v>3</v>
      </c>
      <c r="BX299" s="6">
        <v>80.66</v>
      </c>
      <c r="BY299" s="5">
        <v>-0.3333</v>
      </c>
      <c r="BZ299" s="5">
        <v>-0.3215</v>
      </c>
      <c r="CA299" s="4"/>
      <c r="CB299" s="6"/>
      <c r="CC299" s="4">
        <v>2</v>
      </c>
      <c r="CD299" s="6">
        <v>54.32</v>
      </c>
      <c r="CE299" s="5"/>
      <c r="CF299" s="5"/>
      <c r="CG299" s="4">
        <v>3</v>
      </c>
      <c r="CH299" s="6">
        <v>66.42</v>
      </c>
      <c r="CI299" s="4">
        <v>2</v>
      </c>
      <c r="CJ299" s="6">
        <v>47.08</v>
      </c>
      <c r="CK299" s="5">
        <v>0.5</v>
      </c>
      <c r="CL299" s="5">
        <v>0.4108</v>
      </c>
      <c r="CM299" s="4"/>
      <c r="CN299" s="6"/>
      <c r="CO299" s="4"/>
      <c r="CP299" s="6"/>
      <c r="CQ299" s="5"/>
      <c r="CR299" s="5"/>
      <c r="CS299" s="4"/>
      <c r="CT299" s="6"/>
      <c r="CU299" s="4"/>
      <c r="CV299" s="6"/>
      <c r="CW299" s="5"/>
      <c r="CX299" s="5"/>
      <c r="CY299" s="4"/>
      <c r="CZ299" s="6"/>
      <c r="DA299" s="4"/>
      <c r="DB299" s="6"/>
      <c r="DC299" s="5"/>
      <c r="DD299" s="5"/>
      <c r="DE299" s="4"/>
      <c r="DF299" s="6"/>
      <c r="DG299" s="4"/>
      <c r="DH299" s="6"/>
      <c r="DI299" s="5"/>
      <c r="DJ299" s="5"/>
      <c r="DK299" s="4"/>
      <c r="DL299" s="6"/>
      <c r="DM299" s="4"/>
      <c r="DN299" s="6"/>
      <c r="DO299" s="5"/>
      <c r="DP299" s="5"/>
      <c r="DQ299" s="4">
        <v>7</v>
      </c>
      <c r="DR299" s="6">
        <v>203.25</v>
      </c>
      <c r="DS299" s="4">
        <v>2</v>
      </c>
      <c r="DT299" s="6">
        <v>57.18</v>
      </c>
      <c r="DU299" s="5">
        <v>2.5</v>
      </c>
      <c r="DV299" s="5">
        <v>2.5546</v>
      </c>
      <c r="DW299" s="4"/>
      <c r="DX299" s="6"/>
      <c r="DY299" s="4"/>
      <c r="DZ299" s="6"/>
      <c r="EA299" s="5"/>
      <c r="EB299" s="5"/>
      <c r="EC299" s="4"/>
      <c r="ED299" s="6"/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/>
      <c r="FP299" s="6"/>
      <c r="FQ299" s="5"/>
      <c r="FR299" s="5"/>
      <c r="FS299" s="4"/>
      <c r="FT299" s="6"/>
      <c r="FU299" s="4">
        <v>2</v>
      </c>
      <c r="FV299" s="6">
        <v>46.66</v>
      </c>
      <c r="FW299" s="5"/>
      <c r="FX299" s="5"/>
      <c r="FY299" s="4"/>
      <c r="FZ299" s="6"/>
      <c r="GA299" s="4">
        <v>4</v>
      </c>
      <c r="GB299" s="6">
        <v>103.01</v>
      </c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  <c r="IA299" s="4"/>
      <c r="IB299" s="6"/>
      <c r="IC299" s="4"/>
      <c r="ID299" s="6"/>
      <c r="IE299" s="5"/>
      <c r="IF299" s="5"/>
      <c r="IG299" s="4"/>
      <c r="IH299" s="6"/>
      <c r="II299" s="4"/>
      <c r="IJ299" s="6"/>
      <c r="IK299" s="5"/>
      <c r="IL299" s="5"/>
      <c r="IM299" s="4"/>
      <c r="IN299" s="6"/>
      <c r="IO299" s="4"/>
      <c r="IP299" s="6"/>
      <c r="IQ299" s="5"/>
      <c r="IR299" s="5"/>
      <c r="IS299" s="4"/>
      <c r="IT299" s="6"/>
      <c r="IU299" s="4"/>
      <c r="IV299" s="6"/>
      <c r="IW299" s="5"/>
      <c r="IX299" s="5"/>
      <c r="IY299" s="4"/>
      <c r="IZ299" s="6"/>
      <c r="JA299" s="4"/>
      <c r="JB299" s="6"/>
      <c r="JC299" s="5"/>
      <c r="JD299" s="5"/>
      <c r="JE299" s="4"/>
      <c r="JF299" s="6"/>
      <c r="JG299" s="4"/>
      <c r="JH299" s="6"/>
      <c r="JI299" s="5"/>
      <c r="JJ299" s="5"/>
      <c r="JK299" s="4">
        <v>724</v>
      </c>
      <c r="JL299" s="4"/>
      <c r="JM299" s="4"/>
      <c r="JN299" s="4"/>
      <c r="JO299" s="4"/>
      <c r="JP299" s="4"/>
      <c r="JQ299" s="4"/>
      <c r="JR299" s="4"/>
      <c r="JS299" s="4"/>
      <c r="JT299" s="4"/>
      <c r="JU299" s="4"/>
      <c r="JV299" s="4"/>
      <c r="JW299" s="4"/>
      <c r="JX299" s="4"/>
      <c r="JY299" s="4"/>
      <c r="JZ299" s="4"/>
      <c r="KA299" s="4"/>
      <c r="KB299" s="4"/>
      <c r="KC299" s="4"/>
      <c r="KD299" s="4"/>
      <c r="KE299" s="4"/>
      <c r="KF299" s="4"/>
      <c r="KG299" s="4"/>
      <c r="KH299" s="4"/>
      <c r="KI299" s="4"/>
      <c r="KJ299" s="4"/>
      <c r="KK299" s="4"/>
      <c r="KL299" s="4"/>
      <c r="KM299" s="4"/>
      <c r="KN299" s="4"/>
      <c r="KO299" s="4"/>
      <c r="KP299" s="4"/>
      <c r="KQ299" s="4"/>
      <c r="KR299" s="4"/>
      <c r="KS299" s="4"/>
      <c r="KT299" s="4"/>
      <c r="KU299" s="4"/>
      <c r="KV299" s="4"/>
      <c r="KW299" s="4"/>
      <c r="KX299" s="4"/>
      <c r="KY299" s="4"/>
      <c r="KZ299" s="4"/>
      <c r="LA299" s="4"/>
      <c r="LB299" s="4"/>
      <c r="LC299" s="4"/>
      <c r="LD299" s="4"/>
      <c r="LE299" s="4"/>
      <c r="LF299" s="4"/>
      <c r="LG299" s="4"/>
      <c r="LH299" s="4"/>
      <c r="LI299" s="4"/>
      <c r="LJ299" s="4"/>
      <c r="LK299" s="4"/>
      <c r="LL299" s="4"/>
      <c r="LM299" s="4"/>
    </row>
    <row r="300">
      <c r="A300" s="3" t="s">
        <v>136</v>
      </c>
      <c r="B300" s="3" t="s">
        <v>199</v>
      </c>
      <c r="C300" s="3" t="s">
        <v>138</v>
      </c>
      <c r="D300" s="3" t="s">
        <v>139</v>
      </c>
      <c r="E300" s="3" t="s">
        <v>200</v>
      </c>
      <c r="F300" s="3" t="s">
        <v>200</v>
      </c>
      <c r="G300" s="3" t="s">
        <v>200</v>
      </c>
      <c r="H300" s="3" t="s">
        <v>143</v>
      </c>
      <c r="I300" s="3" t="s">
        <v>244</v>
      </c>
      <c r="J300" s="3" t="s">
        <v>228</v>
      </c>
      <c r="K300" s="4">
        <v>657</v>
      </c>
      <c r="L300" s="4">
        <f>=ROUNDDOWN(43.8,0)</f>
      </c>
      <c r="M300" s="4">
        <v>300</v>
      </c>
      <c r="N300" s="5">
        <v>1</v>
      </c>
      <c r="O300" s="4"/>
      <c r="P300" s="4">
        <f>=ROUNDDOWN({0},0)</f>
      </c>
      <c r="Q300" s="4"/>
      <c r="R300" s="5"/>
      <c r="S300" s="4">
        <v>112</v>
      </c>
      <c r="T300" s="6">
        <v>3000.16</v>
      </c>
      <c r="U300" s="4">
        <v>174</v>
      </c>
      <c r="V300" s="6">
        <v>4315.72</v>
      </c>
      <c r="W300" s="5">
        <v>-0.3563</v>
      </c>
      <c r="X300" s="5">
        <v>-0.3048</v>
      </c>
      <c r="Y300" s="4">
        <v>38</v>
      </c>
      <c r="Z300" s="6">
        <v>1088.62</v>
      </c>
      <c r="AA300" s="4">
        <v>20</v>
      </c>
      <c r="AB300" s="6">
        <v>602.59</v>
      </c>
      <c r="AC300" s="5">
        <v>0.9</v>
      </c>
      <c r="AD300" s="5">
        <v>0.8066</v>
      </c>
      <c r="AE300" s="4">
        <v>8</v>
      </c>
      <c r="AF300" s="6">
        <v>215.65</v>
      </c>
      <c r="AG300" s="4"/>
      <c r="AH300" s="6"/>
      <c r="AI300" s="5"/>
      <c r="AJ300" s="5"/>
      <c r="AK300" s="4"/>
      <c r="AL300" s="6"/>
      <c r="AM300" s="4"/>
      <c r="AN300" s="6"/>
      <c r="AO300" s="5"/>
      <c r="AP300" s="5"/>
      <c r="AQ300" s="4">
        <v>36</v>
      </c>
      <c r="AR300" s="6">
        <v>895.61</v>
      </c>
      <c r="AS300" s="4">
        <v>100</v>
      </c>
      <c r="AT300" s="6">
        <v>2352.82</v>
      </c>
      <c r="AU300" s="5">
        <v>-0.64</v>
      </c>
      <c r="AV300" s="5">
        <v>-0.6193</v>
      </c>
      <c r="AW300" s="4"/>
      <c r="AX300" s="6"/>
      <c r="AY300" s="4"/>
      <c r="AZ300" s="6"/>
      <c r="BA300" s="5"/>
      <c r="BB300" s="5"/>
      <c r="BC300" s="4">
        <v>9</v>
      </c>
      <c r="BD300" s="6">
        <v>256.68</v>
      </c>
      <c r="BE300" s="4">
        <v>27</v>
      </c>
      <c r="BF300" s="6">
        <v>684.72</v>
      </c>
      <c r="BG300" s="5">
        <v>-0.6667</v>
      </c>
      <c r="BH300" s="5">
        <v>-0.6251</v>
      </c>
      <c r="BI300" s="4">
        <v>3</v>
      </c>
      <c r="BJ300" s="6">
        <v>84.56</v>
      </c>
      <c r="BK300" s="4">
        <v>7</v>
      </c>
      <c r="BL300" s="6">
        <v>199.32</v>
      </c>
      <c r="BM300" s="5">
        <v>-0.5714</v>
      </c>
      <c r="BN300" s="5">
        <v>-0.5758</v>
      </c>
      <c r="BO300" s="4">
        <v>11</v>
      </c>
      <c r="BP300" s="6">
        <v>253.62</v>
      </c>
      <c r="BQ300" s="4">
        <v>6</v>
      </c>
      <c r="BR300" s="6">
        <v>130.49</v>
      </c>
      <c r="BS300" s="5">
        <v>0.8333</v>
      </c>
      <c r="BT300" s="5">
        <v>0.9436</v>
      </c>
      <c r="BU300" s="4">
        <v>3</v>
      </c>
      <c r="BV300" s="6">
        <v>80.66</v>
      </c>
      <c r="BW300" s="4">
        <v>1</v>
      </c>
      <c r="BX300" s="6">
        <v>28.8</v>
      </c>
      <c r="BY300" s="5">
        <v>2</v>
      </c>
      <c r="BZ300" s="5">
        <v>1.8007</v>
      </c>
      <c r="CA300" s="4"/>
      <c r="CB300" s="6"/>
      <c r="CC300" s="4">
        <v>1</v>
      </c>
      <c r="CD300" s="6">
        <v>28.34</v>
      </c>
      <c r="CE300" s="5"/>
      <c r="CF300" s="5"/>
      <c r="CG300" s="4"/>
      <c r="CH300" s="6"/>
      <c r="CI300" s="4">
        <v>8</v>
      </c>
      <c r="CJ300" s="6">
        <v>177.12</v>
      </c>
      <c r="CK300" s="5"/>
      <c r="CL300" s="5"/>
      <c r="CM300" s="4"/>
      <c r="CN300" s="6"/>
      <c r="CO300" s="4"/>
      <c r="CP300" s="6"/>
      <c r="CQ300" s="5"/>
      <c r="CR300" s="5"/>
      <c r="CS300" s="4"/>
      <c r="CT300" s="6"/>
      <c r="CU300" s="4"/>
      <c r="CV300" s="6"/>
      <c r="CW300" s="5"/>
      <c r="CX300" s="5"/>
      <c r="CY300" s="4"/>
      <c r="CZ300" s="6"/>
      <c r="DA300" s="4">
        <v>1</v>
      </c>
      <c r="DB300" s="6">
        <v>23.63</v>
      </c>
      <c r="DC300" s="5"/>
      <c r="DD300" s="5"/>
      <c r="DE300" s="4"/>
      <c r="DF300" s="6"/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>
        <v>4</v>
      </c>
      <c r="DR300" s="6">
        <v>124.76</v>
      </c>
      <c r="DS300" s="4">
        <v>1</v>
      </c>
      <c r="DT300" s="6">
        <v>31.19</v>
      </c>
      <c r="DU300" s="5">
        <v>3</v>
      </c>
      <c r="DV300" s="5">
        <v>3</v>
      </c>
      <c r="DW300" s="4"/>
      <c r="DX300" s="6"/>
      <c r="DY300" s="4"/>
      <c r="DZ300" s="6"/>
      <c r="EA300" s="5"/>
      <c r="EB300" s="5"/>
      <c r="EC300" s="4"/>
      <c r="ED300" s="6"/>
      <c r="EE300" s="4"/>
      <c r="EF300" s="6"/>
      <c r="EG300" s="5"/>
      <c r="EH300" s="5"/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/>
      <c r="FN300" s="6"/>
      <c r="FO300" s="4"/>
      <c r="FP300" s="6"/>
      <c r="FQ300" s="5"/>
      <c r="FR300" s="5"/>
      <c r="FS300" s="4"/>
      <c r="FT300" s="6"/>
      <c r="FU300" s="4"/>
      <c r="FV300" s="6"/>
      <c r="FW300" s="5"/>
      <c r="FX300" s="5"/>
      <c r="FY300" s="4"/>
      <c r="FZ300" s="6"/>
      <c r="GA300" s="4">
        <v>2</v>
      </c>
      <c r="GB300" s="6">
        <v>56.7</v>
      </c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  <c r="IA300" s="4"/>
      <c r="IB300" s="6"/>
      <c r="IC300" s="4"/>
      <c r="ID300" s="6"/>
      <c r="IE300" s="5"/>
      <c r="IF300" s="5"/>
      <c r="IG300" s="4"/>
      <c r="IH300" s="6"/>
      <c r="II300" s="4"/>
      <c r="IJ300" s="6"/>
      <c r="IK300" s="5"/>
      <c r="IL300" s="5"/>
      <c r="IM300" s="4"/>
      <c r="IN300" s="6"/>
      <c r="IO300" s="4"/>
      <c r="IP300" s="6"/>
      <c r="IQ300" s="5"/>
      <c r="IR300" s="5"/>
      <c r="IS300" s="4"/>
      <c r="IT300" s="6"/>
      <c r="IU300" s="4"/>
      <c r="IV300" s="6"/>
      <c r="IW300" s="5"/>
      <c r="IX300" s="5"/>
      <c r="IY300" s="4"/>
      <c r="IZ300" s="6"/>
      <c r="JA300" s="4"/>
      <c r="JB300" s="6"/>
      <c r="JC300" s="5"/>
      <c r="JD300" s="5"/>
      <c r="JE300" s="4"/>
      <c r="JF300" s="6"/>
      <c r="JG300" s="4"/>
      <c r="JH300" s="6"/>
      <c r="JI300" s="5"/>
      <c r="JJ300" s="5"/>
      <c r="JK300" s="4">
        <v>657</v>
      </c>
      <c r="JL300" s="4"/>
      <c r="JM300" s="4"/>
      <c r="JN300" s="4"/>
      <c r="JO300" s="4"/>
      <c r="JP300" s="4"/>
      <c r="JQ300" s="4"/>
      <c r="JR300" s="4"/>
      <c r="JS300" s="4"/>
      <c r="JT300" s="4"/>
      <c r="JU300" s="4"/>
      <c r="JV300" s="4"/>
      <c r="JW300" s="4"/>
      <c r="JX300" s="4"/>
      <c r="JY300" s="4"/>
      <c r="JZ300" s="4"/>
      <c r="KA300" s="4"/>
      <c r="KB300" s="4"/>
      <c r="KC300" s="4"/>
      <c r="KD300" s="4"/>
      <c r="KE300" s="4"/>
      <c r="KF300" s="4"/>
      <c r="KG300" s="4"/>
      <c r="KH300" s="4"/>
      <c r="KI300" s="4"/>
      <c r="KJ300" s="4"/>
      <c r="KK300" s="4"/>
      <c r="KL300" s="4"/>
      <c r="KM300" s="4"/>
      <c r="KN300" s="4"/>
      <c r="KO300" s="4"/>
      <c r="KP300" s="4"/>
      <c r="KQ300" s="4"/>
      <c r="KR300" s="4"/>
      <c r="KS300" s="4"/>
      <c r="KT300" s="4"/>
      <c r="KU300" s="4"/>
      <c r="KV300" s="4"/>
      <c r="KW300" s="4"/>
      <c r="KX300" s="4"/>
      <c r="KY300" s="4"/>
      <c r="KZ300" s="4"/>
      <c r="LA300" s="4"/>
      <c r="LB300" s="4"/>
      <c r="LC300" s="4"/>
      <c r="LD300" s="4"/>
      <c r="LE300" s="4">
        <v>300</v>
      </c>
      <c r="LF300" s="4"/>
      <c r="LG300" s="4"/>
      <c r="LH300" s="4"/>
      <c r="LI300" s="4"/>
      <c r="LJ300" s="4"/>
      <c r="LK300" s="4"/>
      <c r="LL300" s="4"/>
      <c r="LM300" s="4"/>
    </row>
    <row r="301">
      <c r="A301" s="3" t="s">
        <v>136</v>
      </c>
      <c r="B301" s="3" t="s">
        <v>199</v>
      </c>
      <c r="C301" s="3" t="s">
        <v>138</v>
      </c>
      <c r="D301" s="3" t="s">
        <v>139</v>
      </c>
      <c r="E301" s="3" t="s">
        <v>201</v>
      </c>
      <c r="F301" s="3" t="s">
        <v>201</v>
      </c>
      <c r="G301" s="3" t="s">
        <v>201</v>
      </c>
      <c r="H301" s="3" t="s">
        <v>146</v>
      </c>
      <c r="I301" s="3" t="s">
        <v>349</v>
      </c>
      <c r="J301" s="3" t="s">
        <v>241</v>
      </c>
      <c r="K301" s="4">
        <v>28</v>
      </c>
      <c r="L301" s="4">
        <f>=ROUNDDOWN(2.13740458015267,0)</f>
      </c>
      <c r="M301" s="4"/>
      <c r="N301" s="5"/>
      <c r="O301" s="4"/>
      <c r="P301" s="4">
        <f>=ROUNDDOWN({0},0)</f>
      </c>
      <c r="Q301" s="4"/>
      <c r="R301" s="5"/>
      <c r="S301" s="4">
        <v>212</v>
      </c>
      <c r="T301" s="6">
        <v>3123.89</v>
      </c>
      <c r="U301" s="4">
        <v>133</v>
      </c>
      <c r="V301" s="6">
        <v>2036.59</v>
      </c>
      <c r="W301" s="5">
        <v>0.594</v>
      </c>
      <c r="X301" s="5">
        <v>0.5339</v>
      </c>
      <c r="Y301" s="4">
        <v>69</v>
      </c>
      <c r="Z301" s="6">
        <v>1038.15</v>
      </c>
      <c r="AA301" s="4">
        <v>32</v>
      </c>
      <c r="AB301" s="6">
        <v>514.1</v>
      </c>
      <c r="AC301" s="5">
        <v>1.1562</v>
      </c>
      <c r="AD301" s="5">
        <v>1.0194</v>
      </c>
      <c r="AE301" s="4">
        <v>6</v>
      </c>
      <c r="AF301" s="6">
        <v>93.87</v>
      </c>
      <c r="AG301" s="4">
        <v>9</v>
      </c>
      <c r="AH301" s="6">
        <v>136.53</v>
      </c>
      <c r="AI301" s="5">
        <v>-0.3333</v>
      </c>
      <c r="AJ301" s="5">
        <v>-0.3125</v>
      </c>
      <c r="AK301" s="4"/>
      <c r="AL301" s="6"/>
      <c r="AM301" s="4"/>
      <c r="AN301" s="6"/>
      <c r="AO301" s="5"/>
      <c r="AP301" s="5"/>
      <c r="AQ301" s="4">
        <v>109</v>
      </c>
      <c r="AR301" s="6">
        <v>1632.53</v>
      </c>
      <c r="AS301" s="4">
        <v>64</v>
      </c>
      <c r="AT301" s="6">
        <v>969.33</v>
      </c>
      <c r="AU301" s="5">
        <v>0.7031</v>
      </c>
      <c r="AV301" s="5">
        <v>0.6842</v>
      </c>
      <c r="AW301" s="4"/>
      <c r="AX301" s="6"/>
      <c r="AY301" s="4"/>
      <c r="AZ301" s="6"/>
      <c r="BA301" s="5"/>
      <c r="BB301" s="5"/>
      <c r="BC301" s="4"/>
      <c r="BD301" s="6"/>
      <c r="BE301" s="4"/>
      <c r="BF301" s="6"/>
      <c r="BG301" s="5"/>
      <c r="BH301" s="5"/>
      <c r="BI301" s="4">
        <v>6</v>
      </c>
      <c r="BJ301" s="6">
        <v>82.13</v>
      </c>
      <c r="BK301" s="4">
        <v>16</v>
      </c>
      <c r="BL301" s="6">
        <v>237.24</v>
      </c>
      <c r="BM301" s="5">
        <v>-0.625</v>
      </c>
      <c r="BN301" s="5">
        <v>-0.6538</v>
      </c>
      <c r="BO301" s="4">
        <v>11</v>
      </c>
      <c r="BP301" s="6">
        <v>110.87</v>
      </c>
      <c r="BQ301" s="4">
        <v>4</v>
      </c>
      <c r="BR301" s="6">
        <v>60.23</v>
      </c>
      <c r="BS301" s="5">
        <v>1.75</v>
      </c>
      <c r="BT301" s="5">
        <v>0.8408</v>
      </c>
      <c r="BU301" s="4"/>
      <c r="BV301" s="6"/>
      <c r="BW301" s="4"/>
      <c r="BX301" s="6"/>
      <c r="BY301" s="5"/>
      <c r="BZ301" s="5"/>
      <c r="CA301" s="4">
        <v>1</v>
      </c>
      <c r="CB301" s="6">
        <v>15.29</v>
      </c>
      <c r="CC301" s="4">
        <v>1</v>
      </c>
      <c r="CD301" s="6">
        <v>13.52</v>
      </c>
      <c r="CE301" s="5"/>
      <c r="CF301" s="5">
        <v>0.1309</v>
      </c>
      <c r="CG301" s="4">
        <v>6</v>
      </c>
      <c r="CH301" s="6">
        <v>97.32</v>
      </c>
      <c r="CI301" s="4">
        <v>1</v>
      </c>
      <c r="CJ301" s="6">
        <v>14.69</v>
      </c>
      <c r="CK301" s="5">
        <v>5</v>
      </c>
      <c r="CL301" s="5">
        <v>5.6249</v>
      </c>
      <c r="CM301" s="4"/>
      <c r="CN301" s="6"/>
      <c r="CO301" s="4"/>
      <c r="CP301" s="6"/>
      <c r="CQ301" s="5"/>
      <c r="CR301" s="5"/>
      <c r="CS301" s="4"/>
      <c r="CT301" s="6"/>
      <c r="CU301" s="4"/>
      <c r="CV301" s="6"/>
      <c r="CW301" s="5"/>
      <c r="CX301" s="5"/>
      <c r="CY301" s="4">
        <v>3</v>
      </c>
      <c r="CZ301" s="6">
        <v>37.8</v>
      </c>
      <c r="DA301" s="4"/>
      <c r="DB301" s="6"/>
      <c r="DC301" s="5"/>
      <c r="DD301" s="5"/>
      <c r="DE301" s="4"/>
      <c r="DF301" s="6"/>
      <c r="DG301" s="4"/>
      <c r="DH301" s="6"/>
      <c r="DI301" s="5"/>
      <c r="DJ301" s="5"/>
      <c r="DK301" s="4"/>
      <c r="DL301" s="6"/>
      <c r="DM301" s="4"/>
      <c r="DN301" s="6"/>
      <c r="DO301" s="5"/>
      <c r="DP301" s="5"/>
      <c r="DQ301" s="4"/>
      <c r="DR301" s="6"/>
      <c r="DS301" s="4"/>
      <c r="DT301" s="6"/>
      <c r="DU301" s="5"/>
      <c r="DV301" s="5"/>
      <c r="DW301" s="4"/>
      <c r="DX301" s="6"/>
      <c r="DY301" s="4"/>
      <c r="DZ301" s="6"/>
      <c r="EA301" s="5"/>
      <c r="EB301" s="5"/>
      <c r="EC301" s="4"/>
      <c r="ED301" s="6"/>
      <c r="EE301" s="4"/>
      <c r="EF301" s="6"/>
      <c r="EG301" s="5"/>
      <c r="EH301" s="5"/>
      <c r="EI301" s="4"/>
      <c r="EJ301" s="6"/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>
        <v>1</v>
      </c>
      <c r="EV301" s="6">
        <v>15.93</v>
      </c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>
        <v>5</v>
      </c>
      <c r="FV301" s="6">
        <v>74.66</v>
      </c>
      <c r="FW301" s="5"/>
      <c r="FX301" s="5"/>
      <c r="FY301" s="4"/>
      <c r="FZ301" s="6"/>
      <c r="GA301" s="4">
        <v>1</v>
      </c>
      <c r="GB301" s="6">
        <v>16.29</v>
      </c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  <c r="IA301" s="4"/>
      <c r="IB301" s="6"/>
      <c r="IC301" s="4"/>
      <c r="ID301" s="6"/>
      <c r="IE301" s="5"/>
      <c r="IF301" s="5"/>
      <c r="IG301" s="4"/>
      <c r="IH301" s="6"/>
      <c r="II301" s="4"/>
      <c r="IJ301" s="6"/>
      <c r="IK301" s="5"/>
      <c r="IL301" s="5"/>
      <c r="IM301" s="4"/>
      <c r="IN301" s="6"/>
      <c r="IO301" s="4"/>
      <c r="IP301" s="6"/>
      <c r="IQ301" s="5"/>
      <c r="IR301" s="5"/>
      <c r="IS301" s="4"/>
      <c r="IT301" s="6"/>
      <c r="IU301" s="4"/>
      <c r="IV301" s="6"/>
      <c r="IW301" s="5"/>
      <c r="IX301" s="5"/>
      <c r="IY301" s="4"/>
      <c r="IZ301" s="6"/>
      <c r="JA301" s="4"/>
      <c r="JB301" s="6"/>
      <c r="JC301" s="5"/>
      <c r="JD301" s="5"/>
      <c r="JE301" s="4"/>
      <c r="JF301" s="6"/>
      <c r="JG301" s="4"/>
      <c r="JH301" s="6"/>
      <c r="JI301" s="5"/>
      <c r="JJ301" s="5"/>
      <c r="JK301" s="4">
        <v>28</v>
      </c>
      <c r="JL301" s="4"/>
      <c r="JM301" s="4"/>
      <c r="JN301" s="4"/>
      <c r="JO301" s="4"/>
      <c r="JP301" s="4"/>
      <c r="JQ301" s="4"/>
      <c r="JR301" s="4"/>
      <c r="JS301" s="4"/>
      <c r="JT301" s="4"/>
      <c r="JU301" s="4"/>
      <c r="JV301" s="4"/>
      <c r="JW301" s="4"/>
      <c r="JX301" s="4"/>
      <c r="JY301" s="4"/>
      <c r="JZ301" s="4"/>
      <c r="KA301" s="4"/>
      <c r="KB301" s="4"/>
      <c r="KC301" s="4"/>
      <c r="KD301" s="4"/>
      <c r="KE301" s="4"/>
      <c r="KF301" s="4"/>
      <c r="KG301" s="4"/>
      <c r="KH301" s="4"/>
      <c r="KI301" s="4"/>
      <c r="KJ301" s="4"/>
      <c r="KK301" s="4"/>
      <c r="KL301" s="4"/>
      <c r="KM301" s="4"/>
      <c r="KN301" s="4"/>
      <c r="KO301" s="4"/>
      <c r="KP301" s="4"/>
      <c r="KQ301" s="4"/>
      <c r="KR301" s="4"/>
      <c r="KS301" s="4"/>
      <c r="KT301" s="4"/>
      <c r="KU301" s="4"/>
      <c r="KV301" s="4"/>
      <c r="KW301" s="4"/>
      <c r="KX301" s="4"/>
      <c r="KY301" s="4"/>
      <c r="KZ301" s="4"/>
      <c r="LA301" s="4"/>
      <c r="LB301" s="4"/>
      <c r="LC301" s="4"/>
      <c r="LD301" s="4"/>
      <c r="LE301" s="4"/>
      <c r="LF301" s="4"/>
      <c r="LG301" s="4"/>
      <c r="LH301" s="4"/>
      <c r="LI301" s="4"/>
      <c r="LJ301" s="4"/>
      <c r="LK301" s="4"/>
      <c r="LL301" s="4"/>
      <c r="LM301" s="4"/>
    </row>
    <row r="302">
      <c r="A302" s="3" t="s">
        <v>136</v>
      </c>
      <c r="B302" s="3" t="s">
        <v>199</v>
      </c>
      <c r="C302" s="3" t="s">
        <v>138</v>
      </c>
      <c r="D302" s="3" t="s">
        <v>139</v>
      </c>
      <c r="E302" s="3" t="s">
        <v>201</v>
      </c>
      <c r="F302" s="3" t="s">
        <v>201</v>
      </c>
      <c r="G302" s="3" t="s">
        <v>201</v>
      </c>
      <c r="H302" s="3" t="s">
        <v>146</v>
      </c>
      <c r="I302" s="3" t="s">
        <v>350</v>
      </c>
      <c r="J302" s="3" t="s">
        <v>241</v>
      </c>
      <c r="K302" s="4">
        <v>761</v>
      </c>
      <c r="L302" s="4">
        <f>=ROUNDDOWN(59.453125,0)</f>
      </c>
      <c r="M302" s="4"/>
      <c r="N302" s="5"/>
      <c r="O302" s="4"/>
      <c r="P302" s="4">
        <f>=ROUNDDOWN({0},0)</f>
      </c>
      <c r="Q302" s="4"/>
      <c r="R302" s="5"/>
      <c r="S302" s="4">
        <v>131</v>
      </c>
      <c r="T302" s="6">
        <v>2073.29</v>
      </c>
      <c r="U302" s="4">
        <v>139</v>
      </c>
      <c r="V302" s="6">
        <v>2146.77</v>
      </c>
      <c r="W302" s="5">
        <v>-0.0576</v>
      </c>
      <c r="X302" s="5">
        <v>-0.0342</v>
      </c>
      <c r="Y302" s="4"/>
      <c r="Z302" s="6"/>
      <c r="AA302" s="4"/>
      <c r="AB302" s="6"/>
      <c r="AC302" s="5"/>
      <c r="AD302" s="5"/>
      <c r="AE302" s="4">
        <v>10</v>
      </c>
      <c r="AF302" s="6">
        <v>159.3</v>
      </c>
      <c r="AG302" s="4">
        <v>2</v>
      </c>
      <c r="AH302" s="6">
        <v>33</v>
      </c>
      <c r="AI302" s="5">
        <v>4</v>
      </c>
      <c r="AJ302" s="5">
        <v>3.8273</v>
      </c>
      <c r="AK302" s="4"/>
      <c r="AL302" s="6"/>
      <c r="AM302" s="4"/>
      <c r="AN302" s="6"/>
      <c r="AO302" s="5"/>
      <c r="AP302" s="5"/>
      <c r="AQ302" s="4">
        <v>91</v>
      </c>
      <c r="AR302" s="6">
        <v>1439.93</v>
      </c>
      <c r="AS302" s="4">
        <v>67</v>
      </c>
      <c r="AT302" s="6">
        <v>1029.63</v>
      </c>
      <c r="AU302" s="5">
        <v>0.3582</v>
      </c>
      <c r="AV302" s="5">
        <v>0.3985</v>
      </c>
      <c r="AW302" s="4"/>
      <c r="AX302" s="6"/>
      <c r="AY302" s="4"/>
      <c r="AZ302" s="6"/>
      <c r="BA302" s="5"/>
      <c r="BB302" s="5"/>
      <c r="BC302" s="4"/>
      <c r="BD302" s="6"/>
      <c r="BE302" s="4"/>
      <c r="BF302" s="6"/>
      <c r="BG302" s="5"/>
      <c r="BH302" s="5"/>
      <c r="BI302" s="4">
        <v>11</v>
      </c>
      <c r="BJ302" s="6">
        <v>162.63</v>
      </c>
      <c r="BK302" s="4">
        <v>26</v>
      </c>
      <c r="BL302" s="6">
        <v>381.09</v>
      </c>
      <c r="BM302" s="5">
        <v>-0.5769</v>
      </c>
      <c r="BN302" s="5">
        <v>-0.5733</v>
      </c>
      <c r="BO302" s="4">
        <v>2</v>
      </c>
      <c r="BP302" s="6">
        <v>21.86</v>
      </c>
      <c r="BQ302" s="4">
        <v>1</v>
      </c>
      <c r="BR302" s="6">
        <v>12.5</v>
      </c>
      <c r="BS302" s="5">
        <v>1</v>
      </c>
      <c r="BT302" s="5">
        <v>0.7488</v>
      </c>
      <c r="BU302" s="4">
        <v>3</v>
      </c>
      <c r="BV302" s="6">
        <v>49.77</v>
      </c>
      <c r="BW302" s="4">
        <v>4</v>
      </c>
      <c r="BX302" s="6">
        <v>60.3</v>
      </c>
      <c r="BY302" s="5">
        <v>-0.25</v>
      </c>
      <c r="BZ302" s="5">
        <v>-0.1746</v>
      </c>
      <c r="CA302" s="4">
        <v>9</v>
      </c>
      <c r="CB302" s="6">
        <v>164.22</v>
      </c>
      <c r="CC302" s="4">
        <v>22</v>
      </c>
      <c r="CD302" s="6">
        <v>351.95</v>
      </c>
      <c r="CE302" s="5">
        <v>-0.5909</v>
      </c>
      <c r="CF302" s="5">
        <v>-0.5334</v>
      </c>
      <c r="CG302" s="4">
        <v>5</v>
      </c>
      <c r="CH302" s="6">
        <v>75.58</v>
      </c>
      <c r="CI302" s="4">
        <v>9</v>
      </c>
      <c r="CJ302" s="6">
        <v>144.13</v>
      </c>
      <c r="CK302" s="5">
        <v>-0.4444</v>
      </c>
      <c r="CL302" s="5">
        <v>-0.4756</v>
      </c>
      <c r="CM302" s="4"/>
      <c r="CN302" s="6"/>
      <c r="CO302" s="4"/>
      <c r="CP302" s="6"/>
      <c r="CQ302" s="5"/>
      <c r="CR302" s="5"/>
      <c r="CS302" s="4"/>
      <c r="CT302" s="6"/>
      <c r="CU302" s="4"/>
      <c r="CV302" s="6"/>
      <c r="CW302" s="5"/>
      <c r="CX302" s="5"/>
      <c r="CY302" s="4"/>
      <c r="CZ302" s="6"/>
      <c r="DA302" s="4"/>
      <c r="DB302" s="6"/>
      <c r="DC302" s="5"/>
      <c r="DD302" s="5"/>
      <c r="DE302" s="4"/>
      <c r="DF302" s="6"/>
      <c r="DG302" s="4"/>
      <c r="DH302" s="6"/>
      <c r="DI302" s="5"/>
      <c r="DJ302" s="5"/>
      <c r="DK302" s="4"/>
      <c r="DL302" s="6"/>
      <c r="DM302" s="4">
        <v>1</v>
      </c>
      <c r="DN302" s="6">
        <v>27.99</v>
      </c>
      <c r="DO302" s="5"/>
      <c r="DP302" s="5"/>
      <c r="DQ302" s="4"/>
      <c r="DR302" s="6"/>
      <c r="DS302" s="4"/>
      <c r="DT302" s="6"/>
      <c r="DU302" s="5"/>
      <c r="DV302" s="5"/>
      <c r="DW302" s="4"/>
      <c r="DX302" s="6"/>
      <c r="DY302" s="4"/>
      <c r="DZ302" s="6"/>
      <c r="EA302" s="5"/>
      <c r="EB302" s="5"/>
      <c r="EC302" s="4"/>
      <c r="ED302" s="6"/>
      <c r="EE302" s="4"/>
      <c r="EF302" s="6"/>
      <c r="EG302" s="5"/>
      <c r="EH302" s="5"/>
      <c r="EI302" s="4"/>
      <c r="EJ302" s="6"/>
      <c r="EK302" s="4"/>
      <c r="EL302" s="6"/>
      <c r="EM302" s="5"/>
      <c r="EN302" s="5"/>
      <c r="EO302" s="4"/>
      <c r="EP302" s="6"/>
      <c r="EQ302" s="4"/>
      <c r="ER302" s="6"/>
      <c r="ES302" s="5"/>
      <c r="ET302" s="5"/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>
        <v>5</v>
      </c>
      <c r="FV302" s="6">
        <v>76.37</v>
      </c>
      <c r="FW302" s="5"/>
      <c r="FX302" s="5"/>
      <c r="FY302" s="4"/>
      <c r="FZ302" s="6"/>
      <c r="GA302" s="4">
        <v>2</v>
      </c>
      <c r="GB302" s="6">
        <v>29.81</v>
      </c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  <c r="IA302" s="4"/>
      <c r="IB302" s="6"/>
      <c r="IC302" s="4"/>
      <c r="ID302" s="6"/>
      <c r="IE302" s="5"/>
      <c r="IF302" s="5"/>
      <c r="IG302" s="4"/>
      <c r="IH302" s="6"/>
      <c r="II302" s="4"/>
      <c r="IJ302" s="6"/>
      <c r="IK302" s="5"/>
      <c r="IL302" s="5"/>
      <c r="IM302" s="4"/>
      <c r="IN302" s="6"/>
      <c r="IO302" s="4"/>
      <c r="IP302" s="6"/>
      <c r="IQ302" s="5"/>
      <c r="IR302" s="5"/>
      <c r="IS302" s="4"/>
      <c r="IT302" s="6"/>
      <c r="IU302" s="4"/>
      <c r="IV302" s="6"/>
      <c r="IW302" s="5"/>
      <c r="IX302" s="5"/>
      <c r="IY302" s="4"/>
      <c r="IZ302" s="6"/>
      <c r="JA302" s="4"/>
      <c r="JB302" s="6"/>
      <c r="JC302" s="5"/>
      <c r="JD302" s="5"/>
      <c r="JE302" s="4"/>
      <c r="JF302" s="6"/>
      <c r="JG302" s="4"/>
      <c r="JH302" s="6"/>
      <c r="JI302" s="5"/>
      <c r="JJ302" s="5"/>
      <c r="JK302" s="4">
        <v>761</v>
      </c>
      <c r="JL302" s="4"/>
      <c r="JM302" s="4"/>
      <c r="JN302" s="4"/>
      <c r="JO302" s="4"/>
      <c r="JP302" s="4"/>
      <c r="JQ302" s="4"/>
      <c r="JR302" s="4"/>
      <c r="JS302" s="4"/>
      <c r="JT302" s="4"/>
      <c r="JU302" s="4"/>
      <c r="JV302" s="4"/>
      <c r="JW302" s="4"/>
      <c r="JX302" s="4"/>
      <c r="JY302" s="4"/>
      <c r="JZ302" s="4"/>
      <c r="KA302" s="4"/>
      <c r="KB302" s="4"/>
      <c r="KC302" s="4"/>
      <c r="KD302" s="4"/>
      <c r="KE302" s="4"/>
      <c r="KF302" s="4"/>
      <c r="KG302" s="4"/>
      <c r="KH302" s="4"/>
      <c r="KI302" s="4"/>
      <c r="KJ302" s="4"/>
      <c r="KK302" s="4"/>
      <c r="KL302" s="4"/>
      <c r="KM302" s="4"/>
      <c r="KN302" s="4"/>
      <c r="KO302" s="4"/>
      <c r="KP302" s="4"/>
      <c r="KQ302" s="4"/>
      <c r="KR302" s="4"/>
      <c r="KS302" s="4"/>
      <c r="KT302" s="4"/>
      <c r="KU302" s="4"/>
      <c r="KV302" s="4"/>
      <c r="KW302" s="4"/>
      <c r="KX302" s="4"/>
      <c r="KY302" s="4"/>
      <c r="KZ302" s="4"/>
      <c r="LA302" s="4"/>
      <c r="LB302" s="4"/>
      <c r="LC302" s="4"/>
      <c r="LD302" s="4"/>
      <c r="LE302" s="4"/>
      <c r="LF302" s="4"/>
      <c r="LG302" s="4"/>
      <c r="LH302" s="4"/>
      <c r="LI302" s="4"/>
      <c r="LJ302" s="4"/>
      <c r="LK302" s="4"/>
      <c r="LL302" s="4"/>
      <c r="LM302" s="4"/>
    </row>
    <row r="303">
      <c r="A303" s="3" t="s">
        <v>136</v>
      </c>
      <c r="B303" s="3" t="s">
        <v>199</v>
      </c>
      <c r="C303" s="3" t="s">
        <v>138</v>
      </c>
      <c r="D303" s="3" t="s">
        <v>139</v>
      </c>
      <c r="E303" s="3" t="s">
        <v>201</v>
      </c>
      <c r="F303" s="3" t="s">
        <v>201</v>
      </c>
      <c r="G303" s="3" t="s">
        <v>201</v>
      </c>
      <c r="H303" s="3" t="s">
        <v>146</v>
      </c>
      <c r="I303" s="3" t="s">
        <v>351</v>
      </c>
      <c r="J303" s="3" t="s">
        <v>241</v>
      </c>
      <c r="K303" s="4">
        <v>237</v>
      </c>
      <c r="L303" s="4">
        <f>=ROUNDDOWN(22.5714285714286,0)</f>
      </c>
      <c r="M303" s="4"/>
      <c r="N303" s="5"/>
      <c r="O303" s="4"/>
      <c r="P303" s="4">
        <f>=ROUNDDOWN({0},0)</f>
      </c>
      <c r="Q303" s="4"/>
      <c r="R303" s="5"/>
      <c r="S303" s="4">
        <v>109</v>
      </c>
      <c r="T303" s="6">
        <v>1735.22</v>
      </c>
      <c r="U303" s="4">
        <v>31</v>
      </c>
      <c r="V303" s="6">
        <v>473.44</v>
      </c>
      <c r="W303" s="5">
        <v>2.5161</v>
      </c>
      <c r="X303" s="5">
        <v>2.6651</v>
      </c>
      <c r="Y303" s="4">
        <v>77</v>
      </c>
      <c r="Z303" s="6">
        <v>1220.28</v>
      </c>
      <c r="AA303" s="4"/>
      <c r="AB303" s="6"/>
      <c r="AC303" s="5"/>
      <c r="AD303" s="5"/>
      <c r="AE303" s="4">
        <v>12</v>
      </c>
      <c r="AF303" s="6">
        <v>186.6</v>
      </c>
      <c r="AG303" s="4">
        <v>3</v>
      </c>
      <c r="AH303" s="6">
        <v>48.93</v>
      </c>
      <c r="AI303" s="5">
        <v>3</v>
      </c>
      <c r="AJ303" s="5">
        <v>2.8136</v>
      </c>
      <c r="AK303" s="4"/>
      <c r="AL303" s="6"/>
      <c r="AM303" s="4"/>
      <c r="AN303" s="6"/>
      <c r="AO303" s="5"/>
      <c r="AP303" s="5"/>
      <c r="AQ303" s="4"/>
      <c r="AR303" s="6"/>
      <c r="AS303" s="4"/>
      <c r="AT303" s="6"/>
      <c r="AU303" s="5"/>
      <c r="AV303" s="5"/>
      <c r="AW303" s="4"/>
      <c r="AX303" s="6"/>
      <c r="AY303" s="4"/>
      <c r="AZ303" s="6"/>
      <c r="BA303" s="5"/>
      <c r="BB303" s="5"/>
      <c r="BC303" s="4"/>
      <c r="BD303" s="6"/>
      <c r="BE303" s="4"/>
      <c r="BF303" s="6"/>
      <c r="BG303" s="5"/>
      <c r="BH303" s="5"/>
      <c r="BI303" s="4">
        <v>2</v>
      </c>
      <c r="BJ303" s="6">
        <v>28.45</v>
      </c>
      <c r="BK303" s="4">
        <v>22</v>
      </c>
      <c r="BL303" s="6">
        <v>322.05</v>
      </c>
      <c r="BM303" s="5">
        <v>-0.9091</v>
      </c>
      <c r="BN303" s="5">
        <v>-0.9117</v>
      </c>
      <c r="BO303" s="4">
        <v>3</v>
      </c>
      <c r="BP303" s="6">
        <v>29.28</v>
      </c>
      <c r="BQ303" s="4"/>
      <c r="BR303" s="6"/>
      <c r="BS303" s="5"/>
      <c r="BT303" s="5"/>
      <c r="BU303" s="4">
        <v>1</v>
      </c>
      <c r="BV303" s="6">
        <v>17.1</v>
      </c>
      <c r="BW303" s="4"/>
      <c r="BX303" s="6"/>
      <c r="BY303" s="5"/>
      <c r="BZ303" s="5"/>
      <c r="CA303" s="4">
        <v>2</v>
      </c>
      <c r="CB303" s="6">
        <v>34.34</v>
      </c>
      <c r="CC303" s="4"/>
      <c r="CD303" s="6"/>
      <c r="CE303" s="5"/>
      <c r="CF303" s="5"/>
      <c r="CG303" s="4">
        <v>10</v>
      </c>
      <c r="CH303" s="6">
        <v>157.19</v>
      </c>
      <c r="CI303" s="4">
        <v>5</v>
      </c>
      <c r="CJ303" s="6">
        <v>86.17</v>
      </c>
      <c r="CK303" s="5">
        <v>1</v>
      </c>
      <c r="CL303" s="5">
        <v>0.8242</v>
      </c>
      <c r="CM303" s="4"/>
      <c r="CN303" s="6"/>
      <c r="CO303" s="4"/>
      <c r="CP303" s="6"/>
      <c r="CQ303" s="5"/>
      <c r="CR303" s="5"/>
      <c r="CS303" s="4"/>
      <c r="CT303" s="6"/>
      <c r="CU303" s="4"/>
      <c r="CV303" s="6"/>
      <c r="CW303" s="5"/>
      <c r="CX303" s="5"/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>
        <v>2</v>
      </c>
      <c r="DL303" s="6">
        <v>61.98</v>
      </c>
      <c r="DM303" s="4"/>
      <c r="DN303" s="6"/>
      <c r="DO303" s="5"/>
      <c r="DP303" s="5"/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/>
      <c r="ED303" s="6"/>
      <c r="EE303" s="4"/>
      <c r="EF303" s="6"/>
      <c r="EG303" s="5"/>
      <c r="EH303" s="5"/>
      <c r="EI303" s="4"/>
      <c r="EJ303" s="6"/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/>
      <c r="FH303" s="6"/>
      <c r="FI303" s="4"/>
      <c r="FJ303" s="6"/>
      <c r="FK303" s="5"/>
      <c r="FL303" s="5"/>
      <c r="FM303" s="4"/>
      <c r="FN303" s="6"/>
      <c r="FO303" s="4"/>
      <c r="FP303" s="6"/>
      <c r="FQ303" s="5"/>
      <c r="FR303" s="5"/>
      <c r="FS303" s="4"/>
      <c r="FT303" s="6"/>
      <c r="FU303" s="4"/>
      <c r="FV303" s="6"/>
      <c r="FW303" s="5"/>
      <c r="FX303" s="5"/>
      <c r="FY303" s="4"/>
      <c r="FZ303" s="6"/>
      <c r="GA303" s="4">
        <v>1</v>
      </c>
      <c r="GB303" s="6">
        <v>16.29</v>
      </c>
      <c r="GC303" s="5"/>
      <c r="GD303" s="5"/>
      <c r="GE303" s="4"/>
      <c r="GF303" s="6"/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  <c r="IA303" s="4"/>
      <c r="IB303" s="6"/>
      <c r="IC303" s="4"/>
      <c r="ID303" s="6"/>
      <c r="IE303" s="5"/>
      <c r="IF303" s="5"/>
      <c r="IG303" s="4"/>
      <c r="IH303" s="6"/>
      <c r="II303" s="4"/>
      <c r="IJ303" s="6"/>
      <c r="IK303" s="5"/>
      <c r="IL303" s="5"/>
      <c r="IM303" s="4"/>
      <c r="IN303" s="6"/>
      <c r="IO303" s="4"/>
      <c r="IP303" s="6"/>
      <c r="IQ303" s="5"/>
      <c r="IR303" s="5"/>
      <c r="IS303" s="4"/>
      <c r="IT303" s="6"/>
      <c r="IU303" s="4"/>
      <c r="IV303" s="6"/>
      <c r="IW303" s="5"/>
      <c r="IX303" s="5"/>
      <c r="IY303" s="4"/>
      <c r="IZ303" s="6"/>
      <c r="JA303" s="4"/>
      <c r="JB303" s="6"/>
      <c r="JC303" s="5"/>
      <c r="JD303" s="5"/>
      <c r="JE303" s="4"/>
      <c r="JF303" s="6"/>
      <c r="JG303" s="4"/>
      <c r="JH303" s="6"/>
      <c r="JI303" s="5"/>
      <c r="JJ303" s="5"/>
      <c r="JK303" s="4">
        <v>237</v>
      </c>
      <c r="JL303" s="4"/>
      <c r="JM303" s="4"/>
      <c r="JN303" s="4"/>
      <c r="JO303" s="4"/>
      <c r="JP303" s="4"/>
      <c r="JQ303" s="4"/>
      <c r="JR303" s="4"/>
      <c r="JS303" s="4"/>
      <c r="JT303" s="4"/>
      <c r="JU303" s="4"/>
      <c r="JV303" s="4"/>
      <c r="JW303" s="4"/>
      <c r="JX303" s="4"/>
      <c r="JY303" s="4"/>
      <c r="JZ303" s="4"/>
      <c r="KA303" s="4"/>
      <c r="KB303" s="4"/>
      <c r="KC303" s="4"/>
      <c r="KD303" s="4"/>
      <c r="KE303" s="4"/>
      <c r="KF303" s="4"/>
      <c r="KG303" s="4"/>
      <c r="KH303" s="4"/>
      <c r="KI303" s="4"/>
      <c r="KJ303" s="4"/>
      <c r="KK303" s="4"/>
      <c r="KL303" s="4"/>
      <c r="KM303" s="4"/>
      <c r="KN303" s="4"/>
      <c r="KO303" s="4"/>
      <c r="KP303" s="4"/>
      <c r="KQ303" s="4"/>
      <c r="KR303" s="4"/>
      <c r="KS303" s="4"/>
      <c r="KT303" s="4"/>
      <c r="KU303" s="4"/>
      <c r="KV303" s="4"/>
      <c r="KW303" s="4"/>
      <c r="KX303" s="4"/>
      <c r="KY303" s="4"/>
      <c r="KZ303" s="4"/>
      <c r="LA303" s="4"/>
      <c r="LB303" s="4"/>
      <c r="LC303" s="4"/>
      <c r="LD303" s="4"/>
      <c r="LE303" s="4"/>
      <c r="LF303" s="4"/>
      <c r="LG303" s="4"/>
      <c r="LH303" s="4"/>
      <c r="LI303" s="4"/>
      <c r="LJ303" s="4"/>
      <c r="LK303" s="4"/>
      <c r="LL303" s="4"/>
      <c r="LM303" s="4"/>
    </row>
    <row r="304">
      <c r="A304" s="3" t="s">
        <v>136</v>
      </c>
      <c r="B304" s="3" t="s">
        <v>199</v>
      </c>
      <c r="C304" s="3" t="s">
        <v>138</v>
      </c>
      <c r="D304" s="3" t="s">
        <v>139</v>
      </c>
      <c r="E304" s="3" t="s">
        <v>201</v>
      </c>
      <c r="F304" s="3" t="s">
        <v>201</v>
      </c>
      <c r="G304" s="3" t="s">
        <v>201</v>
      </c>
      <c r="H304" s="3" t="s">
        <v>146</v>
      </c>
      <c r="I304" s="3" t="s">
        <v>352</v>
      </c>
      <c r="J304" s="3" t="s">
        <v>241</v>
      </c>
      <c r="K304" s="4">
        <v>319</v>
      </c>
      <c r="L304" s="4">
        <f>=ROUNDDOWN(46.231884057971,0)</f>
      </c>
      <c r="M304" s="4"/>
      <c r="N304" s="5"/>
      <c r="O304" s="4"/>
      <c r="P304" s="4">
        <f>=ROUNDDOWN({0},0)</f>
      </c>
      <c r="Q304" s="4"/>
      <c r="R304" s="5"/>
      <c r="S304" s="4">
        <v>71</v>
      </c>
      <c r="T304" s="6">
        <v>1087.62</v>
      </c>
      <c r="U304" s="4">
        <v>29</v>
      </c>
      <c r="V304" s="6">
        <v>470.18</v>
      </c>
      <c r="W304" s="5">
        <v>1.4483</v>
      </c>
      <c r="X304" s="5">
        <v>1.3132</v>
      </c>
      <c r="Y304" s="4">
        <v>29</v>
      </c>
      <c r="Z304" s="6">
        <v>446.98</v>
      </c>
      <c r="AA304" s="4"/>
      <c r="AB304" s="6"/>
      <c r="AC304" s="5"/>
      <c r="AD304" s="5"/>
      <c r="AE304" s="4">
        <v>6</v>
      </c>
      <c r="AF304" s="6">
        <v>96.15</v>
      </c>
      <c r="AG304" s="4">
        <v>1</v>
      </c>
      <c r="AH304" s="6">
        <v>15.93</v>
      </c>
      <c r="AI304" s="5">
        <v>5</v>
      </c>
      <c r="AJ304" s="5">
        <v>5.0358</v>
      </c>
      <c r="AK304" s="4"/>
      <c r="AL304" s="6"/>
      <c r="AM304" s="4"/>
      <c r="AN304" s="6"/>
      <c r="AO304" s="5"/>
      <c r="AP304" s="5"/>
      <c r="AQ304" s="4"/>
      <c r="AR304" s="6"/>
      <c r="AS304" s="4"/>
      <c r="AT304" s="6"/>
      <c r="AU304" s="5"/>
      <c r="AV304" s="5"/>
      <c r="AW304" s="4"/>
      <c r="AX304" s="6"/>
      <c r="AY304" s="4"/>
      <c r="AZ304" s="6"/>
      <c r="BA304" s="5"/>
      <c r="BB304" s="5"/>
      <c r="BC304" s="4"/>
      <c r="BD304" s="6"/>
      <c r="BE304" s="4"/>
      <c r="BF304" s="6"/>
      <c r="BG304" s="5"/>
      <c r="BH304" s="5"/>
      <c r="BI304" s="4">
        <v>18</v>
      </c>
      <c r="BJ304" s="6">
        <v>256.58</v>
      </c>
      <c r="BK304" s="4">
        <v>13</v>
      </c>
      <c r="BL304" s="6">
        <v>186.26</v>
      </c>
      <c r="BM304" s="5">
        <v>0.3846</v>
      </c>
      <c r="BN304" s="5">
        <v>0.3775</v>
      </c>
      <c r="BO304" s="4">
        <v>5</v>
      </c>
      <c r="BP304" s="6">
        <v>53.09</v>
      </c>
      <c r="BQ304" s="4">
        <v>1</v>
      </c>
      <c r="BR304" s="6">
        <v>15.62</v>
      </c>
      <c r="BS304" s="5">
        <v>4</v>
      </c>
      <c r="BT304" s="5">
        <v>2.3988</v>
      </c>
      <c r="BU304" s="4"/>
      <c r="BV304" s="6"/>
      <c r="BW304" s="4"/>
      <c r="BX304" s="6"/>
      <c r="BY304" s="5"/>
      <c r="BZ304" s="5"/>
      <c r="CA304" s="4">
        <v>1</v>
      </c>
      <c r="CB304" s="6">
        <v>22.95</v>
      </c>
      <c r="CC304" s="4">
        <v>7</v>
      </c>
      <c r="CD304" s="6">
        <v>137.66</v>
      </c>
      <c r="CE304" s="5">
        <v>-0.8571</v>
      </c>
      <c r="CF304" s="5">
        <v>-0.8333</v>
      </c>
      <c r="CG304" s="4">
        <v>11</v>
      </c>
      <c r="CH304" s="6">
        <v>180.88</v>
      </c>
      <c r="CI304" s="4">
        <v>7</v>
      </c>
      <c r="CJ304" s="6">
        <v>114.71</v>
      </c>
      <c r="CK304" s="5">
        <v>0.5714</v>
      </c>
      <c r="CL304" s="5">
        <v>0.5768</v>
      </c>
      <c r="CM304" s="4"/>
      <c r="CN304" s="6"/>
      <c r="CO304" s="4"/>
      <c r="CP304" s="6"/>
      <c r="CQ304" s="5"/>
      <c r="CR304" s="5"/>
      <c r="CS304" s="4"/>
      <c r="CT304" s="6"/>
      <c r="CU304" s="4"/>
      <c r="CV304" s="6"/>
      <c r="CW304" s="5"/>
      <c r="CX304" s="5"/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>
        <v>1</v>
      </c>
      <c r="DL304" s="6">
        <v>30.99</v>
      </c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/>
      <c r="DX304" s="6"/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/>
      <c r="EJ304" s="6"/>
      <c r="EK304" s="4"/>
      <c r="EL304" s="6"/>
      <c r="EM304" s="5"/>
      <c r="EN304" s="5"/>
      <c r="EO304" s="4"/>
      <c r="EP304" s="6"/>
      <c r="EQ304" s="4"/>
      <c r="ER304" s="6"/>
      <c r="ES304" s="5"/>
      <c r="ET304" s="5"/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/>
      <c r="FT304" s="6"/>
      <c r="FU304" s="4"/>
      <c r="FV304" s="6"/>
      <c r="FW304" s="5"/>
      <c r="FX304" s="5"/>
      <c r="FY304" s="4"/>
      <c r="FZ304" s="6"/>
      <c r="GA304" s="4"/>
      <c r="GB304" s="6"/>
      <c r="GC304" s="5"/>
      <c r="GD304" s="5"/>
      <c r="GE304" s="4"/>
      <c r="GF304" s="6"/>
      <c r="GG304" s="4"/>
      <c r="GH304" s="6"/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  <c r="IA304" s="4"/>
      <c r="IB304" s="6"/>
      <c r="IC304" s="4"/>
      <c r="ID304" s="6"/>
      <c r="IE304" s="5"/>
      <c r="IF304" s="5"/>
      <c r="IG304" s="4"/>
      <c r="IH304" s="6"/>
      <c r="II304" s="4"/>
      <c r="IJ304" s="6"/>
      <c r="IK304" s="5"/>
      <c r="IL304" s="5"/>
      <c r="IM304" s="4"/>
      <c r="IN304" s="6"/>
      <c r="IO304" s="4"/>
      <c r="IP304" s="6"/>
      <c r="IQ304" s="5"/>
      <c r="IR304" s="5"/>
      <c r="IS304" s="4"/>
      <c r="IT304" s="6"/>
      <c r="IU304" s="4"/>
      <c r="IV304" s="6"/>
      <c r="IW304" s="5"/>
      <c r="IX304" s="5"/>
      <c r="IY304" s="4"/>
      <c r="IZ304" s="6"/>
      <c r="JA304" s="4"/>
      <c r="JB304" s="6"/>
      <c r="JC304" s="5"/>
      <c r="JD304" s="5"/>
      <c r="JE304" s="4"/>
      <c r="JF304" s="6"/>
      <c r="JG304" s="4"/>
      <c r="JH304" s="6"/>
      <c r="JI304" s="5"/>
      <c r="JJ304" s="5"/>
      <c r="JK304" s="4">
        <v>319</v>
      </c>
      <c r="JL304" s="4"/>
      <c r="JM304" s="4"/>
      <c r="JN304" s="4"/>
      <c r="JO304" s="4"/>
      <c r="JP304" s="4"/>
      <c r="JQ304" s="4"/>
      <c r="JR304" s="4"/>
      <c r="JS304" s="4"/>
      <c r="JT304" s="4"/>
      <c r="JU304" s="4"/>
      <c r="JV304" s="4"/>
      <c r="JW304" s="4"/>
      <c r="JX304" s="4"/>
      <c r="JY304" s="4"/>
      <c r="JZ304" s="4"/>
      <c r="KA304" s="4"/>
      <c r="KB304" s="4"/>
      <c r="KC304" s="4"/>
      <c r="KD304" s="4"/>
      <c r="KE304" s="4"/>
      <c r="KF304" s="4"/>
      <c r="KG304" s="4"/>
      <c r="KH304" s="4"/>
      <c r="KI304" s="4"/>
      <c r="KJ304" s="4"/>
      <c r="KK304" s="4"/>
      <c r="KL304" s="4"/>
      <c r="KM304" s="4"/>
      <c r="KN304" s="4"/>
      <c r="KO304" s="4"/>
      <c r="KP304" s="4"/>
      <c r="KQ304" s="4"/>
      <c r="KR304" s="4"/>
      <c r="KS304" s="4"/>
      <c r="KT304" s="4"/>
      <c r="KU304" s="4"/>
      <c r="KV304" s="4"/>
      <c r="KW304" s="4"/>
      <c r="KX304" s="4"/>
      <c r="KY304" s="4"/>
      <c r="KZ304" s="4"/>
      <c r="LA304" s="4"/>
      <c r="LB304" s="4"/>
      <c r="LC304" s="4"/>
      <c r="LD304" s="4"/>
      <c r="LE304" s="4"/>
      <c r="LF304" s="4"/>
      <c r="LG304" s="4"/>
      <c r="LH304" s="4"/>
      <c r="LI304" s="4"/>
      <c r="LJ304" s="4"/>
      <c r="LK304" s="4"/>
      <c r="LL304" s="4"/>
      <c r="LM304" s="4"/>
    </row>
    <row r="305">
      <c r="A305" s="3" t="s">
        <v>136</v>
      </c>
      <c r="B305" s="3" t="s">
        <v>202</v>
      </c>
      <c r="C305" s="3" t="s">
        <v>138</v>
      </c>
      <c r="D305" s="3" t="s">
        <v>139</v>
      </c>
      <c r="E305" s="3" t="s">
        <v>203</v>
      </c>
      <c r="F305" s="3" t="s">
        <v>203</v>
      </c>
      <c r="G305" s="3" t="s">
        <v>203</v>
      </c>
      <c r="H305" s="3" t="s">
        <v>143</v>
      </c>
      <c r="I305" s="3" t="s">
        <v>227</v>
      </c>
      <c r="J305" s="3" t="s">
        <v>226</v>
      </c>
      <c r="K305" s="4">
        <v>74</v>
      </c>
      <c r="L305" s="4">
        <f>=ROUNDDOWN(4.11111111111111,0)</f>
      </c>
      <c r="M305" s="4">
        <v>760</v>
      </c>
      <c r="N305" s="5">
        <v>1</v>
      </c>
      <c r="O305" s="4"/>
      <c r="P305" s="4">
        <f>=ROUNDDOWN({0},0)</f>
      </c>
      <c r="Q305" s="4"/>
      <c r="R305" s="5"/>
      <c r="S305" s="4">
        <v>130</v>
      </c>
      <c r="T305" s="6">
        <v>10102.35</v>
      </c>
      <c r="U305" s="4">
        <v>25</v>
      </c>
      <c r="V305" s="6">
        <v>1308.23</v>
      </c>
      <c r="W305" s="5">
        <v>4.2</v>
      </c>
      <c r="X305" s="5">
        <v>6.7222</v>
      </c>
      <c r="Y305" s="4">
        <v>25</v>
      </c>
      <c r="Z305" s="6">
        <v>1874.91</v>
      </c>
      <c r="AA305" s="4"/>
      <c r="AB305" s="6"/>
      <c r="AC305" s="5"/>
      <c r="AD305" s="5"/>
      <c r="AE305" s="4">
        <v>15</v>
      </c>
      <c r="AF305" s="6">
        <v>1129.87</v>
      </c>
      <c r="AG305" s="4"/>
      <c r="AH305" s="6"/>
      <c r="AI305" s="5"/>
      <c r="AJ305" s="5"/>
      <c r="AK305" s="4"/>
      <c r="AL305" s="6"/>
      <c r="AM305" s="4"/>
      <c r="AN305" s="6"/>
      <c r="AO305" s="5"/>
      <c r="AP305" s="5"/>
      <c r="AQ305" s="4"/>
      <c r="AR305" s="6"/>
      <c r="AS305" s="4"/>
      <c r="AT305" s="6"/>
      <c r="AU305" s="5"/>
      <c r="AV305" s="5"/>
      <c r="AW305" s="4">
        <v>23</v>
      </c>
      <c r="AX305" s="6">
        <v>1760.37</v>
      </c>
      <c r="AY305" s="4"/>
      <c r="AZ305" s="6"/>
      <c r="BA305" s="5"/>
      <c r="BB305" s="5"/>
      <c r="BC305" s="4"/>
      <c r="BD305" s="6"/>
      <c r="BE305" s="4"/>
      <c r="BF305" s="6"/>
      <c r="BG305" s="5"/>
      <c r="BH305" s="5"/>
      <c r="BI305" s="4"/>
      <c r="BJ305" s="6"/>
      <c r="BK305" s="4"/>
      <c r="BL305" s="6"/>
      <c r="BM305" s="5"/>
      <c r="BN305" s="5"/>
      <c r="BO305" s="4">
        <v>20</v>
      </c>
      <c r="BP305" s="6">
        <v>1246.73</v>
      </c>
      <c r="BQ305" s="4"/>
      <c r="BR305" s="6"/>
      <c r="BS305" s="5"/>
      <c r="BT305" s="5"/>
      <c r="BU305" s="4">
        <v>9</v>
      </c>
      <c r="BV305" s="6">
        <v>687.77</v>
      </c>
      <c r="BW305" s="4"/>
      <c r="BX305" s="6"/>
      <c r="BY305" s="5"/>
      <c r="BZ305" s="5"/>
      <c r="CA305" s="4">
        <v>31</v>
      </c>
      <c r="CB305" s="6">
        <v>2746.56</v>
      </c>
      <c r="CC305" s="4">
        <v>24</v>
      </c>
      <c r="CD305" s="6">
        <v>1299.99</v>
      </c>
      <c r="CE305" s="5">
        <v>0.2917</v>
      </c>
      <c r="CF305" s="5">
        <v>1.1128</v>
      </c>
      <c r="CG305" s="4"/>
      <c r="CH305" s="6"/>
      <c r="CI305" s="4"/>
      <c r="CJ305" s="6"/>
      <c r="CK305" s="5"/>
      <c r="CL305" s="5"/>
      <c r="CM305" s="4"/>
      <c r="CN305" s="6"/>
      <c r="CO305" s="4"/>
      <c r="CP305" s="6"/>
      <c r="CQ305" s="5"/>
      <c r="CR305" s="5"/>
      <c r="CS305" s="4"/>
      <c r="CT305" s="6"/>
      <c r="CU305" s="4"/>
      <c r="CV305" s="6"/>
      <c r="CW305" s="5"/>
      <c r="CX305" s="5"/>
      <c r="CY305" s="4"/>
      <c r="CZ305" s="6"/>
      <c r="DA305" s="4"/>
      <c r="DB305" s="6"/>
      <c r="DC305" s="5"/>
      <c r="DD305" s="5"/>
      <c r="DE305" s="4"/>
      <c r="DF305" s="6"/>
      <c r="DG305" s="4"/>
      <c r="DH305" s="6"/>
      <c r="DI305" s="5"/>
      <c r="DJ305" s="5"/>
      <c r="DK305" s="4"/>
      <c r="DL305" s="6"/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/>
      <c r="DX305" s="6"/>
      <c r="DY305" s="4"/>
      <c r="DZ305" s="6"/>
      <c r="EA305" s="5"/>
      <c r="EB305" s="5"/>
      <c r="EC305" s="4"/>
      <c r="ED305" s="6"/>
      <c r="EE305" s="4"/>
      <c r="EF305" s="6"/>
      <c r="EG305" s="5"/>
      <c r="EH305" s="5"/>
      <c r="EI305" s="4"/>
      <c r="EJ305" s="6"/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>
        <v>2</v>
      </c>
      <c r="EV305" s="6">
        <v>163.78</v>
      </c>
      <c r="EW305" s="4"/>
      <c r="EX305" s="6"/>
      <c r="EY305" s="5"/>
      <c r="EZ305" s="5"/>
      <c r="FA305" s="4">
        <v>5</v>
      </c>
      <c r="FB305" s="6">
        <v>492.36</v>
      </c>
      <c r="FC305" s="4">
        <v>1</v>
      </c>
      <c r="FD305" s="6">
        <v>8.24</v>
      </c>
      <c r="FE305" s="5">
        <v>4</v>
      </c>
      <c r="FF305" s="5">
        <v>58.7524</v>
      </c>
      <c r="FG305" s="4"/>
      <c r="FH305" s="6"/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/>
      <c r="FT305" s="6"/>
      <c r="FU305" s="4"/>
      <c r="FV305" s="6"/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  <c r="IA305" s="4"/>
      <c r="IB305" s="6"/>
      <c r="IC305" s="4"/>
      <c r="ID305" s="6"/>
      <c r="IE305" s="5"/>
      <c r="IF305" s="5"/>
      <c r="IG305" s="4"/>
      <c r="IH305" s="6"/>
      <c r="II305" s="4"/>
      <c r="IJ305" s="6"/>
      <c r="IK305" s="5"/>
      <c r="IL305" s="5"/>
      <c r="IM305" s="4"/>
      <c r="IN305" s="6"/>
      <c r="IO305" s="4"/>
      <c r="IP305" s="6"/>
      <c r="IQ305" s="5"/>
      <c r="IR305" s="5"/>
      <c r="IS305" s="4"/>
      <c r="IT305" s="6"/>
      <c r="IU305" s="4"/>
      <c r="IV305" s="6"/>
      <c r="IW305" s="5"/>
      <c r="IX305" s="5"/>
      <c r="IY305" s="4"/>
      <c r="IZ305" s="6"/>
      <c r="JA305" s="4"/>
      <c r="JB305" s="6"/>
      <c r="JC305" s="5"/>
      <c r="JD305" s="5"/>
      <c r="JE305" s="4"/>
      <c r="JF305" s="6"/>
      <c r="JG305" s="4"/>
      <c r="JH305" s="6"/>
      <c r="JI305" s="5"/>
      <c r="JJ305" s="5"/>
      <c r="JK305" s="4">
        <v>74</v>
      </c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>
        <v>370</v>
      </c>
      <c r="KK305" s="4"/>
      <c r="KL305" s="4"/>
      <c r="KM305" s="4"/>
      <c r="KN305" s="4"/>
      <c r="KO305" s="4"/>
      <c r="KP305" s="4">
        <v>390</v>
      </c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</row>
    <row r="306">
      <c r="A306" s="3" t="s">
        <v>136</v>
      </c>
      <c r="B306" s="3" t="s">
        <v>202</v>
      </c>
      <c r="C306" s="3" t="s">
        <v>138</v>
      </c>
      <c r="D306" s="3" t="s">
        <v>139</v>
      </c>
      <c r="E306" s="3" t="s">
        <v>203</v>
      </c>
      <c r="F306" s="3" t="s">
        <v>203</v>
      </c>
      <c r="G306" s="3" t="s">
        <v>203</v>
      </c>
      <c r="H306" s="3" t="s">
        <v>143</v>
      </c>
      <c r="I306" s="3" t="s">
        <v>229</v>
      </c>
      <c r="J306" s="3" t="s">
        <v>228</v>
      </c>
      <c r="K306" s="4">
        <v>234</v>
      </c>
      <c r="L306" s="4">
        <f>=ROUNDDOWN(13.7647058823529,0)</f>
      </c>
      <c r="M306" s="4">
        <v>631</v>
      </c>
      <c r="N306" s="5">
        <v>0.9439</v>
      </c>
      <c r="O306" s="4"/>
      <c r="P306" s="4">
        <f>=ROUNDDOWN({0},0)</f>
      </c>
      <c r="Q306" s="4"/>
      <c r="R306" s="5"/>
      <c r="S306" s="4">
        <v>105</v>
      </c>
      <c r="T306" s="6">
        <v>7608.27</v>
      </c>
      <c r="U306" s="4">
        <v>21</v>
      </c>
      <c r="V306" s="6">
        <v>951.98</v>
      </c>
      <c r="W306" s="5">
        <v>4</v>
      </c>
      <c r="X306" s="5">
        <v>6.992</v>
      </c>
      <c r="Y306" s="4">
        <v>15</v>
      </c>
      <c r="Z306" s="6">
        <v>1117.56</v>
      </c>
      <c r="AA306" s="4"/>
      <c r="AB306" s="6"/>
      <c r="AC306" s="5"/>
      <c r="AD306" s="5"/>
      <c r="AE306" s="4">
        <v>21</v>
      </c>
      <c r="AF306" s="6">
        <v>1596.59</v>
      </c>
      <c r="AG306" s="4"/>
      <c r="AH306" s="6"/>
      <c r="AI306" s="5"/>
      <c r="AJ306" s="5"/>
      <c r="AK306" s="4"/>
      <c r="AL306" s="6"/>
      <c r="AM306" s="4"/>
      <c r="AN306" s="6"/>
      <c r="AO306" s="5"/>
      <c r="AP306" s="5"/>
      <c r="AQ306" s="4"/>
      <c r="AR306" s="6"/>
      <c r="AS306" s="4"/>
      <c r="AT306" s="6"/>
      <c r="AU306" s="5"/>
      <c r="AV306" s="5"/>
      <c r="AW306" s="4">
        <v>32</v>
      </c>
      <c r="AX306" s="6">
        <v>2403.12</v>
      </c>
      <c r="AY306" s="4"/>
      <c r="AZ306" s="6"/>
      <c r="BA306" s="5"/>
      <c r="BB306" s="5"/>
      <c r="BC306" s="4"/>
      <c r="BD306" s="6"/>
      <c r="BE306" s="4"/>
      <c r="BF306" s="6"/>
      <c r="BG306" s="5"/>
      <c r="BH306" s="5"/>
      <c r="BI306" s="4"/>
      <c r="BJ306" s="6"/>
      <c r="BK306" s="4"/>
      <c r="BL306" s="6"/>
      <c r="BM306" s="5"/>
      <c r="BN306" s="5"/>
      <c r="BO306" s="4">
        <v>3</v>
      </c>
      <c r="BP306" s="6">
        <v>188.52</v>
      </c>
      <c r="BQ306" s="4"/>
      <c r="BR306" s="6"/>
      <c r="BS306" s="5"/>
      <c r="BT306" s="5"/>
      <c r="BU306" s="4">
        <v>16</v>
      </c>
      <c r="BV306" s="6">
        <v>1236.38</v>
      </c>
      <c r="BW306" s="4"/>
      <c r="BX306" s="6"/>
      <c r="BY306" s="5"/>
      <c r="BZ306" s="5"/>
      <c r="CA306" s="4">
        <v>9</v>
      </c>
      <c r="CB306" s="6">
        <v>692.29</v>
      </c>
      <c r="CC306" s="4">
        <v>10</v>
      </c>
      <c r="CD306" s="6">
        <v>527.64</v>
      </c>
      <c r="CE306" s="5">
        <v>-0.1</v>
      </c>
      <c r="CF306" s="5">
        <v>0.312</v>
      </c>
      <c r="CG306" s="4"/>
      <c r="CH306" s="6"/>
      <c r="CI306" s="4"/>
      <c r="CJ306" s="6"/>
      <c r="CK306" s="5"/>
      <c r="CL306" s="5"/>
      <c r="CM306" s="4"/>
      <c r="CN306" s="6"/>
      <c r="CO306" s="4"/>
      <c r="CP306" s="6"/>
      <c r="CQ306" s="5"/>
      <c r="CR306" s="5"/>
      <c r="CS306" s="4"/>
      <c r="CT306" s="6"/>
      <c r="CU306" s="4"/>
      <c r="CV306" s="6"/>
      <c r="CW306" s="5"/>
      <c r="CX306" s="5"/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/>
      <c r="ED306" s="6"/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>
        <v>9</v>
      </c>
      <c r="FB306" s="6">
        <v>373.81</v>
      </c>
      <c r="FC306" s="4">
        <v>11</v>
      </c>
      <c r="FD306" s="6">
        <v>424.34</v>
      </c>
      <c r="FE306" s="5">
        <v>-0.1818</v>
      </c>
      <c r="FF306" s="5">
        <v>-0.1191</v>
      </c>
      <c r="FG306" s="4"/>
      <c r="FH306" s="6"/>
      <c r="FI306" s="4"/>
      <c r="FJ306" s="6"/>
      <c r="FK306" s="5"/>
      <c r="FL306" s="5"/>
      <c r="FM306" s="4"/>
      <c r="FN306" s="6"/>
      <c r="FO306" s="4"/>
      <c r="FP306" s="6"/>
      <c r="FQ306" s="5"/>
      <c r="FR306" s="5"/>
      <c r="FS306" s="4"/>
      <c r="FT306" s="6"/>
      <c r="FU306" s="4"/>
      <c r="FV306" s="6"/>
      <c r="FW306" s="5"/>
      <c r="FX306" s="5"/>
      <c r="FY306" s="4"/>
      <c r="FZ306" s="6"/>
      <c r="GA306" s="4"/>
      <c r="GB306" s="6"/>
      <c r="GC306" s="5"/>
      <c r="GD306" s="5"/>
      <c r="GE306" s="4"/>
      <c r="GF306" s="6"/>
      <c r="GG306" s="4"/>
      <c r="GH306" s="6"/>
      <c r="GI306" s="5"/>
      <c r="GJ306" s="5"/>
      <c r="GK306" s="4"/>
      <c r="GL306" s="6"/>
      <c r="GM306" s="4"/>
      <c r="GN306" s="6"/>
      <c r="GO306" s="5"/>
      <c r="GP306" s="5"/>
      <c r="GQ306" s="4"/>
      <c r="GR306" s="6"/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  <c r="IA306" s="4"/>
      <c r="IB306" s="6"/>
      <c r="IC306" s="4"/>
      <c r="ID306" s="6"/>
      <c r="IE306" s="5"/>
      <c r="IF306" s="5"/>
      <c r="IG306" s="4"/>
      <c r="IH306" s="6"/>
      <c r="II306" s="4"/>
      <c r="IJ306" s="6"/>
      <c r="IK306" s="5"/>
      <c r="IL306" s="5"/>
      <c r="IM306" s="4"/>
      <c r="IN306" s="6"/>
      <c r="IO306" s="4"/>
      <c r="IP306" s="6"/>
      <c r="IQ306" s="5"/>
      <c r="IR306" s="5"/>
      <c r="IS306" s="4"/>
      <c r="IT306" s="6"/>
      <c r="IU306" s="4"/>
      <c r="IV306" s="6"/>
      <c r="IW306" s="5"/>
      <c r="IX306" s="5"/>
      <c r="IY306" s="4"/>
      <c r="IZ306" s="6"/>
      <c r="JA306" s="4"/>
      <c r="JB306" s="6"/>
      <c r="JC306" s="5"/>
      <c r="JD306" s="5"/>
      <c r="JE306" s="4"/>
      <c r="JF306" s="6"/>
      <c r="JG306" s="4"/>
      <c r="JH306" s="6"/>
      <c r="JI306" s="5"/>
      <c r="JJ306" s="5"/>
      <c r="JK306" s="4">
        <v>234</v>
      </c>
      <c r="JL306" s="4"/>
      <c r="JM306" s="4"/>
      <c r="JN306" s="4"/>
      <c r="JO306" s="4"/>
      <c r="JP306" s="4"/>
      <c r="JQ306" s="4"/>
      <c r="JR306" s="4"/>
      <c r="JS306" s="4"/>
      <c r="JT306" s="4"/>
      <c r="JU306" s="4"/>
      <c r="JV306" s="4"/>
      <c r="JW306" s="4"/>
      <c r="JX306" s="4"/>
      <c r="JY306" s="4"/>
      <c r="JZ306" s="4"/>
      <c r="KA306" s="4"/>
      <c r="KB306" s="4"/>
      <c r="KC306" s="4"/>
      <c r="KD306" s="4"/>
      <c r="KE306" s="4"/>
      <c r="KF306" s="4"/>
      <c r="KG306" s="4"/>
      <c r="KH306" s="4"/>
      <c r="KI306" s="4"/>
      <c r="KJ306" s="4">
        <v>282</v>
      </c>
      <c r="KK306" s="4"/>
      <c r="KL306" s="4"/>
      <c r="KM306" s="4"/>
      <c r="KN306" s="4"/>
      <c r="KO306" s="4"/>
      <c r="KP306" s="4">
        <v>349</v>
      </c>
      <c r="KQ306" s="4"/>
      <c r="KR306" s="4"/>
      <c r="KS306" s="4"/>
      <c r="KT306" s="4"/>
      <c r="KU306" s="4"/>
      <c r="KV306" s="4"/>
      <c r="KW306" s="4"/>
      <c r="KX306" s="4"/>
      <c r="KY306" s="4"/>
      <c r="KZ306" s="4"/>
      <c r="LA306" s="4"/>
      <c r="LB306" s="4"/>
      <c r="LC306" s="4"/>
      <c r="LD306" s="4"/>
      <c r="LE306" s="4"/>
      <c r="LF306" s="4"/>
      <c r="LG306" s="4"/>
      <c r="LH306" s="4"/>
      <c r="LI306" s="4"/>
      <c r="LJ306" s="4"/>
      <c r="LK306" s="4"/>
      <c r="LL306" s="4"/>
      <c r="LM306" s="4"/>
    </row>
    <row r="307">
      <c r="A307" s="3" t="s">
        <v>136</v>
      </c>
      <c r="B307" s="3" t="s">
        <v>202</v>
      </c>
      <c r="C307" s="3" t="s">
        <v>138</v>
      </c>
      <c r="D307" s="3" t="s">
        <v>139</v>
      </c>
      <c r="E307" s="3" t="s">
        <v>203</v>
      </c>
      <c r="F307" s="3" t="s">
        <v>203</v>
      </c>
      <c r="G307" s="3" t="s">
        <v>203</v>
      </c>
      <c r="H307" s="3" t="s">
        <v>143</v>
      </c>
      <c r="I307" s="3" t="s">
        <v>230</v>
      </c>
      <c r="J307" s="3" t="s">
        <v>228</v>
      </c>
      <c r="K307" s="4">
        <v>282</v>
      </c>
      <c r="L307" s="4">
        <f>=ROUNDDOWN(16.5882352941176,0)</f>
      </c>
      <c r="M307" s="4">
        <v>606</v>
      </c>
      <c r="N307" s="5">
        <v>0.8287</v>
      </c>
      <c r="O307" s="4"/>
      <c r="P307" s="4">
        <f>=ROUNDDOWN({0},0)</f>
      </c>
      <c r="Q307" s="4"/>
      <c r="R307" s="5"/>
      <c r="S307" s="4">
        <v>97</v>
      </c>
      <c r="T307" s="6">
        <v>6669.98</v>
      </c>
      <c r="U307" s="4">
        <v>15</v>
      </c>
      <c r="V307" s="6">
        <v>1131.05</v>
      </c>
      <c r="W307" s="5">
        <v>5.4667</v>
      </c>
      <c r="X307" s="5">
        <v>4.8972</v>
      </c>
      <c r="Y307" s="4">
        <v>23</v>
      </c>
      <c r="Z307" s="6">
        <v>1199.5</v>
      </c>
      <c r="AA307" s="4"/>
      <c r="AB307" s="6"/>
      <c r="AC307" s="5"/>
      <c r="AD307" s="5"/>
      <c r="AE307" s="4">
        <v>15</v>
      </c>
      <c r="AF307" s="6">
        <v>1142.18</v>
      </c>
      <c r="AG307" s="4"/>
      <c r="AH307" s="6"/>
      <c r="AI307" s="5"/>
      <c r="AJ307" s="5"/>
      <c r="AK307" s="4"/>
      <c r="AL307" s="6"/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>
        <v>31</v>
      </c>
      <c r="AX307" s="6">
        <v>2149.37</v>
      </c>
      <c r="AY307" s="4"/>
      <c r="AZ307" s="6"/>
      <c r="BA307" s="5"/>
      <c r="BB307" s="5"/>
      <c r="BC307" s="4"/>
      <c r="BD307" s="6"/>
      <c r="BE307" s="4"/>
      <c r="BF307" s="6"/>
      <c r="BG307" s="5"/>
      <c r="BH307" s="5"/>
      <c r="BI307" s="4"/>
      <c r="BJ307" s="6"/>
      <c r="BK307" s="4"/>
      <c r="BL307" s="6"/>
      <c r="BM307" s="5"/>
      <c r="BN307" s="5"/>
      <c r="BO307" s="4">
        <v>7</v>
      </c>
      <c r="BP307" s="6">
        <v>530.33</v>
      </c>
      <c r="BQ307" s="4"/>
      <c r="BR307" s="6"/>
      <c r="BS307" s="5"/>
      <c r="BT307" s="5"/>
      <c r="BU307" s="4">
        <v>11</v>
      </c>
      <c r="BV307" s="6">
        <v>814.62</v>
      </c>
      <c r="BW307" s="4"/>
      <c r="BX307" s="6"/>
      <c r="BY307" s="5"/>
      <c r="BZ307" s="5"/>
      <c r="CA307" s="4">
        <v>5</v>
      </c>
      <c r="CB307" s="6">
        <v>460.53</v>
      </c>
      <c r="CC307" s="4">
        <v>13</v>
      </c>
      <c r="CD307" s="6">
        <v>1032.33</v>
      </c>
      <c r="CE307" s="5">
        <v>-0.6154</v>
      </c>
      <c r="CF307" s="5">
        <v>-0.5539</v>
      </c>
      <c r="CG307" s="4"/>
      <c r="CH307" s="6"/>
      <c r="CI307" s="4"/>
      <c r="CJ307" s="6"/>
      <c r="CK307" s="5"/>
      <c r="CL307" s="5"/>
      <c r="CM307" s="4"/>
      <c r="CN307" s="6"/>
      <c r="CO307" s="4"/>
      <c r="CP307" s="6"/>
      <c r="CQ307" s="5"/>
      <c r="CR307" s="5"/>
      <c r="CS307" s="4"/>
      <c r="CT307" s="6"/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/>
      <c r="DX307" s="6"/>
      <c r="DY307" s="4"/>
      <c r="DZ307" s="6"/>
      <c r="EA307" s="5"/>
      <c r="EB307" s="5"/>
      <c r="EC307" s="4"/>
      <c r="ED307" s="6"/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>
        <v>5</v>
      </c>
      <c r="FB307" s="6">
        <v>373.45</v>
      </c>
      <c r="FC307" s="4">
        <v>2</v>
      </c>
      <c r="FD307" s="6">
        <v>98.72</v>
      </c>
      <c r="FE307" s="5">
        <v>1.5</v>
      </c>
      <c r="FF307" s="5">
        <v>2.7829</v>
      </c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  <c r="IA307" s="4"/>
      <c r="IB307" s="6"/>
      <c r="IC307" s="4"/>
      <c r="ID307" s="6"/>
      <c r="IE307" s="5"/>
      <c r="IF307" s="5"/>
      <c r="IG307" s="4"/>
      <c r="IH307" s="6"/>
      <c r="II307" s="4"/>
      <c r="IJ307" s="6"/>
      <c r="IK307" s="5"/>
      <c r="IL307" s="5"/>
      <c r="IM307" s="4"/>
      <c r="IN307" s="6"/>
      <c r="IO307" s="4"/>
      <c r="IP307" s="6"/>
      <c r="IQ307" s="5"/>
      <c r="IR307" s="5"/>
      <c r="IS307" s="4"/>
      <c r="IT307" s="6"/>
      <c r="IU307" s="4"/>
      <c r="IV307" s="6"/>
      <c r="IW307" s="5"/>
      <c r="IX307" s="5"/>
      <c r="IY307" s="4"/>
      <c r="IZ307" s="6"/>
      <c r="JA307" s="4"/>
      <c r="JB307" s="6"/>
      <c r="JC307" s="5"/>
      <c r="JD307" s="5"/>
      <c r="JE307" s="4"/>
      <c r="JF307" s="6"/>
      <c r="JG307" s="4"/>
      <c r="JH307" s="6"/>
      <c r="JI307" s="5"/>
      <c r="JJ307" s="5"/>
      <c r="JK307" s="4">
        <v>282</v>
      </c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>
        <v>242</v>
      </c>
      <c r="KK307" s="4"/>
      <c r="KL307" s="4"/>
      <c r="KM307" s="4"/>
      <c r="KN307" s="4"/>
      <c r="KO307" s="4"/>
      <c r="KP307" s="4">
        <v>364</v>
      </c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/>
    </row>
    <row r="308">
      <c r="A308" s="3" t="s">
        <v>136</v>
      </c>
      <c r="B308" s="3" t="s">
        <v>202</v>
      </c>
      <c r="C308" s="3" t="s">
        <v>138</v>
      </c>
      <c r="D308" s="3" t="s">
        <v>139</v>
      </c>
      <c r="E308" s="3" t="s">
        <v>204</v>
      </c>
      <c r="F308" s="3" t="s">
        <v>204</v>
      </c>
      <c r="G308" s="3" t="s">
        <v>204</v>
      </c>
      <c r="H308" s="3" t="s">
        <v>143</v>
      </c>
      <c r="I308" s="3" t="s">
        <v>248</v>
      </c>
      <c r="J308" s="3" t="s">
        <v>241</v>
      </c>
      <c r="K308" s="4">
        <v>660</v>
      </c>
      <c r="L308" s="4">
        <f>=ROUNDDOWN(82.5,0)</f>
      </c>
      <c r="M308" s="4"/>
      <c r="N308" s="5"/>
      <c r="O308" s="4"/>
      <c r="P308" s="4">
        <f>=ROUNDDOWN({0},0)</f>
      </c>
      <c r="Q308" s="4"/>
      <c r="R308" s="5"/>
      <c r="S308" s="4">
        <v>56</v>
      </c>
      <c r="T308" s="6">
        <v>2819.34</v>
      </c>
      <c r="U308" s="4">
        <v>32</v>
      </c>
      <c r="V308" s="6">
        <v>1348.56</v>
      </c>
      <c r="W308" s="5">
        <v>0.75</v>
      </c>
      <c r="X308" s="5">
        <v>1.0906</v>
      </c>
      <c r="Y308" s="4">
        <v>16</v>
      </c>
      <c r="Z308" s="6">
        <v>773.86</v>
      </c>
      <c r="AA308" s="4"/>
      <c r="AB308" s="6"/>
      <c r="AC308" s="5"/>
      <c r="AD308" s="5"/>
      <c r="AE308" s="4">
        <v>10</v>
      </c>
      <c r="AF308" s="6">
        <v>421.72</v>
      </c>
      <c r="AG308" s="4"/>
      <c r="AH308" s="6"/>
      <c r="AI308" s="5"/>
      <c r="AJ308" s="5"/>
      <c r="AK308" s="4"/>
      <c r="AL308" s="6"/>
      <c r="AM308" s="4"/>
      <c r="AN308" s="6"/>
      <c r="AO308" s="5"/>
      <c r="AP308" s="5"/>
      <c r="AQ308" s="4"/>
      <c r="AR308" s="6"/>
      <c r="AS308" s="4"/>
      <c r="AT308" s="6"/>
      <c r="AU308" s="5"/>
      <c r="AV308" s="5"/>
      <c r="AW308" s="4">
        <v>12</v>
      </c>
      <c r="AX308" s="6">
        <v>646.95</v>
      </c>
      <c r="AY308" s="4"/>
      <c r="AZ308" s="6"/>
      <c r="BA308" s="5"/>
      <c r="BB308" s="5"/>
      <c r="BC308" s="4"/>
      <c r="BD308" s="6"/>
      <c r="BE308" s="4"/>
      <c r="BF308" s="6"/>
      <c r="BG308" s="5"/>
      <c r="BH308" s="5"/>
      <c r="BI308" s="4"/>
      <c r="BJ308" s="6"/>
      <c r="BK308" s="4"/>
      <c r="BL308" s="6"/>
      <c r="BM308" s="5"/>
      <c r="BN308" s="5"/>
      <c r="BO308" s="4">
        <v>1</v>
      </c>
      <c r="BP308" s="6">
        <v>58.5</v>
      </c>
      <c r="BQ308" s="4"/>
      <c r="BR308" s="6"/>
      <c r="BS308" s="5"/>
      <c r="BT308" s="5"/>
      <c r="BU308" s="4"/>
      <c r="BV308" s="6"/>
      <c r="BW308" s="4"/>
      <c r="BX308" s="6"/>
      <c r="BY308" s="5"/>
      <c r="BZ308" s="5"/>
      <c r="CA308" s="4">
        <v>14</v>
      </c>
      <c r="CB308" s="6">
        <v>811</v>
      </c>
      <c r="CC308" s="4">
        <v>28</v>
      </c>
      <c r="CD308" s="6">
        <v>1189.28</v>
      </c>
      <c r="CE308" s="5">
        <v>-0.5</v>
      </c>
      <c r="CF308" s="5">
        <v>-0.3181</v>
      </c>
      <c r="CG308" s="4"/>
      <c r="CH308" s="6"/>
      <c r="CI308" s="4"/>
      <c r="CJ308" s="6"/>
      <c r="CK308" s="5"/>
      <c r="CL308" s="5"/>
      <c r="CM308" s="4"/>
      <c r="CN308" s="6"/>
      <c r="CO308" s="4"/>
      <c r="CP308" s="6"/>
      <c r="CQ308" s="5"/>
      <c r="CR308" s="5"/>
      <c r="CS308" s="4"/>
      <c r="CT308" s="6"/>
      <c r="CU308" s="4"/>
      <c r="CV308" s="6"/>
      <c r="CW308" s="5"/>
      <c r="CX308" s="5"/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/>
      <c r="EF308" s="6"/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>
        <v>3</v>
      </c>
      <c r="FB308" s="6">
        <v>107.31</v>
      </c>
      <c r="FC308" s="4">
        <v>4</v>
      </c>
      <c r="FD308" s="6">
        <v>159.28</v>
      </c>
      <c r="FE308" s="5">
        <v>-0.25</v>
      </c>
      <c r="FF308" s="5">
        <v>-0.3263</v>
      </c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/>
      <c r="FV308" s="6"/>
      <c r="FW308" s="5"/>
      <c r="FX308" s="5"/>
      <c r="FY308" s="4"/>
      <c r="FZ308" s="6"/>
      <c r="GA308" s="4"/>
      <c r="GB308" s="6"/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  <c r="IA308" s="4"/>
      <c r="IB308" s="6"/>
      <c r="IC308" s="4"/>
      <c r="ID308" s="6"/>
      <c r="IE308" s="5"/>
      <c r="IF308" s="5"/>
      <c r="IG308" s="4"/>
      <c r="IH308" s="6"/>
      <c r="II308" s="4"/>
      <c r="IJ308" s="6"/>
      <c r="IK308" s="5"/>
      <c r="IL308" s="5"/>
      <c r="IM308" s="4"/>
      <c r="IN308" s="6"/>
      <c r="IO308" s="4"/>
      <c r="IP308" s="6"/>
      <c r="IQ308" s="5"/>
      <c r="IR308" s="5"/>
      <c r="IS308" s="4"/>
      <c r="IT308" s="6"/>
      <c r="IU308" s="4"/>
      <c r="IV308" s="6"/>
      <c r="IW308" s="5"/>
      <c r="IX308" s="5"/>
      <c r="IY308" s="4"/>
      <c r="IZ308" s="6"/>
      <c r="JA308" s="4"/>
      <c r="JB308" s="6"/>
      <c r="JC308" s="5"/>
      <c r="JD308" s="5"/>
      <c r="JE308" s="4"/>
      <c r="JF308" s="6"/>
      <c r="JG308" s="4"/>
      <c r="JH308" s="6"/>
      <c r="JI308" s="5"/>
      <c r="JJ308" s="5"/>
      <c r="JK308" s="4">
        <v>660</v>
      </c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/>
    </row>
    <row r="309">
      <c r="A309" s="3" t="s">
        <v>136</v>
      </c>
      <c r="B309" s="3" t="s">
        <v>202</v>
      </c>
      <c r="C309" s="3" t="s">
        <v>138</v>
      </c>
      <c r="D309" s="3" t="s">
        <v>139</v>
      </c>
      <c r="E309" s="3" t="s">
        <v>204</v>
      </c>
      <c r="F309" s="3" t="s">
        <v>204</v>
      </c>
      <c r="G309" s="3" t="s">
        <v>204</v>
      </c>
      <c r="H309" s="3" t="s">
        <v>143</v>
      </c>
      <c r="I309" s="3" t="s">
        <v>230</v>
      </c>
      <c r="J309" s="3" t="s">
        <v>241</v>
      </c>
      <c r="K309" s="4">
        <v>721</v>
      </c>
      <c r="L309" s="4">
        <f>=ROUNDDOWN(120.166666666667,0)</f>
      </c>
      <c r="M309" s="4"/>
      <c r="N309" s="5"/>
      <c r="O309" s="4"/>
      <c r="P309" s="4">
        <f>=ROUNDDOWN({0},0)</f>
      </c>
      <c r="Q309" s="4"/>
      <c r="R309" s="5"/>
      <c r="S309" s="4">
        <v>39</v>
      </c>
      <c r="T309" s="6">
        <v>2009.57</v>
      </c>
      <c r="U309" s="4">
        <v>35</v>
      </c>
      <c r="V309" s="6">
        <v>1341.83</v>
      </c>
      <c r="W309" s="5">
        <v>0.1143</v>
      </c>
      <c r="X309" s="5">
        <v>0.4976</v>
      </c>
      <c r="Y309" s="4">
        <v>7</v>
      </c>
      <c r="Z309" s="6">
        <v>360.32</v>
      </c>
      <c r="AA309" s="4"/>
      <c r="AB309" s="6"/>
      <c r="AC309" s="5"/>
      <c r="AD309" s="5"/>
      <c r="AE309" s="4">
        <v>2</v>
      </c>
      <c r="AF309" s="6">
        <v>122.84</v>
      </c>
      <c r="AG309" s="4"/>
      <c r="AH309" s="6"/>
      <c r="AI309" s="5"/>
      <c r="AJ309" s="5"/>
      <c r="AK309" s="4"/>
      <c r="AL309" s="6"/>
      <c r="AM309" s="4"/>
      <c r="AN309" s="6"/>
      <c r="AO309" s="5"/>
      <c r="AP309" s="5"/>
      <c r="AQ309" s="4"/>
      <c r="AR309" s="6"/>
      <c r="AS309" s="4"/>
      <c r="AT309" s="6"/>
      <c r="AU309" s="5"/>
      <c r="AV309" s="5"/>
      <c r="AW309" s="4">
        <v>15</v>
      </c>
      <c r="AX309" s="6">
        <v>687.88</v>
      </c>
      <c r="AY309" s="4"/>
      <c r="AZ309" s="6"/>
      <c r="BA309" s="5"/>
      <c r="BB309" s="5"/>
      <c r="BC309" s="4"/>
      <c r="BD309" s="6"/>
      <c r="BE309" s="4"/>
      <c r="BF309" s="6"/>
      <c r="BG309" s="5"/>
      <c r="BH309" s="5"/>
      <c r="BI309" s="4"/>
      <c r="BJ309" s="6"/>
      <c r="BK309" s="4"/>
      <c r="BL309" s="6"/>
      <c r="BM309" s="5"/>
      <c r="BN309" s="5"/>
      <c r="BO309" s="4">
        <v>1</v>
      </c>
      <c r="BP309" s="6">
        <v>15.6</v>
      </c>
      <c r="BQ309" s="4"/>
      <c r="BR309" s="6"/>
      <c r="BS309" s="5"/>
      <c r="BT309" s="5"/>
      <c r="BU309" s="4">
        <v>2</v>
      </c>
      <c r="BV309" s="6">
        <v>106.46</v>
      </c>
      <c r="BW309" s="4"/>
      <c r="BX309" s="6"/>
      <c r="BY309" s="5"/>
      <c r="BZ309" s="5"/>
      <c r="CA309" s="4">
        <v>10</v>
      </c>
      <c r="CB309" s="6">
        <v>554.99</v>
      </c>
      <c r="CC309" s="4">
        <v>29</v>
      </c>
      <c r="CD309" s="6">
        <v>1096.59</v>
      </c>
      <c r="CE309" s="5">
        <v>-0.6552</v>
      </c>
      <c r="CF309" s="5">
        <v>-0.4939</v>
      </c>
      <c r="CG309" s="4"/>
      <c r="CH309" s="6"/>
      <c r="CI309" s="4"/>
      <c r="CJ309" s="6"/>
      <c r="CK309" s="5"/>
      <c r="CL309" s="5"/>
      <c r="CM309" s="4"/>
      <c r="CN309" s="6"/>
      <c r="CO309" s="4"/>
      <c r="CP309" s="6"/>
      <c r="CQ309" s="5"/>
      <c r="CR309" s="5"/>
      <c r="CS309" s="4"/>
      <c r="CT309" s="6"/>
      <c r="CU309" s="4"/>
      <c r="CV309" s="6"/>
      <c r="CW309" s="5"/>
      <c r="CX309" s="5"/>
      <c r="CY309" s="4"/>
      <c r="CZ309" s="6"/>
      <c r="DA309" s="4"/>
      <c r="DB309" s="6"/>
      <c r="DC309" s="5"/>
      <c r="DD309" s="5"/>
      <c r="DE309" s="4"/>
      <c r="DF309" s="6"/>
      <c r="DG309" s="4"/>
      <c r="DH309" s="6"/>
      <c r="DI309" s="5"/>
      <c r="DJ309" s="5"/>
      <c r="DK309" s="4"/>
      <c r="DL309" s="6"/>
      <c r="DM309" s="4"/>
      <c r="DN309" s="6"/>
      <c r="DO309" s="5"/>
      <c r="DP309" s="5"/>
      <c r="DQ309" s="4"/>
      <c r="DR309" s="6"/>
      <c r="DS309" s="4"/>
      <c r="DT309" s="6"/>
      <c r="DU309" s="5"/>
      <c r="DV309" s="5"/>
      <c r="DW309" s="4"/>
      <c r="DX309" s="6"/>
      <c r="DY309" s="4"/>
      <c r="DZ309" s="6"/>
      <c r="EA309" s="5"/>
      <c r="EB309" s="5"/>
      <c r="EC309" s="4"/>
      <c r="ED309" s="6"/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>
        <v>2</v>
      </c>
      <c r="FB309" s="6">
        <v>161.48</v>
      </c>
      <c r="FC309" s="4">
        <v>6</v>
      </c>
      <c r="FD309" s="6">
        <v>245.24</v>
      </c>
      <c r="FE309" s="5">
        <v>-0.6667</v>
      </c>
      <c r="FF309" s="5">
        <v>-0.3415</v>
      </c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/>
      <c r="FV309" s="6"/>
      <c r="FW309" s="5"/>
      <c r="FX309" s="5"/>
      <c r="FY309" s="4"/>
      <c r="FZ309" s="6"/>
      <c r="GA309" s="4"/>
      <c r="GB309" s="6"/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  <c r="IA309" s="4"/>
      <c r="IB309" s="6"/>
      <c r="IC309" s="4"/>
      <c r="ID309" s="6"/>
      <c r="IE309" s="5"/>
      <c r="IF309" s="5"/>
      <c r="IG309" s="4"/>
      <c r="IH309" s="6"/>
      <c r="II309" s="4"/>
      <c r="IJ309" s="6"/>
      <c r="IK309" s="5"/>
      <c r="IL309" s="5"/>
      <c r="IM309" s="4"/>
      <c r="IN309" s="6"/>
      <c r="IO309" s="4"/>
      <c r="IP309" s="6"/>
      <c r="IQ309" s="5"/>
      <c r="IR309" s="5"/>
      <c r="IS309" s="4"/>
      <c r="IT309" s="6"/>
      <c r="IU309" s="4"/>
      <c r="IV309" s="6"/>
      <c r="IW309" s="5"/>
      <c r="IX309" s="5"/>
      <c r="IY309" s="4"/>
      <c r="IZ309" s="6"/>
      <c r="JA309" s="4"/>
      <c r="JB309" s="6"/>
      <c r="JC309" s="5"/>
      <c r="JD309" s="5"/>
      <c r="JE309" s="4"/>
      <c r="JF309" s="6"/>
      <c r="JG309" s="4"/>
      <c r="JH309" s="6"/>
      <c r="JI309" s="5"/>
      <c r="JJ309" s="5"/>
      <c r="JK309" s="4">
        <v>721</v>
      </c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/>
    </row>
    <row r="310">
      <c r="A310" s="3" t="s">
        <v>136</v>
      </c>
      <c r="B310" s="3" t="s">
        <v>205</v>
      </c>
      <c r="C310" s="3" t="s">
        <v>138</v>
      </c>
      <c r="D310" s="3" t="s">
        <v>139</v>
      </c>
      <c r="E310" s="3" t="s">
        <v>206</v>
      </c>
      <c r="F310" s="3" t="s">
        <v>206</v>
      </c>
      <c r="G310" s="3" t="s">
        <v>206</v>
      </c>
      <c r="H310" s="3" t="s">
        <v>167</v>
      </c>
      <c r="I310" s="3" t="s">
        <v>353</v>
      </c>
      <c r="J310" s="3" t="s">
        <v>241</v>
      </c>
      <c r="K310" s="4">
        <v>804</v>
      </c>
      <c r="L310" s="4">
        <f>=ROUNDDOWN(12.6018808777429,0)</f>
      </c>
      <c r="M310" s="4"/>
      <c r="N310" s="5"/>
      <c r="O310" s="4"/>
      <c r="P310" s="4">
        <f>=ROUNDDOWN({0},0)</f>
      </c>
      <c r="Q310" s="4"/>
      <c r="R310" s="5"/>
      <c r="S310" s="4">
        <v>189</v>
      </c>
      <c r="T310" s="6">
        <v>5453.07</v>
      </c>
      <c r="U310" s="4">
        <v>84</v>
      </c>
      <c r="V310" s="6">
        <v>2455.7</v>
      </c>
      <c r="W310" s="5">
        <v>1.25</v>
      </c>
      <c r="X310" s="5">
        <v>1.2206</v>
      </c>
      <c r="Y310" s="4">
        <v>56</v>
      </c>
      <c r="Z310" s="6">
        <v>1740.43</v>
      </c>
      <c r="AA310" s="4">
        <v>35</v>
      </c>
      <c r="AB310" s="6">
        <v>1024.93</v>
      </c>
      <c r="AC310" s="5">
        <v>0.6</v>
      </c>
      <c r="AD310" s="5">
        <v>0.6981</v>
      </c>
      <c r="AE310" s="4">
        <v>18</v>
      </c>
      <c r="AF310" s="6">
        <v>539.16</v>
      </c>
      <c r="AG310" s="4">
        <v>5</v>
      </c>
      <c r="AH310" s="6">
        <v>154.91</v>
      </c>
      <c r="AI310" s="5">
        <v>2.6</v>
      </c>
      <c r="AJ310" s="5">
        <v>2.4805</v>
      </c>
      <c r="AK310" s="4">
        <v>1</v>
      </c>
      <c r="AL310" s="6">
        <v>8.02</v>
      </c>
      <c r="AM310" s="4"/>
      <c r="AN310" s="6"/>
      <c r="AO310" s="5"/>
      <c r="AP310" s="5"/>
      <c r="AQ310" s="4">
        <v>15</v>
      </c>
      <c r="AR310" s="6">
        <v>443.73</v>
      </c>
      <c r="AS310" s="4">
        <v>10</v>
      </c>
      <c r="AT310" s="6">
        <v>276.2</v>
      </c>
      <c r="AU310" s="5">
        <v>0.5</v>
      </c>
      <c r="AV310" s="5">
        <v>0.6066</v>
      </c>
      <c r="AW310" s="4">
        <v>6</v>
      </c>
      <c r="AX310" s="6">
        <v>181.38</v>
      </c>
      <c r="AY310" s="4">
        <v>15</v>
      </c>
      <c r="AZ310" s="6">
        <v>446.54</v>
      </c>
      <c r="BA310" s="5">
        <v>-0.6</v>
      </c>
      <c r="BB310" s="5">
        <v>-0.5938</v>
      </c>
      <c r="BC310" s="4">
        <v>48</v>
      </c>
      <c r="BD310" s="6">
        <v>1416.4</v>
      </c>
      <c r="BE310" s="4">
        <v>5</v>
      </c>
      <c r="BF310" s="6">
        <v>171.11</v>
      </c>
      <c r="BG310" s="5">
        <v>8.6</v>
      </c>
      <c r="BH310" s="5">
        <v>7.2777</v>
      </c>
      <c r="BI310" s="4">
        <v>8</v>
      </c>
      <c r="BJ310" s="6">
        <v>221.45</v>
      </c>
      <c r="BK310" s="4">
        <v>3</v>
      </c>
      <c r="BL310" s="6">
        <v>71.57</v>
      </c>
      <c r="BM310" s="5">
        <v>1.6667</v>
      </c>
      <c r="BN310" s="5">
        <v>2.0942</v>
      </c>
      <c r="BO310" s="4">
        <v>17</v>
      </c>
      <c r="BP310" s="6">
        <v>310.37</v>
      </c>
      <c r="BQ310" s="4"/>
      <c r="BR310" s="6"/>
      <c r="BS310" s="5"/>
      <c r="BT310" s="5"/>
      <c r="BU310" s="4"/>
      <c r="BV310" s="6"/>
      <c r="BW310" s="4"/>
      <c r="BX310" s="6"/>
      <c r="BY310" s="5"/>
      <c r="BZ310" s="5"/>
      <c r="CA310" s="4">
        <v>1</v>
      </c>
      <c r="CB310" s="6">
        <v>28.84</v>
      </c>
      <c r="CC310" s="4">
        <v>1</v>
      </c>
      <c r="CD310" s="6">
        <v>23.1</v>
      </c>
      <c r="CE310" s="5"/>
      <c r="CF310" s="5">
        <v>0.2485</v>
      </c>
      <c r="CG310" s="4">
        <v>13</v>
      </c>
      <c r="CH310" s="6">
        <v>383.05</v>
      </c>
      <c r="CI310" s="4">
        <v>3</v>
      </c>
      <c r="CJ310" s="6">
        <v>89.1</v>
      </c>
      <c r="CK310" s="5">
        <v>3.3333</v>
      </c>
      <c r="CL310" s="5">
        <v>3.2991</v>
      </c>
      <c r="CM310" s="4"/>
      <c r="CN310" s="6"/>
      <c r="CO310" s="4"/>
      <c r="CP310" s="6"/>
      <c r="CQ310" s="5"/>
      <c r="CR310" s="5"/>
      <c r="CS310" s="4">
        <v>5</v>
      </c>
      <c r="CT310" s="6">
        <v>141.75</v>
      </c>
      <c r="CU310" s="4">
        <v>6</v>
      </c>
      <c r="CV310" s="6">
        <v>169.89</v>
      </c>
      <c r="CW310" s="5">
        <v>-0.1667</v>
      </c>
      <c r="CX310" s="5">
        <v>-0.1656</v>
      </c>
      <c r="CY310" s="4"/>
      <c r="CZ310" s="6"/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>
        <v>1</v>
      </c>
      <c r="DL310" s="6">
        <v>38.49</v>
      </c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/>
      <c r="DX310" s="6"/>
      <c r="DY310" s="4"/>
      <c r="DZ310" s="6"/>
      <c r="EA310" s="5"/>
      <c r="EB310" s="5"/>
      <c r="EC310" s="4"/>
      <c r="ED310" s="6"/>
      <c r="EE310" s="4"/>
      <c r="EF310" s="6"/>
      <c r="EG310" s="5"/>
      <c r="EH310" s="5"/>
      <c r="EI310" s="4"/>
      <c r="EJ310" s="6"/>
      <c r="EK310" s="4"/>
      <c r="EL310" s="6"/>
      <c r="EM310" s="5"/>
      <c r="EN310" s="5"/>
      <c r="EO310" s="4"/>
      <c r="EP310" s="6"/>
      <c r="EQ310" s="4"/>
      <c r="ER310" s="6"/>
      <c r="ES310" s="5"/>
      <c r="ET310" s="5"/>
      <c r="EU310" s="4"/>
      <c r="EV310" s="6"/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/>
      <c r="FV310" s="6"/>
      <c r="FW310" s="5"/>
      <c r="FX310" s="5"/>
      <c r="FY310" s="4"/>
      <c r="FZ310" s="6"/>
      <c r="GA310" s="4">
        <v>1</v>
      </c>
      <c r="GB310" s="6">
        <v>28.35</v>
      </c>
      <c r="GC310" s="5"/>
      <c r="GD310" s="5"/>
      <c r="GE310" s="4"/>
      <c r="GF310" s="6"/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  <c r="IA310" s="4"/>
      <c r="IB310" s="6"/>
      <c r="IC310" s="4"/>
      <c r="ID310" s="6"/>
      <c r="IE310" s="5"/>
      <c r="IF310" s="5"/>
      <c r="IG310" s="4"/>
      <c r="IH310" s="6"/>
      <c r="II310" s="4"/>
      <c r="IJ310" s="6"/>
      <c r="IK310" s="5"/>
      <c r="IL310" s="5"/>
      <c r="IM310" s="4"/>
      <c r="IN310" s="6"/>
      <c r="IO310" s="4"/>
      <c r="IP310" s="6"/>
      <c r="IQ310" s="5"/>
      <c r="IR310" s="5"/>
      <c r="IS310" s="4"/>
      <c r="IT310" s="6"/>
      <c r="IU310" s="4"/>
      <c r="IV310" s="6"/>
      <c r="IW310" s="5"/>
      <c r="IX310" s="5"/>
      <c r="IY310" s="4"/>
      <c r="IZ310" s="6"/>
      <c r="JA310" s="4"/>
      <c r="JB310" s="6"/>
      <c r="JC310" s="5"/>
      <c r="JD310" s="5"/>
      <c r="JE310" s="4"/>
      <c r="JF310" s="6"/>
      <c r="JG310" s="4"/>
      <c r="JH310" s="6"/>
      <c r="JI310" s="5"/>
      <c r="JJ310" s="5"/>
      <c r="JK310" s="4">
        <v>804</v>
      </c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/>
    </row>
    <row r="311">
      <c r="A311" s="3" t="s">
        <v>136</v>
      </c>
      <c r="B311" s="3" t="s">
        <v>205</v>
      </c>
      <c r="C311" s="3" t="s">
        <v>138</v>
      </c>
      <c r="D311" s="3" t="s">
        <v>139</v>
      </c>
      <c r="E311" s="3" t="s">
        <v>206</v>
      </c>
      <c r="F311" s="3" t="s">
        <v>206</v>
      </c>
      <c r="G311" s="3" t="s">
        <v>206</v>
      </c>
      <c r="H311" s="3" t="s">
        <v>167</v>
      </c>
      <c r="I311" s="3" t="s">
        <v>354</v>
      </c>
      <c r="J311" s="3" t="s">
        <v>228</v>
      </c>
      <c r="K311" s="4">
        <v>537</v>
      </c>
      <c r="L311" s="4">
        <f>=ROUNDDOWN(16.2727272727273,0)</f>
      </c>
      <c r="M311" s="4">
        <v>332</v>
      </c>
      <c r="N311" s="5">
        <v>0.8524</v>
      </c>
      <c r="O311" s="4"/>
      <c r="P311" s="4">
        <f>=ROUNDDOWN({0},0)</f>
      </c>
      <c r="Q311" s="4"/>
      <c r="R311" s="5"/>
      <c r="S311" s="4">
        <v>102</v>
      </c>
      <c r="T311" s="6">
        <v>2987.98</v>
      </c>
      <c r="U311" s="4">
        <v>248</v>
      </c>
      <c r="V311" s="6">
        <v>7444.68</v>
      </c>
      <c r="W311" s="5">
        <v>-0.5887</v>
      </c>
      <c r="X311" s="5">
        <v>-0.5986</v>
      </c>
      <c r="Y311" s="4">
        <v>24</v>
      </c>
      <c r="Z311" s="6">
        <v>749.18</v>
      </c>
      <c r="AA311" s="4">
        <v>86</v>
      </c>
      <c r="AB311" s="6">
        <v>2704.3</v>
      </c>
      <c r="AC311" s="5">
        <v>-0.7209</v>
      </c>
      <c r="AD311" s="5">
        <v>-0.723</v>
      </c>
      <c r="AE311" s="4">
        <v>18</v>
      </c>
      <c r="AF311" s="6">
        <v>502.32</v>
      </c>
      <c r="AG311" s="4">
        <v>2</v>
      </c>
      <c r="AH311" s="6">
        <v>64</v>
      </c>
      <c r="AI311" s="5">
        <v>8</v>
      </c>
      <c r="AJ311" s="5">
        <v>6.8488</v>
      </c>
      <c r="AK311" s="4"/>
      <c r="AL311" s="6"/>
      <c r="AM311" s="4"/>
      <c r="AN311" s="6"/>
      <c r="AO311" s="5"/>
      <c r="AP311" s="5"/>
      <c r="AQ311" s="4">
        <v>14</v>
      </c>
      <c r="AR311" s="6">
        <v>393.56</v>
      </c>
      <c r="AS311" s="4">
        <v>58</v>
      </c>
      <c r="AT311" s="6">
        <v>1587.9</v>
      </c>
      <c r="AU311" s="5">
        <v>-0.7586</v>
      </c>
      <c r="AV311" s="5">
        <v>-0.7522</v>
      </c>
      <c r="AW311" s="4"/>
      <c r="AX311" s="6"/>
      <c r="AY311" s="4">
        <v>15</v>
      </c>
      <c r="AZ311" s="6">
        <v>475.2</v>
      </c>
      <c r="BA311" s="5"/>
      <c r="BB311" s="5"/>
      <c r="BC311" s="4">
        <v>14</v>
      </c>
      <c r="BD311" s="6">
        <v>379.27</v>
      </c>
      <c r="BE311" s="4">
        <v>11</v>
      </c>
      <c r="BF311" s="6">
        <v>348.94</v>
      </c>
      <c r="BG311" s="5">
        <v>0.2727</v>
      </c>
      <c r="BH311" s="5">
        <v>0.0869</v>
      </c>
      <c r="BI311" s="4">
        <v>6</v>
      </c>
      <c r="BJ311" s="6">
        <v>165.08</v>
      </c>
      <c r="BK311" s="4">
        <v>21</v>
      </c>
      <c r="BL311" s="6">
        <v>606.16</v>
      </c>
      <c r="BM311" s="5">
        <v>-0.7143</v>
      </c>
      <c r="BN311" s="5">
        <v>-0.7277</v>
      </c>
      <c r="BO311" s="4">
        <v>1</v>
      </c>
      <c r="BP311" s="6">
        <v>24.73</v>
      </c>
      <c r="BQ311" s="4"/>
      <c r="BR311" s="6"/>
      <c r="BS311" s="5"/>
      <c r="BT311" s="5"/>
      <c r="BU311" s="4">
        <v>4</v>
      </c>
      <c r="BV311" s="6">
        <v>99.62</v>
      </c>
      <c r="BW311" s="4">
        <v>11</v>
      </c>
      <c r="BX311" s="6">
        <v>312.23</v>
      </c>
      <c r="BY311" s="5">
        <v>-0.6364</v>
      </c>
      <c r="BZ311" s="5">
        <v>-0.6809</v>
      </c>
      <c r="CA311" s="4"/>
      <c r="CB311" s="6"/>
      <c r="CC311" s="4">
        <v>2</v>
      </c>
      <c r="CD311" s="6">
        <v>59.2</v>
      </c>
      <c r="CE311" s="5"/>
      <c r="CF311" s="5"/>
      <c r="CG311" s="4">
        <v>2</v>
      </c>
      <c r="CH311" s="6">
        <v>67.08</v>
      </c>
      <c r="CI311" s="4">
        <v>15</v>
      </c>
      <c r="CJ311" s="6">
        <v>497.88</v>
      </c>
      <c r="CK311" s="5">
        <v>-0.8667</v>
      </c>
      <c r="CL311" s="5">
        <v>-0.8653</v>
      </c>
      <c r="CM311" s="4"/>
      <c r="CN311" s="6"/>
      <c r="CO311" s="4"/>
      <c r="CP311" s="6"/>
      <c r="CQ311" s="5"/>
      <c r="CR311" s="5"/>
      <c r="CS311" s="4"/>
      <c r="CT311" s="6"/>
      <c r="CU311" s="4">
        <v>8</v>
      </c>
      <c r="CV311" s="6">
        <v>225.96</v>
      </c>
      <c r="CW311" s="5"/>
      <c r="CX311" s="5"/>
      <c r="CY311" s="4">
        <v>16</v>
      </c>
      <c r="CZ311" s="6">
        <v>427.77</v>
      </c>
      <c r="DA311" s="4">
        <v>17</v>
      </c>
      <c r="DB311" s="6">
        <v>506.21</v>
      </c>
      <c r="DC311" s="5">
        <v>-0.0588</v>
      </c>
      <c r="DD311" s="5">
        <v>-0.155</v>
      </c>
      <c r="DE311" s="4"/>
      <c r="DF311" s="6"/>
      <c r="DG311" s="4"/>
      <c r="DH311" s="6"/>
      <c r="DI311" s="5"/>
      <c r="DJ311" s="5"/>
      <c r="DK311" s="4">
        <v>3</v>
      </c>
      <c r="DL311" s="6">
        <v>179.37</v>
      </c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/>
      <c r="ER311" s="6"/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/>
      <c r="FV311" s="6"/>
      <c r="FW311" s="5"/>
      <c r="FX311" s="5"/>
      <c r="FY311" s="4"/>
      <c r="FZ311" s="6"/>
      <c r="GA311" s="4">
        <v>2</v>
      </c>
      <c r="GB311" s="6">
        <v>56.7</v>
      </c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  <c r="IA311" s="4"/>
      <c r="IB311" s="6"/>
      <c r="IC311" s="4"/>
      <c r="ID311" s="6"/>
      <c r="IE311" s="5"/>
      <c r="IF311" s="5"/>
      <c r="IG311" s="4"/>
      <c r="IH311" s="6"/>
      <c r="II311" s="4"/>
      <c r="IJ311" s="6"/>
      <c r="IK311" s="5"/>
      <c r="IL311" s="5"/>
      <c r="IM311" s="4"/>
      <c r="IN311" s="6"/>
      <c r="IO311" s="4"/>
      <c r="IP311" s="6"/>
      <c r="IQ311" s="5"/>
      <c r="IR311" s="5"/>
      <c r="IS311" s="4"/>
      <c r="IT311" s="6"/>
      <c r="IU311" s="4"/>
      <c r="IV311" s="6"/>
      <c r="IW311" s="5"/>
      <c r="IX311" s="5"/>
      <c r="IY311" s="4"/>
      <c r="IZ311" s="6"/>
      <c r="JA311" s="4"/>
      <c r="JB311" s="6"/>
      <c r="JC311" s="5"/>
      <c r="JD311" s="5"/>
      <c r="JE311" s="4"/>
      <c r="JF311" s="6"/>
      <c r="JG311" s="4"/>
      <c r="JH311" s="6"/>
      <c r="JI311" s="5"/>
      <c r="JJ311" s="5"/>
      <c r="JK311" s="4">
        <v>537</v>
      </c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>
        <v>332</v>
      </c>
      <c r="LF311" s="4"/>
      <c r="LG311" s="4"/>
      <c r="LH311" s="4"/>
      <c r="LI311" s="4"/>
      <c r="LJ311" s="4"/>
      <c r="LK311" s="4"/>
      <c r="LL311" s="4"/>
      <c r="LM311" s="4"/>
    </row>
    <row r="312">
      <c r="A312" s="3" t="s">
        <v>136</v>
      </c>
      <c r="B312" s="3" t="s">
        <v>205</v>
      </c>
      <c r="C312" s="3" t="s">
        <v>138</v>
      </c>
      <c r="D312" s="3" t="s">
        <v>139</v>
      </c>
      <c r="E312" s="3" t="s">
        <v>206</v>
      </c>
      <c r="F312" s="3" t="s">
        <v>206</v>
      </c>
      <c r="G312" s="3" t="s">
        <v>206</v>
      </c>
      <c r="H312" s="3" t="s">
        <v>167</v>
      </c>
      <c r="I312" s="3" t="s">
        <v>355</v>
      </c>
      <c r="J312" s="3" t="s">
        <v>228</v>
      </c>
      <c r="K312" s="4">
        <v>3</v>
      </c>
      <c r="L312" s="4">
        <f>=ROUNDDOWN(0.0652173913043478,0)</f>
      </c>
      <c r="M312" s="4">
        <v>478</v>
      </c>
      <c r="N312" s="5">
        <v>1</v>
      </c>
      <c r="O312" s="4"/>
      <c r="P312" s="4">
        <f>=ROUNDDOWN({0},0)</f>
      </c>
      <c r="Q312" s="4"/>
      <c r="R312" s="5"/>
      <c r="S312" s="4">
        <v>53</v>
      </c>
      <c r="T312" s="6">
        <v>1874.81</v>
      </c>
      <c r="U312" s="4">
        <v>84</v>
      </c>
      <c r="V312" s="6">
        <v>3010.28</v>
      </c>
      <c r="W312" s="5">
        <v>-0.369</v>
      </c>
      <c r="X312" s="5">
        <v>-0.3772</v>
      </c>
      <c r="Y312" s="4">
        <v>16</v>
      </c>
      <c r="Z312" s="6">
        <v>582.24</v>
      </c>
      <c r="AA312" s="4">
        <v>15</v>
      </c>
      <c r="AB312" s="6">
        <v>545.85</v>
      </c>
      <c r="AC312" s="5">
        <v>0.0667</v>
      </c>
      <c r="AD312" s="5">
        <v>0.0667</v>
      </c>
      <c r="AE312" s="4">
        <v>19</v>
      </c>
      <c r="AF312" s="6">
        <v>656.64</v>
      </c>
      <c r="AG312" s="4">
        <v>1</v>
      </c>
      <c r="AH312" s="6">
        <v>38.4</v>
      </c>
      <c r="AI312" s="5">
        <v>18</v>
      </c>
      <c r="AJ312" s="5">
        <v>16.1</v>
      </c>
      <c r="AK312" s="4"/>
      <c r="AL312" s="6"/>
      <c r="AM312" s="4"/>
      <c r="AN312" s="6"/>
      <c r="AO312" s="5"/>
      <c r="AP312" s="5"/>
      <c r="AQ312" s="4"/>
      <c r="AR312" s="6"/>
      <c r="AS312" s="4">
        <v>6</v>
      </c>
      <c r="AT312" s="6">
        <v>188.34</v>
      </c>
      <c r="AU312" s="5"/>
      <c r="AV312" s="5"/>
      <c r="AW312" s="4">
        <v>4</v>
      </c>
      <c r="AX312" s="6">
        <v>127.8</v>
      </c>
      <c r="AY312" s="4">
        <v>8</v>
      </c>
      <c r="AZ312" s="6">
        <v>284</v>
      </c>
      <c r="BA312" s="5">
        <v>-0.5</v>
      </c>
      <c r="BB312" s="5">
        <v>-0.55</v>
      </c>
      <c r="BC312" s="4">
        <v>3</v>
      </c>
      <c r="BD312" s="6">
        <v>106.65</v>
      </c>
      <c r="BE312" s="4">
        <v>1</v>
      </c>
      <c r="BF312" s="6">
        <v>39.43</v>
      </c>
      <c r="BG312" s="5">
        <v>2</v>
      </c>
      <c r="BH312" s="5">
        <v>1.7048</v>
      </c>
      <c r="BI312" s="4"/>
      <c r="BJ312" s="6"/>
      <c r="BK312" s="4"/>
      <c r="BL312" s="6"/>
      <c r="BM312" s="5"/>
      <c r="BN312" s="5"/>
      <c r="BO312" s="4"/>
      <c r="BP312" s="6"/>
      <c r="BQ312" s="4"/>
      <c r="BR312" s="6"/>
      <c r="BS312" s="5"/>
      <c r="BT312" s="5"/>
      <c r="BU312" s="4">
        <v>1</v>
      </c>
      <c r="BV312" s="6">
        <v>31.95</v>
      </c>
      <c r="BW312" s="4">
        <v>3</v>
      </c>
      <c r="BX312" s="6">
        <v>103.71</v>
      </c>
      <c r="BY312" s="5">
        <v>-0.6667</v>
      </c>
      <c r="BZ312" s="5">
        <v>-0.6919</v>
      </c>
      <c r="CA312" s="4"/>
      <c r="CB312" s="6"/>
      <c r="CC312" s="4"/>
      <c r="CD312" s="6"/>
      <c r="CE312" s="5"/>
      <c r="CF312" s="5"/>
      <c r="CG312" s="4"/>
      <c r="CH312" s="6"/>
      <c r="CI312" s="4">
        <v>29</v>
      </c>
      <c r="CJ312" s="6">
        <v>1023.99</v>
      </c>
      <c r="CK312" s="5"/>
      <c r="CL312" s="5"/>
      <c r="CM312" s="4"/>
      <c r="CN312" s="6"/>
      <c r="CO312" s="4"/>
      <c r="CP312" s="6"/>
      <c r="CQ312" s="5"/>
      <c r="CR312" s="5"/>
      <c r="CS312" s="4"/>
      <c r="CT312" s="6"/>
      <c r="CU312" s="4">
        <v>1</v>
      </c>
      <c r="CV312" s="6">
        <v>33.81</v>
      </c>
      <c r="CW312" s="5"/>
      <c r="CX312" s="5"/>
      <c r="CY312" s="4">
        <v>7</v>
      </c>
      <c r="CZ312" s="6">
        <v>272.16</v>
      </c>
      <c r="DA312" s="4">
        <v>9</v>
      </c>
      <c r="DB312" s="6">
        <v>349.92</v>
      </c>
      <c r="DC312" s="5">
        <v>-0.2222</v>
      </c>
      <c r="DD312" s="5">
        <v>-0.2222</v>
      </c>
      <c r="DE312" s="4"/>
      <c r="DF312" s="6"/>
      <c r="DG312" s="4"/>
      <c r="DH312" s="6"/>
      <c r="DI312" s="5"/>
      <c r="DJ312" s="5"/>
      <c r="DK312" s="4"/>
      <c r="DL312" s="6"/>
      <c r="DM312" s="4"/>
      <c r="DN312" s="6"/>
      <c r="DO312" s="5"/>
      <c r="DP312" s="5"/>
      <c r="DQ312" s="4">
        <v>2</v>
      </c>
      <c r="DR312" s="6">
        <v>66.94</v>
      </c>
      <c r="DS312" s="4">
        <v>1</v>
      </c>
      <c r="DT312" s="6">
        <v>37.19</v>
      </c>
      <c r="DU312" s="5">
        <v>1</v>
      </c>
      <c r="DV312" s="5">
        <v>0.7999</v>
      </c>
      <c r="DW312" s="4"/>
      <c r="DX312" s="6"/>
      <c r="DY312" s="4"/>
      <c r="DZ312" s="6"/>
      <c r="EA312" s="5"/>
      <c r="EB312" s="5"/>
      <c r="EC312" s="4"/>
      <c r="ED312" s="6"/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>
        <v>1</v>
      </c>
      <c r="FH312" s="6">
        <v>30.43</v>
      </c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>
        <v>6</v>
      </c>
      <c r="FV312" s="6">
        <v>230.4</v>
      </c>
      <c r="FW312" s="5"/>
      <c r="FX312" s="5"/>
      <c r="FY312" s="4"/>
      <c r="FZ312" s="6"/>
      <c r="GA312" s="4">
        <v>4</v>
      </c>
      <c r="GB312" s="6">
        <v>135.24</v>
      </c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  <c r="IA312" s="4"/>
      <c r="IB312" s="6"/>
      <c r="IC312" s="4"/>
      <c r="ID312" s="6"/>
      <c r="IE312" s="5"/>
      <c r="IF312" s="5"/>
      <c r="IG312" s="4"/>
      <c r="IH312" s="6"/>
      <c r="II312" s="4"/>
      <c r="IJ312" s="6"/>
      <c r="IK312" s="5"/>
      <c r="IL312" s="5"/>
      <c r="IM312" s="4"/>
      <c r="IN312" s="6"/>
      <c r="IO312" s="4"/>
      <c r="IP312" s="6"/>
      <c r="IQ312" s="5"/>
      <c r="IR312" s="5"/>
      <c r="IS312" s="4"/>
      <c r="IT312" s="6"/>
      <c r="IU312" s="4"/>
      <c r="IV312" s="6"/>
      <c r="IW312" s="5"/>
      <c r="IX312" s="5"/>
      <c r="IY312" s="4"/>
      <c r="IZ312" s="6"/>
      <c r="JA312" s="4"/>
      <c r="JB312" s="6"/>
      <c r="JC312" s="5"/>
      <c r="JD312" s="5"/>
      <c r="JE312" s="4"/>
      <c r="JF312" s="6"/>
      <c r="JG312" s="4"/>
      <c r="JH312" s="6"/>
      <c r="JI312" s="5"/>
      <c r="JJ312" s="5"/>
      <c r="JK312" s="4">
        <v>3</v>
      </c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>
        <v>478</v>
      </c>
      <c r="LF312" s="4"/>
      <c r="LG312" s="4"/>
      <c r="LH312" s="4"/>
      <c r="LI312" s="4"/>
      <c r="LJ312" s="4"/>
      <c r="LK312" s="4"/>
      <c r="LL312" s="4"/>
      <c r="LM312" s="4"/>
    </row>
    <row r="313">
      <c r="A313" s="3" t="s">
        <v>136</v>
      </c>
      <c r="B313" s="3" t="s">
        <v>205</v>
      </c>
      <c r="C313" s="3" t="s">
        <v>138</v>
      </c>
      <c r="D313" s="3" t="s">
        <v>139</v>
      </c>
      <c r="E313" s="3" t="s">
        <v>206</v>
      </c>
      <c r="F313" s="3" t="s">
        <v>206</v>
      </c>
      <c r="G313" s="3" t="s">
        <v>206</v>
      </c>
      <c r="H313" s="3" t="s">
        <v>167</v>
      </c>
      <c r="I313" s="3" t="s">
        <v>356</v>
      </c>
      <c r="J313" s="3" t="s">
        <v>228</v>
      </c>
      <c r="K313" s="4">
        <v>208</v>
      </c>
      <c r="L313" s="4">
        <f>=ROUNDDOWN(3.85185185185185,0)</f>
      </c>
      <c r="M313" s="4">
        <v>501</v>
      </c>
      <c r="N313" s="5">
        <v>0.9047</v>
      </c>
      <c r="O313" s="4"/>
      <c r="P313" s="4">
        <f>=ROUNDDOWN({0},0)</f>
      </c>
      <c r="Q313" s="4"/>
      <c r="R313" s="5"/>
      <c r="S313" s="4">
        <v>52</v>
      </c>
      <c r="T313" s="6">
        <v>1277.4</v>
      </c>
      <c r="U313" s="4"/>
      <c r="V313" s="6"/>
      <c r="W313" s="5"/>
      <c r="X313" s="5"/>
      <c r="Y313" s="4">
        <v>1</v>
      </c>
      <c r="Z313" s="6">
        <v>27.5</v>
      </c>
      <c r="AA313" s="4"/>
      <c r="AB313" s="6"/>
      <c r="AC313" s="5"/>
      <c r="AD313" s="5"/>
      <c r="AE313" s="4">
        <v>11</v>
      </c>
      <c r="AF313" s="6">
        <v>278.85</v>
      </c>
      <c r="AG313" s="4"/>
      <c r="AH313" s="6"/>
      <c r="AI313" s="5"/>
      <c r="AJ313" s="5"/>
      <c r="AK313" s="4"/>
      <c r="AL313" s="6"/>
      <c r="AM313" s="4"/>
      <c r="AN313" s="6"/>
      <c r="AO313" s="5"/>
      <c r="AP313" s="5"/>
      <c r="AQ313" s="4">
        <v>2</v>
      </c>
      <c r="AR313" s="6">
        <v>55.88</v>
      </c>
      <c r="AS313" s="4"/>
      <c r="AT313" s="6"/>
      <c r="AU313" s="5"/>
      <c r="AV313" s="5"/>
      <c r="AW313" s="4">
        <v>1</v>
      </c>
      <c r="AX313" s="6">
        <v>21.83</v>
      </c>
      <c r="AY313" s="4"/>
      <c r="AZ313" s="6"/>
      <c r="BA313" s="5"/>
      <c r="BB313" s="5"/>
      <c r="BC313" s="4">
        <v>25</v>
      </c>
      <c r="BD313" s="6">
        <v>574.69</v>
      </c>
      <c r="BE313" s="4"/>
      <c r="BF313" s="6"/>
      <c r="BG313" s="5"/>
      <c r="BH313" s="5"/>
      <c r="BI313" s="4">
        <v>4</v>
      </c>
      <c r="BJ313" s="6">
        <v>86.55</v>
      </c>
      <c r="BK313" s="4"/>
      <c r="BL313" s="6"/>
      <c r="BM313" s="5"/>
      <c r="BN313" s="5"/>
      <c r="BO313" s="4">
        <v>4</v>
      </c>
      <c r="BP313" s="6">
        <v>73.5</v>
      </c>
      <c r="BQ313" s="4"/>
      <c r="BR313" s="6"/>
      <c r="BS313" s="5"/>
      <c r="BT313" s="5"/>
      <c r="BU313" s="4"/>
      <c r="BV313" s="6"/>
      <c r="BW313" s="4"/>
      <c r="BX313" s="6"/>
      <c r="BY313" s="5"/>
      <c r="BZ313" s="5"/>
      <c r="CA313" s="4">
        <v>1</v>
      </c>
      <c r="CB313" s="6">
        <v>22.87</v>
      </c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/>
      <c r="CN313" s="6"/>
      <c r="CO313" s="4"/>
      <c r="CP313" s="6"/>
      <c r="CQ313" s="5"/>
      <c r="CR313" s="5"/>
      <c r="CS313" s="4"/>
      <c r="CT313" s="6"/>
      <c r="CU313" s="4"/>
      <c r="CV313" s="6"/>
      <c r="CW313" s="5"/>
      <c r="CX313" s="5"/>
      <c r="CY313" s="4"/>
      <c r="CZ313" s="6"/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>
        <v>2</v>
      </c>
      <c r="DL313" s="6">
        <v>110.38</v>
      </c>
      <c r="DM313" s="4"/>
      <c r="DN313" s="6"/>
      <c r="DO313" s="5"/>
      <c r="DP313" s="5"/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/>
      <c r="ED313" s="6"/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>
        <v>1</v>
      </c>
      <c r="EV313" s="6">
        <v>25.35</v>
      </c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/>
      <c r="FN313" s="6"/>
      <c r="FO313" s="4"/>
      <c r="FP313" s="6"/>
      <c r="FQ313" s="5"/>
      <c r="FR313" s="5"/>
      <c r="FS313" s="4"/>
      <c r="FT313" s="6"/>
      <c r="FU313" s="4"/>
      <c r="FV313" s="6"/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  <c r="IA313" s="4"/>
      <c r="IB313" s="6"/>
      <c r="IC313" s="4"/>
      <c r="ID313" s="6"/>
      <c r="IE313" s="5"/>
      <c r="IF313" s="5"/>
      <c r="IG313" s="4"/>
      <c r="IH313" s="6"/>
      <c r="II313" s="4"/>
      <c r="IJ313" s="6"/>
      <c r="IK313" s="5"/>
      <c r="IL313" s="5"/>
      <c r="IM313" s="4"/>
      <c r="IN313" s="6"/>
      <c r="IO313" s="4"/>
      <c r="IP313" s="6"/>
      <c r="IQ313" s="5"/>
      <c r="IR313" s="5"/>
      <c r="IS313" s="4"/>
      <c r="IT313" s="6"/>
      <c r="IU313" s="4"/>
      <c r="IV313" s="6"/>
      <c r="IW313" s="5"/>
      <c r="IX313" s="5"/>
      <c r="IY313" s="4"/>
      <c r="IZ313" s="6"/>
      <c r="JA313" s="4"/>
      <c r="JB313" s="6"/>
      <c r="JC313" s="5"/>
      <c r="JD313" s="5"/>
      <c r="JE313" s="4"/>
      <c r="JF313" s="6"/>
      <c r="JG313" s="4"/>
      <c r="JH313" s="6"/>
      <c r="JI313" s="5"/>
      <c r="JJ313" s="5"/>
      <c r="JK313" s="4">
        <v>208</v>
      </c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>
        <v>501</v>
      </c>
      <c r="LF313" s="4"/>
      <c r="LG313" s="4"/>
      <c r="LH313" s="4"/>
      <c r="LI313" s="4"/>
      <c r="LJ313" s="4"/>
      <c r="LK313" s="4"/>
      <c r="LL313" s="4"/>
      <c r="LM313" s="4"/>
    </row>
    <row r="314">
      <c r="A314" s="3" t="s">
        <v>136</v>
      </c>
      <c r="B314" s="3" t="s">
        <v>205</v>
      </c>
      <c r="C314" s="3" t="s">
        <v>138</v>
      </c>
      <c r="D314" s="3" t="s">
        <v>139</v>
      </c>
      <c r="E314" s="3" t="s">
        <v>206</v>
      </c>
      <c r="F314" s="3" t="s">
        <v>206</v>
      </c>
      <c r="G314" s="3" t="s">
        <v>206</v>
      </c>
      <c r="H314" s="3" t="s">
        <v>167</v>
      </c>
      <c r="I314" s="3" t="s">
        <v>357</v>
      </c>
      <c r="J314" s="3" t="s">
        <v>228</v>
      </c>
      <c r="K314" s="4">
        <v>14</v>
      </c>
      <c r="L314" s="4">
        <f>=ROUNDDOWN(0.264150943396226,0)</f>
      </c>
      <c r="M314" s="4">
        <v>558</v>
      </c>
      <c r="N314" s="5">
        <v>1</v>
      </c>
      <c r="O314" s="4"/>
      <c r="P314" s="4">
        <f>=ROUNDDOWN({0},0)</f>
      </c>
      <c r="Q314" s="4"/>
      <c r="R314" s="5"/>
      <c r="S314" s="4">
        <v>24</v>
      </c>
      <c r="T314" s="6">
        <v>786.56</v>
      </c>
      <c r="U314" s="4">
        <v>100</v>
      </c>
      <c r="V314" s="6">
        <v>3063.78</v>
      </c>
      <c r="W314" s="5">
        <v>-0.76</v>
      </c>
      <c r="X314" s="5">
        <v>-0.7433</v>
      </c>
      <c r="Y314" s="4"/>
      <c r="Z314" s="6"/>
      <c r="AA314" s="4">
        <v>13</v>
      </c>
      <c r="AB314" s="6">
        <v>368.54</v>
      </c>
      <c r="AC314" s="5"/>
      <c r="AD314" s="5"/>
      <c r="AE314" s="4">
        <v>9</v>
      </c>
      <c r="AF314" s="6">
        <v>311.04</v>
      </c>
      <c r="AG314" s="4">
        <v>3</v>
      </c>
      <c r="AH314" s="6">
        <v>108.8</v>
      </c>
      <c r="AI314" s="5">
        <v>2</v>
      </c>
      <c r="AJ314" s="5">
        <v>1.8588</v>
      </c>
      <c r="AK314" s="4"/>
      <c r="AL314" s="6"/>
      <c r="AM314" s="4"/>
      <c r="AN314" s="6"/>
      <c r="AO314" s="5"/>
      <c r="AP314" s="5"/>
      <c r="AQ314" s="4">
        <v>1</v>
      </c>
      <c r="AR314" s="6">
        <v>33.54</v>
      </c>
      <c r="AS314" s="4">
        <v>20</v>
      </c>
      <c r="AT314" s="6">
        <v>568.56</v>
      </c>
      <c r="AU314" s="5">
        <v>-0.95</v>
      </c>
      <c r="AV314" s="5">
        <v>-0.941</v>
      </c>
      <c r="AW314" s="4">
        <v>4</v>
      </c>
      <c r="AX314" s="6">
        <v>127.8</v>
      </c>
      <c r="AY314" s="4">
        <v>9</v>
      </c>
      <c r="AZ314" s="6">
        <v>271.01</v>
      </c>
      <c r="BA314" s="5">
        <v>-0.5556</v>
      </c>
      <c r="BB314" s="5">
        <v>-0.5284</v>
      </c>
      <c r="BC314" s="4"/>
      <c r="BD314" s="6"/>
      <c r="BE314" s="4">
        <v>9</v>
      </c>
      <c r="BF314" s="6">
        <v>312.66</v>
      </c>
      <c r="BG314" s="5"/>
      <c r="BH314" s="5"/>
      <c r="BI314" s="4">
        <v>7</v>
      </c>
      <c r="BJ314" s="6">
        <v>211.4</v>
      </c>
      <c r="BK314" s="4">
        <v>6</v>
      </c>
      <c r="BL314" s="6">
        <v>161.04</v>
      </c>
      <c r="BM314" s="5">
        <v>0.1667</v>
      </c>
      <c r="BN314" s="5">
        <v>0.3127</v>
      </c>
      <c r="BO314" s="4"/>
      <c r="BP314" s="6"/>
      <c r="BQ314" s="4"/>
      <c r="BR314" s="6"/>
      <c r="BS314" s="5"/>
      <c r="BT314" s="5"/>
      <c r="BU314" s="4">
        <v>2</v>
      </c>
      <c r="BV314" s="6">
        <v>63.9</v>
      </c>
      <c r="BW314" s="4">
        <v>11</v>
      </c>
      <c r="BX314" s="6">
        <v>330.67</v>
      </c>
      <c r="BY314" s="5">
        <v>-0.8182</v>
      </c>
      <c r="BZ314" s="5">
        <v>-0.8068</v>
      </c>
      <c r="CA314" s="4"/>
      <c r="CB314" s="6"/>
      <c r="CC314" s="4">
        <v>6</v>
      </c>
      <c r="CD314" s="6">
        <v>196.37</v>
      </c>
      <c r="CE314" s="5"/>
      <c r="CF314" s="5"/>
      <c r="CG314" s="4"/>
      <c r="CH314" s="6"/>
      <c r="CI314" s="4">
        <v>9</v>
      </c>
      <c r="CJ314" s="6">
        <v>306.03</v>
      </c>
      <c r="CK314" s="5"/>
      <c r="CL314" s="5"/>
      <c r="CM314" s="4"/>
      <c r="CN314" s="6"/>
      <c r="CO314" s="4"/>
      <c r="CP314" s="6"/>
      <c r="CQ314" s="5"/>
      <c r="CR314" s="5"/>
      <c r="CS314" s="4"/>
      <c r="CT314" s="6"/>
      <c r="CU314" s="4">
        <v>5</v>
      </c>
      <c r="CV314" s="6">
        <v>144.27</v>
      </c>
      <c r="CW314" s="5"/>
      <c r="CX314" s="5"/>
      <c r="CY314" s="4">
        <v>1</v>
      </c>
      <c r="CZ314" s="6">
        <v>38.88</v>
      </c>
      <c r="DA314" s="4">
        <v>5</v>
      </c>
      <c r="DB314" s="6">
        <v>159.62</v>
      </c>
      <c r="DC314" s="5">
        <v>-0.8</v>
      </c>
      <c r="DD314" s="5">
        <v>-0.7564</v>
      </c>
      <c r="DE314" s="4"/>
      <c r="DF314" s="6"/>
      <c r="DG314" s="4"/>
      <c r="DH314" s="6"/>
      <c r="DI314" s="5"/>
      <c r="DJ314" s="5"/>
      <c r="DK314" s="4"/>
      <c r="DL314" s="6"/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>
        <v>3</v>
      </c>
      <c r="FV314" s="6">
        <v>102.4</v>
      </c>
      <c r="FW314" s="5"/>
      <c r="FX314" s="5"/>
      <c r="FY314" s="4"/>
      <c r="FZ314" s="6"/>
      <c r="GA314" s="4">
        <v>1</v>
      </c>
      <c r="GB314" s="6">
        <v>33.81</v>
      </c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  <c r="IA314" s="4"/>
      <c r="IB314" s="6"/>
      <c r="IC314" s="4"/>
      <c r="ID314" s="6"/>
      <c r="IE314" s="5"/>
      <c r="IF314" s="5"/>
      <c r="IG314" s="4"/>
      <c r="IH314" s="6"/>
      <c r="II314" s="4"/>
      <c r="IJ314" s="6"/>
      <c r="IK314" s="5"/>
      <c r="IL314" s="5"/>
      <c r="IM314" s="4"/>
      <c r="IN314" s="6"/>
      <c r="IO314" s="4"/>
      <c r="IP314" s="6"/>
      <c r="IQ314" s="5"/>
      <c r="IR314" s="5"/>
      <c r="IS314" s="4"/>
      <c r="IT314" s="6"/>
      <c r="IU314" s="4"/>
      <c r="IV314" s="6"/>
      <c r="IW314" s="5"/>
      <c r="IX314" s="5"/>
      <c r="IY314" s="4"/>
      <c r="IZ314" s="6"/>
      <c r="JA314" s="4"/>
      <c r="JB314" s="6"/>
      <c r="JC314" s="5"/>
      <c r="JD314" s="5"/>
      <c r="JE314" s="4"/>
      <c r="JF314" s="6"/>
      <c r="JG314" s="4"/>
      <c r="JH314" s="6"/>
      <c r="JI314" s="5"/>
      <c r="JJ314" s="5"/>
      <c r="JK314" s="4">
        <v>14</v>
      </c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>
        <v>558</v>
      </c>
      <c r="LF314" s="4"/>
      <c r="LG314" s="4"/>
      <c r="LH314" s="4"/>
      <c r="LI314" s="4"/>
      <c r="LJ314" s="4"/>
      <c r="LK314" s="4"/>
      <c r="LL314" s="4"/>
      <c r="LM314" s="4"/>
    </row>
    <row r="315">
      <c r="A315" s="3" t="s">
        <v>136</v>
      </c>
      <c r="B315" s="3" t="s">
        <v>205</v>
      </c>
      <c r="C315" s="3" t="s">
        <v>138</v>
      </c>
      <c r="D315" s="3" t="s">
        <v>139</v>
      </c>
      <c r="E315" s="3" t="s">
        <v>206</v>
      </c>
      <c r="F315" s="3" t="s">
        <v>206</v>
      </c>
      <c r="G315" s="3" t="s">
        <v>206</v>
      </c>
      <c r="H315" s="3" t="s">
        <v>167</v>
      </c>
      <c r="I315" s="3" t="s">
        <v>358</v>
      </c>
      <c r="J315" s="3" t="s">
        <v>241</v>
      </c>
      <c r="K315" s="4">
        <v>1</v>
      </c>
      <c r="L315" s="4">
        <f>=ROUNDDOWN(0.032258064516129,0)</f>
      </c>
      <c r="M315" s="4"/>
      <c r="N315" s="5"/>
      <c r="O315" s="4"/>
      <c r="P315" s="4">
        <f>=ROUNDDOWN({0},0)</f>
      </c>
      <c r="Q315" s="4"/>
      <c r="R315" s="5"/>
      <c r="S315" s="4">
        <v>23</v>
      </c>
      <c r="T315" s="6">
        <v>536.32</v>
      </c>
      <c r="U315" s="4">
        <v>208</v>
      </c>
      <c r="V315" s="6">
        <v>6115.93</v>
      </c>
      <c r="W315" s="5">
        <v>-0.8894</v>
      </c>
      <c r="X315" s="5">
        <v>-0.9123</v>
      </c>
      <c r="Y315" s="4">
        <v>9</v>
      </c>
      <c r="Z315" s="6">
        <v>225</v>
      </c>
      <c r="AA315" s="4">
        <v>92</v>
      </c>
      <c r="AB315" s="6">
        <v>2728.5</v>
      </c>
      <c r="AC315" s="5">
        <v>-0.9022</v>
      </c>
      <c r="AD315" s="5">
        <v>-0.9175</v>
      </c>
      <c r="AE315" s="4">
        <v>1</v>
      </c>
      <c r="AF315" s="6">
        <v>23.04</v>
      </c>
      <c r="AG315" s="4">
        <v>7</v>
      </c>
      <c r="AH315" s="6">
        <v>226.57</v>
      </c>
      <c r="AI315" s="5">
        <v>-0.8571</v>
      </c>
      <c r="AJ315" s="5">
        <v>-0.8983</v>
      </c>
      <c r="AK315" s="4"/>
      <c r="AL315" s="6"/>
      <c r="AM315" s="4"/>
      <c r="AN315" s="6"/>
      <c r="AO315" s="5"/>
      <c r="AP315" s="5"/>
      <c r="AQ315" s="4">
        <v>4</v>
      </c>
      <c r="AR315" s="6">
        <v>93.92</v>
      </c>
      <c r="AS315" s="4">
        <v>27</v>
      </c>
      <c r="AT315" s="6">
        <v>771.81</v>
      </c>
      <c r="AU315" s="5">
        <v>-0.8519</v>
      </c>
      <c r="AV315" s="5">
        <v>-0.8783</v>
      </c>
      <c r="AW315" s="4"/>
      <c r="AX315" s="6"/>
      <c r="AY315" s="4">
        <v>20</v>
      </c>
      <c r="AZ315" s="6">
        <v>594.94</v>
      </c>
      <c r="BA315" s="5"/>
      <c r="BB315" s="5"/>
      <c r="BC315" s="4"/>
      <c r="BD315" s="6"/>
      <c r="BE315" s="4">
        <v>2</v>
      </c>
      <c r="BF315" s="6">
        <v>59.28</v>
      </c>
      <c r="BG315" s="5"/>
      <c r="BH315" s="5"/>
      <c r="BI315" s="4">
        <v>5</v>
      </c>
      <c r="BJ315" s="6">
        <v>100.65</v>
      </c>
      <c r="BK315" s="4">
        <v>7</v>
      </c>
      <c r="BL315" s="6">
        <v>171.1</v>
      </c>
      <c r="BM315" s="5">
        <v>-0.2857</v>
      </c>
      <c r="BN315" s="5">
        <v>-0.4117</v>
      </c>
      <c r="BO315" s="4"/>
      <c r="BP315" s="6"/>
      <c r="BQ315" s="4"/>
      <c r="BR315" s="6"/>
      <c r="BS315" s="5"/>
      <c r="BT315" s="5"/>
      <c r="BU315" s="4">
        <v>2</v>
      </c>
      <c r="BV315" s="6">
        <v>43.66</v>
      </c>
      <c r="BW315" s="4">
        <v>9</v>
      </c>
      <c r="BX315" s="6">
        <v>276.51</v>
      </c>
      <c r="BY315" s="5">
        <v>-0.7778</v>
      </c>
      <c r="BZ315" s="5">
        <v>-0.8421</v>
      </c>
      <c r="CA315" s="4"/>
      <c r="CB315" s="6"/>
      <c r="CC315" s="4">
        <v>4</v>
      </c>
      <c r="CD315" s="6">
        <v>122.71</v>
      </c>
      <c r="CE315" s="5"/>
      <c r="CF315" s="5"/>
      <c r="CG315" s="4">
        <v>1</v>
      </c>
      <c r="CH315" s="6">
        <v>23.48</v>
      </c>
      <c r="CI315" s="4">
        <v>2</v>
      </c>
      <c r="CJ315" s="6">
        <v>49.44</v>
      </c>
      <c r="CK315" s="5">
        <v>-0.5</v>
      </c>
      <c r="CL315" s="5">
        <v>-0.5251</v>
      </c>
      <c r="CM315" s="4"/>
      <c r="CN315" s="6"/>
      <c r="CO315" s="4"/>
      <c r="CP315" s="6"/>
      <c r="CQ315" s="5"/>
      <c r="CR315" s="5"/>
      <c r="CS315" s="4"/>
      <c r="CT315" s="6"/>
      <c r="CU315" s="4">
        <v>16</v>
      </c>
      <c r="CV315" s="6">
        <v>441.84</v>
      </c>
      <c r="CW315" s="5"/>
      <c r="CX315" s="5"/>
      <c r="CY315" s="4">
        <v>1</v>
      </c>
      <c r="CZ315" s="6">
        <v>26.57</v>
      </c>
      <c r="DA315" s="4">
        <v>14</v>
      </c>
      <c r="DB315" s="6">
        <v>451.58</v>
      </c>
      <c r="DC315" s="5">
        <v>-0.9286</v>
      </c>
      <c r="DD315" s="5">
        <v>-0.9412</v>
      </c>
      <c r="DE315" s="4"/>
      <c r="DF315" s="6"/>
      <c r="DG315" s="4"/>
      <c r="DH315" s="6"/>
      <c r="DI315" s="5"/>
      <c r="DJ315" s="5"/>
      <c r="DK315" s="4"/>
      <c r="DL315" s="6"/>
      <c r="DM315" s="4"/>
      <c r="DN315" s="6"/>
      <c r="DO315" s="5"/>
      <c r="DP315" s="5"/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>
        <v>5</v>
      </c>
      <c r="FV315" s="6">
        <v>139.54</v>
      </c>
      <c r="FW315" s="5"/>
      <c r="FX315" s="5"/>
      <c r="FY315" s="4"/>
      <c r="FZ315" s="6"/>
      <c r="GA315" s="4">
        <v>3</v>
      </c>
      <c r="GB315" s="6">
        <v>82.11</v>
      </c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  <c r="IA315" s="4"/>
      <c r="IB315" s="6"/>
      <c r="IC315" s="4"/>
      <c r="ID315" s="6"/>
      <c r="IE315" s="5"/>
      <c r="IF315" s="5"/>
      <c r="IG315" s="4"/>
      <c r="IH315" s="6"/>
      <c r="II315" s="4"/>
      <c r="IJ315" s="6"/>
      <c r="IK315" s="5"/>
      <c r="IL315" s="5"/>
      <c r="IM315" s="4"/>
      <c r="IN315" s="6"/>
      <c r="IO315" s="4"/>
      <c r="IP315" s="6"/>
      <c r="IQ315" s="5"/>
      <c r="IR315" s="5"/>
      <c r="IS315" s="4"/>
      <c r="IT315" s="6"/>
      <c r="IU315" s="4"/>
      <c r="IV315" s="6"/>
      <c r="IW315" s="5"/>
      <c r="IX315" s="5"/>
      <c r="IY315" s="4"/>
      <c r="IZ315" s="6"/>
      <c r="JA315" s="4"/>
      <c r="JB315" s="6"/>
      <c r="JC315" s="5"/>
      <c r="JD315" s="5"/>
      <c r="JE315" s="4"/>
      <c r="JF315" s="6"/>
      <c r="JG315" s="4"/>
      <c r="JH315" s="6"/>
      <c r="JI315" s="5"/>
      <c r="JJ315" s="5"/>
      <c r="JK315" s="4">
        <v>1</v>
      </c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</row>
    <row r="316">
      <c r="A316" s="3" t="s">
        <v>136</v>
      </c>
      <c r="B316" s="3" t="s">
        <v>205</v>
      </c>
      <c r="C316" s="3" t="s">
        <v>138</v>
      </c>
      <c r="D316" s="3" t="s">
        <v>139</v>
      </c>
      <c r="E316" s="3" t="s">
        <v>206</v>
      </c>
      <c r="F316" s="3" t="s">
        <v>206</v>
      </c>
      <c r="G316" s="3" t="s">
        <v>206</v>
      </c>
      <c r="H316" s="3" t="s">
        <v>167</v>
      </c>
      <c r="I316" s="3" t="s">
        <v>359</v>
      </c>
      <c r="J316" s="3" t="s">
        <v>228</v>
      </c>
      <c r="K316" s="4">
        <v>4</v>
      </c>
      <c r="L316" s="4">
        <f>=ROUNDDOWN(0.0869565217391304,0)</f>
      </c>
      <c r="M316" s="4">
        <v>483</v>
      </c>
      <c r="N316" s="5">
        <v>0.022</v>
      </c>
      <c r="O316" s="4"/>
      <c r="P316" s="4">
        <f>=ROUNDDOWN({0},0)</f>
      </c>
      <c r="Q316" s="4"/>
      <c r="R316" s="5"/>
      <c r="S316" s="4">
        <v>12</v>
      </c>
      <c r="T316" s="6">
        <v>451.95</v>
      </c>
      <c r="U316" s="4">
        <v>182</v>
      </c>
      <c r="V316" s="6">
        <v>6209.79</v>
      </c>
      <c r="W316" s="5">
        <v>-0.9341</v>
      </c>
      <c r="X316" s="5">
        <v>-0.9272</v>
      </c>
      <c r="Y316" s="4">
        <v>2</v>
      </c>
      <c r="Z316" s="6">
        <v>61.18</v>
      </c>
      <c r="AA316" s="4">
        <v>68</v>
      </c>
      <c r="AB316" s="6">
        <v>2329.52</v>
      </c>
      <c r="AC316" s="5">
        <v>-0.9706</v>
      </c>
      <c r="AD316" s="5">
        <v>-0.9737</v>
      </c>
      <c r="AE316" s="4">
        <v>1</v>
      </c>
      <c r="AF316" s="6">
        <v>28.8</v>
      </c>
      <c r="AG316" s="4">
        <v>6</v>
      </c>
      <c r="AH316" s="6">
        <v>224</v>
      </c>
      <c r="AI316" s="5">
        <v>-0.8333</v>
      </c>
      <c r="AJ316" s="5">
        <v>-0.8714</v>
      </c>
      <c r="AK316" s="4"/>
      <c r="AL316" s="6"/>
      <c r="AM316" s="4"/>
      <c r="AN316" s="6"/>
      <c r="AO316" s="5"/>
      <c r="AP316" s="5"/>
      <c r="AQ316" s="4"/>
      <c r="AR316" s="6"/>
      <c r="AS316" s="4"/>
      <c r="AT316" s="6"/>
      <c r="AU316" s="5"/>
      <c r="AV316" s="5"/>
      <c r="AW316" s="4">
        <v>1</v>
      </c>
      <c r="AX316" s="6">
        <v>31.95</v>
      </c>
      <c r="AY316" s="4">
        <v>24</v>
      </c>
      <c r="AZ316" s="6">
        <v>800.43</v>
      </c>
      <c r="BA316" s="5">
        <v>-0.9583</v>
      </c>
      <c r="BB316" s="5">
        <v>-0.9601</v>
      </c>
      <c r="BC316" s="4"/>
      <c r="BD316" s="6"/>
      <c r="BE316" s="4">
        <v>19</v>
      </c>
      <c r="BF316" s="6">
        <v>651.52</v>
      </c>
      <c r="BG316" s="5"/>
      <c r="BH316" s="5"/>
      <c r="BI316" s="4">
        <v>1</v>
      </c>
      <c r="BJ316" s="6">
        <v>25.16</v>
      </c>
      <c r="BK316" s="4">
        <v>6</v>
      </c>
      <c r="BL316" s="6">
        <v>201.3</v>
      </c>
      <c r="BM316" s="5">
        <v>-0.8333</v>
      </c>
      <c r="BN316" s="5">
        <v>-0.875</v>
      </c>
      <c r="BO316" s="4"/>
      <c r="BP316" s="6"/>
      <c r="BQ316" s="4"/>
      <c r="BR316" s="6"/>
      <c r="BS316" s="5"/>
      <c r="BT316" s="5"/>
      <c r="BU316" s="4"/>
      <c r="BV316" s="6"/>
      <c r="BW316" s="4">
        <v>9</v>
      </c>
      <c r="BX316" s="6">
        <v>276.51</v>
      </c>
      <c r="BY316" s="5"/>
      <c r="BZ316" s="5"/>
      <c r="CA316" s="4">
        <v>1</v>
      </c>
      <c r="CB316" s="6">
        <v>30.43</v>
      </c>
      <c r="CC316" s="4">
        <v>6</v>
      </c>
      <c r="CD316" s="6">
        <v>191.88</v>
      </c>
      <c r="CE316" s="5">
        <v>-0.8333</v>
      </c>
      <c r="CF316" s="5">
        <v>-0.8414</v>
      </c>
      <c r="CG316" s="4">
        <v>3</v>
      </c>
      <c r="CH316" s="6">
        <v>95.06</v>
      </c>
      <c r="CI316" s="4">
        <v>26</v>
      </c>
      <c r="CJ316" s="6">
        <v>918.74</v>
      </c>
      <c r="CK316" s="5">
        <v>-0.8846</v>
      </c>
      <c r="CL316" s="5">
        <v>-0.8965</v>
      </c>
      <c r="CM316" s="4"/>
      <c r="CN316" s="6"/>
      <c r="CO316" s="4"/>
      <c r="CP316" s="6"/>
      <c r="CQ316" s="5"/>
      <c r="CR316" s="5"/>
      <c r="CS316" s="4"/>
      <c r="CT316" s="6"/>
      <c r="CU316" s="4">
        <v>3</v>
      </c>
      <c r="CV316" s="6">
        <v>95.97</v>
      </c>
      <c r="CW316" s="5"/>
      <c r="CX316" s="5"/>
      <c r="CY316" s="4"/>
      <c r="CZ316" s="6"/>
      <c r="DA316" s="4">
        <v>6</v>
      </c>
      <c r="DB316" s="6">
        <v>208.16</v>
      </c>
      <c r="DC316" s="5"/>
      <c r="DD316" s="5"/>
      <c r="DE316" s="4"/>
      <c r="DF316" s="6"/>
      <c r="DG316" s="4"/>
      <c r="DH316" s="6"/>
      <c r="DI316" s="5"/>
      <c r="DJ316" s="5"/>
      <c r="DK316" s="4">
        <v>3</v>
      </c>
      <c r="DL316" s="6">
        <v>179.37</v>
      </c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>
        <v>7</v>
      </c>
      <c r="FV316" s="6">
        <v>249.6</v>
      </c>
      <c r="FW316" s="5"/>
      <c r="FX316" s="5"/>
      <c r="FY316" s="4"/>
      <c r="FZ316" s="6"/>
      <c r="GA316" s="4">
        <v>2</v>
      </c>
      <c r="GB316" s="6">
        <v>62.16</v>
      </c>
      <c r="GC316" s="5"/>
      <c r="GD316" s="5"/>
      <c r="GE316" s="4"/>
      <c r="GF316" s="6"/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  <c r="IA316" s="4"/>
      <c r="IB316" s="6"/>
      <c r="IC316" s="4"/>
      <c r="ID316" s="6"/>
      <c r="IE316" s="5"/>
      <c r="IF316" s="5"/>
      <c r="IG316" s="4"/>
      <c r="IH316" s="6"/>
      <c r="II316" s="4"/>
      <c r="IJ316" s="6"/>
      <c r="IK316" s="5"/>
      <c r="IL316" s="5"/>
      <c r="IM316" s="4"/>
      <c r="IN316" s="6"/>
      <c r="IO316" s="4"/>
      <c r="IP316" s="6"/>
      <c r="IQ316" s="5"/>
      <c r="IR316" s="5"/>
      <c r="IS316" s="4"/>
      <c r="IT316" s="6"/>
      <c r="IU316" s="4"/>
      <c r="IV316" s="6"/>
      <c r="IW316" s="5"/>
      <c r="IX316" s="5"/>
      <c r="IY316" s="4"/>
      <c r="IZ316" s="6"/>
      <c r="JA316" s="4"/>
      <c r="JB316" s="6"/>
      <c r="JC316" s="5"/>
      <c r="JD316" s="5"/>
      <c r="JE316" s="4"/>
      <c r="JF316" s="6"/>
      <c r="JG316" s="4"/>
      <c r="JH316" s="6"/>
      <c r="JI316" s="5"/>
      <c r="JJ316" s="5"/>
      <c r="JK316" s="4">
        <v>4</v>
      </c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>
        <v>483</v>
      </c>
      <c r="LF316" s="4"/>
      <c r="LG316" s="4"/>
      <c r="LH316" s="4"/>
      <c r="LI316" s="4"/>
      <c r="LJ316" s="4"/>
      <c r="LK316" s="4"/>
      <c r="LL316" s="4"/>
      <c r="LM316" s="4"/>
    </row>
    <row r="317">
      <c r="A317" s="3" t="s">
        <v>136</v>
      </c>
      <c r="B317" s="3" t="s">
        <v>205</v>
      </c>
      <c r="C317" s="3" t="s">
        <v>138</v>
      </c>
      <c r="D317" s="3" t="s">
        <v>139</v>
      </c>
      <c r="E317" s="3" t="s">
        <v>206</v>
      </c>
      <c r="F317" s="3" t="s">
        <v>206</v>
      </c>
      <c r="G317" s="3" t="s">
        <v>206</v>
      </c>
      <c r="H317" s="3" t="s">
        <v>167</v>
      </c>
      <c r="I317" s="3" t="s">
        <v>316</v>
      </c>
      <c r="J317" s="3" t="s">
        <v>259</v>
      </c>
      <c r="K317" s="4">
        <v>3</v>
      </c>
      <c r="L317" s="4">
        <f>=ROUNDDOWN(0.0319148936170213,0)</f>
      </c>
      <c r="M317" s="4">
        <v>929</v>
      </c>
      <c r="N317" s="5">
        <v>0.0297</v>
      </c>
      <c r="O317" s="4"/>
      <c r="P317" s="4">
        <f>=ROUNDDOWN({0},0)</f>
      </c>
      <c r="Q317" s="4"/>
      <c r="R317" s="5"/>
      <c r="S317" s="4">
        <v>10</v>
      </c>
      <c r="T317" s="6">
        <v>315.04</v>
      </c>
      <c r="U317" s="4">
        <v>97</v>
      </c>
      <c r="V317" s="6">
        <v>3518.61</v>
      </c>
      <c r="W317" s="5">
        <v>-0.8969</v>
      </c>
      <c r="X317" s="5">
        <v>-0.9105</v>
      </c>
      <c r="Y317" s="4"/>
      <c r="Z317" s="6"/>
      <c r="AA317" s="4">
        <v>29</v>
      </c>
      <c r="AB317" s="6">
        <v>1055.31</v>
      </c>
      <c r="AC317" s="5"/>
      <c r="AD317" s="5"/>
      <c r="AE317" s="4">
        <v>1</v>
      </c>
      <c r="AF317" s="6">
        <v>28.8</v>
      </c>
      <c r="AG317" s="4">
        <v>3</v>
      </c>
      <c r="AH317" s="6">
        <v>115.2</v>
      </c>
      <c r="AI317" s="5">
        <v>-0.6667</v>
      </c>
      <c r="AJ317" s="5">
        <v>-0.75</v>
      </c>
      <c r="AK317" s="4"/>
      <c r="AL317" s="6"/>
      <c r="AM317" s="4"/>
      <c r="AN317" s="6"/>
      <c r="AO317" s="5"/>
      <c r="AP317" s="5"/>
      <c r="AQ317" s="4"/>
      <c r="AR317" s="6"/>
      <c r="AS317" s="4">
        <v>11</v>
      </c>
      <c r="AT317" s="6">
        <v>388.41</v>
      </c>
      <c r="AU317" s="5"/>
      <c r="AV317" s="5"/>
      <c r="AW317" s="4">
        <v>2</v>
      </c>
      <c r="AX317" s="6">
        <v>53.58</v>
      </c>
      <c r="AY317" s="4">
        <v>22</v>
      </c>
      <c r="AZ317" s="6">
        <v>781</v>
      </c>
      <c r="BA317" s="5">
        <v>-0.9091</v>
      </c>
      <c r="BB317" s="5">
        <v>-0.9314</v>
      </c>
      <c r="BC317" s="4"/>
      <c r="BD317" s="6"/>
      <c r="BE317" s="4">
        <v>6</v>
      </c>
      <c r="BF317" s="6">
        <v>236.58</v>
      </c>
      <c r="BG317" s="5"/>
      <c r="BH317" s="5"/>
      <c r="BI317" s="4">
        <v>1</v>
      </c>
      <c r="BJ317" s="6">
        <v>25.16</v>
      </c>
      <c r="BK317" s="4">
        <v>2</v>
      </c>
      <c r="BL317" s="6">
        <v>67.1</v>
      </c>
      <c r="BM317" s="5">
        <v>-0.5</v>
      </c>
      <c r="BN317" s="5">
        <v>-0.625</v>
      </c>
      <c r="BO317" s="4"/>
      <c r="BP317" s="6"/>
      <c r="BQ317" s="4"/>
      <c r="BR317" s="6"/>
      <c r="BS317" s="5"/>
      <c r="BT317" s="5"/>
      <c r="BU317" s="4"/>
      <c r="BV317" s="6"/>
      <c r="BW317" s="4">
        <v>7</v>
      </c>
      <c r="BX317" s="6">
        <v>241.99</v>
      </c>
      <c r="BY317" s="5"/>
      <c r="BZ317" s="5"/>
      <c r="CA317" s="4"/>
      <c r="CB317" s="6"/>
      <c r="CC317" s="4">
        <v>1</v>
      </c>
      <c r="CD317" s="6">
        <v>33.8</v>
      </c>
      <c r="CE317" s="5"/>
      <c r="CF317" s="5"/>
      <c r="CG317" s="4"/>
      <c r="CH317" s="6"/>
      <c r="CI317" s="4">
        <v>6</v>
      </c>
      <c r="CJ317" s="6">
        <v>211.86</v>
      </c>
      <c r="CK317" s="5"/>
      <c r="CL317" s="5"/>
      <c r="CM317" s="4"/>
      <c r="CN317" s="6"/>
      <c r="CO317" s="4"/>
      <c r="CP317" s="6"/>
      <c r="CQ317" s="5"/>
      <c r="CR317" s="5"/>
      <c r="CS317" s="4">
        <v>1</v>
      </c>
      <c r="CT317" s="6">
        <v>28.35</v>
      </c>
      <c r="CU317" s="4"/>
      <c r="CV317" s="6"/>
      <c r="CW317" s="5"/>
      <c r="CX317" s="5"/>
      <c r="CY317" s="4">
        <v>2</v>
      </c>
      <c r="CZ317" s="6">
        <v>65.2</v>
      </c>
      <c r="DA317" s="4">
        <v>7</v>
      </c>
      <c r="DB317" s="6">
        <v>272.16</v>
      </c>
      <c r="DC317" s="5">
        <v>-0.7143</v>
      </c>
      <c r="DD317" s="5">
        <v>-0.7604</v>
      </c>
      <c r="DE317" s="4"/>
      <c r="DF317" s="6"/>
      <c r="DG317" s="4"/>
      <c r="DH317" s="6"/>
      <c r="DI317" s="5"/>
      <c r="DJ317" s="5"/>
      <c r="DK317" s="4">
        <v>1</v>
      </c>
      <c r="DL317" s="6">
        <v>50.59</v>
      </c>
      <c r="DM317" s="4"/>
      <c r="DN317" s="6"/>
      <c r="DO317" s="5"/>
      <c r="DP317" s="5"/>
      <c r="DQ317" s="4"/>
      <c r="DR317" s="6"/>
      <c r="DS317" s="4"/>
      <c r="DT317" s="6"/>
      <c r="DU317" s="5"/>
      <c r="DV317" s="5"/>
      <c r="DW317" s="4"/>
      <c r="DX317" s="6"/>
      <c r="DY317" s="4"/>
      <c r="DZ317" s="6"/>
      <c r="EA317" s="5"/>
      <c r="EB317" s="5"/>
      <c r="EC317" s="4"/>
      <c r="ED317" s="6"/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>
        <v>2</v>
      </c>
      <c r="EV317" s="6">
        <v>63.36</v>
      </c>
      <c r="EW317" s="4">
        <v>1</v>
      </c>
      <c r="EX317" s="6">
        <v>38.4</v>
      </c>
      <c r="EY317" s="5">
        <v>1</v>
      </c>
      <c r="EZ317" s="5">
        <v>0.65</v>
      </c>
      <c r="FA317" s="4"/>
      <c r="FB317" s="6"/>
      <c r="FC317" s="4"/>
      <c r="FD317" s="6"/>
      <c r="FE317" s="5"/>
      <c r="FF317" s="5"/>
      <c r="FG317" s="4"/>
      <c r="FH317" s="6"/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>
        <v>2</v>
      </c>
      <c r="FV317" s="6">
        <v>76.8</v>
      </c>
      <c r="FW317" s="5"/>
      <c r="FX317" s="5"/>
      <c r="FY317" s="4"/>
      <c r="FZ317" s="6"/>
      <c r="GA317" s="4"/>
      <c r="GB317" s="6"/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  <c r="IA317" s="4"/>
      <c r="IB317" s="6"/>
      <c r="IC317" s="4"/>
      <c r="ID317" s="6"/>
      <c r="IE317" s="5"/>
      <c r="IF317" s="5"/>
      <c r="IG317" s="4"/>
      <c r="IH317" s="6"/>
      <c r="II317" s="4"/>
      <c r="IJ317" s="6"/>
      <c r="IK317" s="5"/>
      <c r="IL317" s="5"/>
      <c r="IM317" s="4"/>
      <c r="IN317" s="6"/>
      <c r="IO317" s="4"/>
      <c r="IP317" s="6"/>
      <c r="IQ317" s="5"/>
      <c r="IR317" s="5"/>
      <c r="IS317" s="4"/>
      <c r="IT317" s="6"/>
      <c r="IU317" s="4"/>
      <c r="IV317" s="6"/>
      <c r="IW317" s="5"/>
      <c r="IX317" s="5"/>
      <c r="IY317" s="4"/>
      <c r="IZ317" s="6"/>
      <c r="JA317" s="4"/>
      <c r="JB317" s="6"/>
      <c r="JC317" s="5"/>
      <c r="JD317" s="5"/>
      <c r="JE317" s="4"/>
      <c r="JF317" s="6"/>
      <c r="JG317" s="4"/>
      <c r="JH317" s="6"/>
      <c r="JI317" s="5"/>
      <c r="JJ317" s="5"/>
      <c r="JK317" s="4">
        <v>3</v>
      </c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>
        <v>929</v>
      </c>
      <c r="LF317" s="4"/>
      <c r="LG317" s="4"/>
      <c r="LH317" s="4"/>
      <c r="LI317" s="4"/>
      <c r="LJ317" s="4"/>
      <c r="LK317" s="4"/>
      <c r="LL317" s="4"/>
      <c r="LM317" s="4"/>
    </row>
    <row r="318">
      <c r="A318" s="3" t="s">
        <v>136</v>
      </c>
      <c r="B318" s="3" t="s">
        <v>205</v>
      </c>
      <c r="C318" s="3" t="s">
        <v>138</v>
      </c>
      <c r="D318" s="3" t="s">
        <v>139</v>
      </c>
      <c r="E318" s="3" t="s">
        <v>206</v>
      </c>
      <c r="F318" s="3" t="s">
        <v>206</v>
      </c>
      <c r="G318" s="3" t="s">
        <v>206</v>
      </c>
      <c r="H318" s="3" t="s">
        <v>167</v>
      </c>
      <c r="I318" s="3" t="s">
        <v>360</v>
      </c>
      <c r="J318" s="3" t="s">
        <v>228</v>
      </c>
      <c r="K318" s="4">
        <v>54</v>
      </c>
      <c r="L318" s="4">
        <f>=ROUNDDOWN(0.473684210526316,0)</f>
      </c>
      <c r="M318" s="4">
        <v>1101</v>
      </c>
      <c r="N318" s="5">
        <v>0.8</v>
      </c>
      <c r="O318" s="4"/>
      <c r="P318" s="4">
        <f>=ROUNDDOWN({0},0)</f>
      </c>
      <c r="Q318" s="4"/>
      <c r="R318" s="5"/>
      <c r="S318" s="4">
        <v>10</v>
      </c>
      <c r="T318" s="6">
        <v>238.8</v>
      </c>
      <c r="U318" s="4"/>
      <c r="V318" s="6"/>
      <c r="W318" s="5"/>
      <c r="X318" s="5"/>
      <c r="Y318" s="4"/>
      <c r="Z318" s="6"/>
      <c r="AA318" s="4"/>
      <c r="AB318" s="6"/>
      <c r="AC318" s="5"/>
      <c r="AD318" s="5"/>
      <c r="AE318" s="4">
        <v>6</v>
      </c>
      <c r="AF318" s="6">
        <v>138.24</v>
      </c>
      <c r="AG318" s="4"/>
      <c r="AH318" s="6"/>
      <c r="AI318" s="5"/>
      <c r="AJ318" s="5"/>
      <c r="AK318" s="4"/>
      <c r="AL318" s="6"/>
      <c r="AM318" s="4"/>
      <c r="AN318" s="6"/>
      <c r="AO318" s="5"/>
      <c r="AP318" s="5"/>
      <c r="AQ318" s="4"/>
      <c r="AR318" s="6"/>
      <c r="AS318" s="4"/>
      <c r="AT318" s="6"/>
      <c r="AU318" s="5"/>
      <c r="AV318" s="5"/>
      <c r="AW318" s="4"/>
      <c r="AX318" s="6"/>
      <c r="AY318" s="4"/>
      <c r="AZ318" s="6"/>
      <c r="BA318" s="5"/>
      <c r="BB318" s="5"/>
      <c r="BC318" s="4">
        <v>1</v>
      </c>
      <c r="BD318" s="6">
        <v>21.83</v>
      </c>
      <c r="BE318" s="4"/>
      <c r="BF318" s="6"/>
      <c r="BG318" s="5"/>
      <c r="BH318" s="5"/>
      <c r="BI318" s="4"/>
      <c r="BJ318" s="6"/>
      <c r="BK318" s="4"/>
      <c r="BL318" s="6"/>
      <c r="BM318" s="5"/>
      <c r="BN318" s="5"/>
      <c r="BO318" s="4">
        <v>1</v>
      </c>
      <c r="BP318" s="6">
        <v>21.13</v>
      </c>
      <c r="BQ318" s="4"/>
      <c r="BR318" s="6"/>
      <c r="BS318" s="5"/>
      <c r="BT318" s="5"/>
      <c r="BU318" s="4"/>
      <c r="BV318" s="6"/>
      <c r="BW318" s="4"/>
      <c r="BX318" s="6"/>
      <c r="BY318" s="5"/>
      <c r="BZ318" s="5"/>
      <c r="CA318" s="4"/>
      <c r="CB318" s="6"/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/>
      <c r="CP318" s="6"/>
      <c r="CQ318" s="5"/>
      <c r="CR318" s="5"/>
      <c r="CS318" s="4"/>
      <c r="CT318" s="6"/>
      <c r="CU318" s="4"/>
      <c r="CV318" s="6"/>
      <c r="CW318" s="5"/>
      <c r="CX318" s="5"/>
      <c r="CY318" s="4"/>
      <c r="CZ318" s="6"/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/>
      <c r="DL318" s="6"/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/>
      <c r="DX318" s="6"/>
      <c r="DY318" s="4"/>
      <c r="DZ318" s="6"/>
      <c r="EA318" s="5"/>
      <c r="EB318" s="5"/>
      <c r="EC318" s="4"/>
      <c r="ED318" s="6"/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/>
      <c r="EP318" s="6"/>
      <c r="EQ318" s="4"/>
      <c r="ER318" s="6"/>
      <c r="ES318" s="5"/>
      <c r="ET318" s="5"/>
      <c r="EU318" s="4">
        <v>2</v>
      </c>
      <c r="EV318" s="6">
        <v>57.6</v>
      </c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  <c r="IA318" s="4"/>
      <c r="IB318" s="6"/>
      <c r="IC318" s="4"/>
      <c r="ID318" s="6"/>
      <c r="IE318" s="5"/>
      <c r="IF318" s="5"/>
      <c r="IG318" s="4"/>
      <c r="IH318" s="6"/>
      <c r="II318" s="4"/>
      <c r="IJ318" s="6"/>
      <c r="IK318" s="5"/>
      <c r="IL318" s="5"/>
      <c r="IM318" s="4"/>
      <c r="IN318" s="6"/>
      <c r="IO318" s="4"/>
      <c r="IP318" s="6"/>
      <c r="IQ318" s="5"/>
      <c r="IR318" s="5"/>
      <c r="IS318" s="4"/>
      <c r="IT318" s="6"/>
      <c r="IU318" s="4"/>
      <c r="IV318" s="6"/>
      <c r="IW318" s="5"/>
      <c r="IX318" s="5"/>
      <c r="IY318" s="4"/>
      <c r="IZ318" s="6"/>
      <c r="JA318" s="4"/>
      <c r="JB318" s="6"/>
      <c r="JC318" s="5"/>
      <c r="JD318" s="5"/>
      <c r="JE318" s="4"/>
      <c r="JF318" s="6"/>
      <c r="JG318" s="4"/>
      <c r="JH318" s="6"/>
      <c r="JI318" s="5"/>
      <c r="JJ318" s="5"/>
      <c r="JK318" s="4">
        <v>54</v>
      </c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>
        <v>1101</v>
      </c>
      <c r="LF318" s="4"/>
      <c r="LG318" s="4"/>
      <c r="LH318" s="4"/>
      <c r="LI318" s="4"/>
      <c r="LJ318" s="4"/>
      <c r="LK318" s="4"/>
      <c r="LL318" s="4"/>
      <c r="LM318" s="4"/>
    </row>
    <row r="319">
      <c r="A319" s="3" t="s">
        <v>136</v>
      </c>
      <c r="B319" s="3" t="s">
        <v>205</v>
      </c>
      <c r="C319" s="3" t="s">
        <v>138</v>
      </c>
      <c r="D319" s="3" t="s">
        <v>139</v>
      </c>
      <c r="E319" s="3" t="s">
        <v>206</v>
      </c>
      <c r="F319" s="3" t="s">
        <v>206</v>
      </c>
      <c r="G319" s="3" t="s">
        <v>206</v>
      </c>
      <c r="H319" s="3" t="s">
        <v>167</v>
      </c>
      <c r="I319" s="3" t="s">
        <v>361</v>
      </c>
      <c r="J319" s="3" t="s">
        <v>228</v>
      </c>
      <c r="K319" s="4">
        <v>2</v>
      </c>
      <c r="L319" s="4">
        <f>=ROUNDDOWN(0.0384615384615385,0)</f>
      </c>
      <c r="M319" s="4">
        <v>518</v>
      </c>
      <c r="N319" s="5"/>
      <c r="O319" s="4"/>
      <c r="P319" s="4">
        <f>=ROUNDDOWN({0},0)</f>
      </c>
      <c r="Q319" s="4"/>
      <c r="R319" s="5"/>
      <c r="S319" s="4">
        <v>4</v>
      </c>
      <c r="T319" s="6">
        <v>159.59</v>
      </c>
      <c r="U319" s="4">
        <v>116</v>
      </c>
      <c r="V319" s="6">
        <v>4218.91</v>
      </c>
      <c r="W319" s="5">
        <v>-0.9655</v>
      </c>
      <c r="X319" s="5">
        <v>-0.9622</v>
      </c>
      <c r="Y319" s="4"/>
      <c r="Z319" s="6"/>
      <c r="AA319" s="4">
        <v>57</v>
      </c>
      <c r="AB319" s="6">
        <v>2074.23</v>
      </c>
      <c r="AC319" s="5"/>
      <c r="AD319" s="5"/>
      <c r="AE319" s="4"/>
      <c r="AF319" s="6"/>
      <c r="AG319" s="4">
        <v>7</v>
      </c>
      <c r="AH319" s="6">
        <v>268.8</v>
      </c>
      <c r="AI319" s="5"/>
      <c r="AJ319" s="5"/>
      <c r="AK319" s="4"/>
      <c r="AL319" s="6"/>
      <c r="AM319" s="4"/>
      <c r="AN319" s="6"/>
      <c r="AO319" s="5"/>
      <c r="AP319" s="5"/>
      <c r="AQ319" s="4"/>
      <c r="AR319" s="6"/>
      <c r="AS319" s="4"/>
      <c r="AT319" s="6"/>
      <c r="AU319" s="5"/>
      <c r="AV319" s="5"/>
      <c r="AW319" s="4"/>
      <c r="AX319" s="6"/>
      <c r="AY319" s="4">
        <v>12</v>
      </c>
      <c r="AZ319" s="6">
        <v>426</v>
      </c>
      <c r="BA319" s="5"/>
      <c r="BB319" s="5"/>
      <c r="BC319" s="4"/>
      <c r="BD319" s="6"/>
      <c r="BE319" s="4">
        <v>10</v>
      </c>
      <c r="BF319" s="6">
        <v>395</v>
      </c>
      <c r="BG319" s="5"/>
      <c r="BH319" s="5"/>
      <c r="BI319" s="4"/>
      <c r="BJ319" s="6"/>
      <c r="BK319" s="4">
        <v>3</v>
      </c>
      <c r="BL319" s="6">
        <v>100.65</v>
      </c>
      <c r="BM319" s="5"/>
      <c r="BN319" s="5"/>
      <c r="BO319" s="4"/>
      <c r="BP319" s="6"/>
      <c r="BQ319" s="4"/>
      <c r="BR319" s="6"/>
      <c r="BS319" s="5"/>
      <c r="BT319" s="5"/>
      <c r="BU319" s="4"/>
      <c r="BV319" s="6"/>
      <c r="BW319" s="4">
        <v>3</v>
      </c>
      <c r="BX319" s="6">
        <v>103.71</v>
      </c>
      <c r="BY319" s="5"/>
      <c r="BZ319" s="5"/>
      <c r="CA319" s="4">
        <v>2</v>
      </c>
      <c r="CB319" s="6">
        <v>71</v>
      </c>
      <c r="CC319" s="4">
        <v>1</v>
      </c>
      <c r="CD319" s="6">
        <v>33.8</v>
      </c>
      <c r="CE319" s="5">
        <v>1</v>
      </c>
      <c r="CF319" s="5">
        <v>1.1006</v>
      </c>
      <c r="CG319" s="4"/>
      <c r="CH319" s="6"/>
      <c r="CI319" s="4">
        <v>8</v>
      </c>
      <c r="CJ319" s="6">
        <v>276</v>
      </c>
      <c r="CK319" s="5"/>
      <c r="CL319" s="5"/>
      <c r="CM319" s="4"/>
      <c r="CN319" s="6"/>
      <c r="CO319" s="4"/>
      <c r="CP319" s="6"/>
      <c r="CQ319" s="5"/>
      <c r="CR319" s="5"/>
      <c r="CS319" s="4"/>
      <c r="CT319" s="6"/>
      <c r="CU319" s="4">
        <v>2</v>
      </c>
      <c r="CV319" s="6">
        <v>67.62</v>
      </c>
      <c r="CW319" s="5"/>
      <c r="CX319" s="5"/>
      <c r="CY319" s="4"/>
      <c r="CZ319" s="6"/>
      <c r="DA319" s="4">
        <v>3</v>
      </c>
      <c r="DB319" s="6">
        <v>116.64</v>
      </c>
      <c r="DC319" s="5"/>
      <c r="DD319" s="5"/>
      <c r="DE319" s="4"/>
      <c r="DF319" s="6"/>
      <c r="DG319" s="4"/>
      <c r="DH319" s="6"/>
      <c r="DI319" s="5"/>
      <c r="DJ319" s="5"/>
      <c r="DK319" s="4">
        <v>1</v>
      </c>
      <c r="DL319" s="6">
        <v>59.79</v>
      </c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/>
      <c r="ED319" s="6"/>
      <c r="EE319" s="4"/>
      <c r="EF319" s="6"/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>
        <v>1</v>
      </c>
      <c r="EV319" s="6">
        <v>28.8</v>
      </c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>
        <v>4</v>
      </c>
      <c r="FV319" s="6">
        <v>153.6</v>
      </c>
      <c r="FW319" s="5"/>
      <c r="FX319" s="5"/>
      <c r="FY319" s="4"/>
      <c r="FZ319" s="6"/>
      <c r="GA319" s="4">
        <v>6</v>
      </c>
      <c r="GB319" s="6">
        <v>202.86</v>
      </c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  <c r="IA319" s="4"/>
      <c r="IB319" s="6"/>
      <c r="IC319" s="4"/>
      <c r="ID319" s="6"/>
      <c r="IE319" s="5"/>
      <c r="IF319" s="5"/>
      <c r="IG319" s="4"/>
      <c r="IH319" s="6"/>
      <c r="II319" s="4"/>
      <c r="IJ319" s="6"/>
      <c r="IK319" s="5"/>
      <c r="IL319" s="5"/>
      <c r="IM319" s="4"/>
      <c r="IN319" s="6"/>
      <c r="IO319" s="4"/>
      <c r="IP319" s="6"/>
      <c r="IQ319" s="5"/>
      <c r="IR319" s="5"/>
      <c r="IS319" s="4"/>
      <c r="IT319" s="6"/>
      <c r="IU319" s="4"/>
      <c r="IV319" s="6"/>
      <c r="IW319" s="5"/>
      <c r="IX319" s="5"/>
      <c r="IY319" s="4"/>
      <c r="IZ319" s="6"/>
      <c r="JA319" s="4"/>
      <c r="JB319" s="6"/>
      <c r="JC319" s="5"/>
      <c r="JD319" s="5"/>
      <c r="JE319" s="4"/>
      <c r="JF319" s="6"/>
      <c r="JG319" s="4"/>
      <c r="JH319" s="6"/>
      <c r="JI319" s="5"/>
      <c r="JJ319" s="5"/>
      <c r="JK319" s="4">
        <v>2</v>
      </c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>
        <v>518</v>
      </c>
      <c r="LF319" s="4"/>
      <c r="LG319" s="4"/>
      <c r="LH319" s="4"/>
      <c r="LI319" s="4"/>
      <c r="LJ319" s="4"/>
      <c r="LK319" s="4"/>
      <c r="LL319" s="4"/>
      <c r="LM319" s="4"/>
    </row>
    <row r="320">
      <c r="A320" s="3" t="s">
        <v>136</v>
      </c>
      <c r="B320" s="3" t="s">
        <v>205</v>
      </c>
      <c r="C320" s="3" t="s">
        <v>138</v>
      </c>
      <c r="D320" s="3" t="s">
        <v>139</v>
      </c>
      <c r="E320" s="3" t="s">
        <v>206</v>
      </c>
      <c r="F320" s="3" t="s">
        <v>206</v>
      </c>
      <c r="G320" s="3" t="s">
        <v>206</v>
      </c>
      <c r="H320" s="3" t="s">
        <v>167</v>
      </c>
      <c r="I320" s="3" t="s">
        <v>284</v>
      </c>
      <c r="J320" s="3" t="s">
        <v>226</v>
      </c>
      <c r="K320" s="4"/>
      <c r="L320" s="4">
        <f>=ROUNDDOWN({0},0)</f>
      </c>
      <c r="M320" s="4">
        <v>944</v>
      </c>
      <c r="N320" s="5"/>
      <c r="O320" s="4"/>
      <c r="P320" s="4">
        <f>=ROUNDDOWN({0},0)</f>
      </c>
      <c r="Q320" s="4"/>
      <c r="R320" s="5"/>
      <c r="S320" s="4">
        <v>1</v>
      </c>
      <c r="T320" s="6">
        <v>34.56</v>
      </c>
      <c r="U320" s="4">
        <v>97</v>
      </c>
      <c r="V320" s="6">
        <v>3464.13</v>
      </c>
      <c r="W320" s="5">
        <v>-0.9897</v>
      </c>
      <c r="X320" s="5">
        <v>-0.99</v>
      </c>
      <c r="Y320" s="4"/>
      <c r="Z320" s="6"/>
      <c r="AA320" s="4">
        <v>19</v>
      </c>
      <c r="AB320" s="6">
        <v>691.41</v>
      </c>
      <c r="AC320" s="5"/>
      <c r="AD320" s="5"/>
      <c r="AE320" s="4"/>
      <c r="AF320" s="6"/>
      <c r="AG320" s="4">
        <v>1</v>
      </c>
      <c r="AH320" s="6">
        <v>38.4</v>
      </c>
      <c r="AI320" s="5"/>
      <c r="AJ320" s="5"/>
      <c r="AK320" s="4"/>
      <c r="AL320" s="6"/>
      <c r="AM320" s="4"/>
      <c r="AN320" s="6"/>
      <c r="AO320" s="5"/>
      <c r="AP320" s="5"/>
      <c r="AQ320" s="4"/>
      <c r="AR320" s="6"/>
      <c r="AS320" s="4">
        <v>29</v>
      </c>
      <c r="AT320" s="6">
        <v>1023.99</v>
      </c>
      <c r="AU320" s="5"/>
      <c r="AV320" s="5"/>
      <c r="AW320" s="4"/>
      <c r="AX320" s="6"/>
      <c r="AY320" s="4">
        <v>3</v>
      </c>
      <c r="AZ320" s="6">
        <v>106.5</v>
      </c>
      <c r="BA320" s="5"/>
      <c r="BB320" s="5"/>
      <c r="BC320" s="4"/>
      <c r="BD320" s="6"/>
      <c r="BE320" s="4">
        <v>10</v>
      </c>
      <c r="BF320" s="6">
        <v>395</v>
      </c>
      <c r="BG320" s="5"/>
      <c r="BH320" s="5"/>
      <c r="BI320" s="4"/>
      <c r="BJ320" s="6"/>
      <c r="BK320" s="4">
        <v>7</v>
      </c>
      <c r="BL320" s="6">
        <v>234.85</v>
      </c>
      <c r="BM320" s="5"/>
      <c r="BN320" s="5"/>
      <c r="BO320" s="4"/>
      <c r="BP320" s="6"/>
      <c r="BQ320" s="4"/>
      <c r="BR320" s="6"/>
      <c r="BS320" s="5"/>
      <c r="BT320" s="5"/>
      <c r="BU320" s="4"/>
      <c r="BV320" s="6"/>
      <c r="BW320" s="4">
        <v>6</v>
      </c>
      <c r="BX320" s="6">
        <v>207.42</v>
      </c>
      <c r="BY320" s="5"/>
      <c r="BZ320" s="5"/>
      <c r="CA320" s="4"/>
      <c r="CB320" s="6"/>
      <c r="CC320" s="4">
        <v>15</v>
      </c>
      <c r="CD320" s="6">
        <v>501.54</v>
      </c>
      <c r="CE320" s="5"/>
      <c r="CF320" s="5"/>
      <c r="CG320" s="4"/>
      <c r="CH320" s="6"/>
      <c r="CI320" s="4">
        <v>2</v>
      </c>
      <c r="CJ320" s="6">
        <v>70.62</v>
      </c>
      <c r="CK320" s="5"/>
      <c r="CL320" s="5"/>
      <c r="CM320" s="4"/>
      <c r="CN320" s="6"/>
      <c r="CO320" s="4"/>
      <c r="CP320" s="6"/>
      <c r="CQ320" s="5"/>
      <c r="CR320" s="5"/>
      <c r="CS320" s="4"/>
      <c r="CT320" s="6"/>
      <c r="CU320" s="4"/>
      <c r="CV320" s="6"/>
      <c r="CW320" s="5"/>
      <c r="CX320" s="5"/>
      <c r="CY320" s="4"/>
      <c r="CZ320" s="6"/>
      <c r="DA320" s="4">
        <v>5</v>
      </c>
      <c r="DB320" s="6">
        <v>194.4</v>
      </c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/>
      <c r="EP320" s="6"/>
      <c r="EQ320" s="4"/>
      <c r="ER320" s="6"/>
      <c r="ES320" s="5"/>
      <c r="ET320" s="5"/>
      <c r="EU320" s="4">
        <v>1</v>
      </c>
      <c r="EV320" s="6">
        <v>34.56</v>
      </c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/>
      <c r="FH320" s="6"/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/>
      <c r="FV320" s="6"/>
      <c r="FW320" s="5"/>
      <c r="FX320" s="5"/>
      <c r="FY320" s="4"/>
      <c r="FZ320" s="6"/>
      <c r="GA320" s="4"/>
      <c r="GB320" s="6"/>
      <c r="GC320" s="5"/>
      <c r="GD320" s="5"/>
      <c r="GE320" s="4"/>
      <c r="GF320" s="6"/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  <c r="IA320" s="4"/>
      <c r="IB320" s="6"/>
      <c r="IC320" s="4"/>
      <c r="ID320" s="6"/>
      <c r="IE320" s="5"/>
      <c r="IF320" s="5"/>
      <c r="IG320" s="4"/>
      <c r="IH320" s="6"/>
      <c r="II320" s="4"/>
      <c r="IJ320" s="6"/>
      <c r="IK320" s="5"/>
      <c r="IL320" s="5"/>
      <c r="IM320" s="4"/>
      <c r="IN320" s="6"/>
      <c r="IO320" s="4"/>
      <c r="IP320" s="6"/>
      <c r="IQ320" s="5"/>
      <c r="IR320" s="5"/>
      <c r="IS320" s="4"/>
      <c r="IT320" s="6"/>
      <c r="IU320" s="4"/>
      <c r="IV320" s="6"/>
      <c r="IW320" s="5"/>
      <c r="IX320" s="5"/>
      <c r="IY320" s="4"/>
      <c r="IZ320" s="6"/>
      <c r="JA320" s="4"/>
      <c r="JB320" s="6"/>
      <c r="JC320" s="5"/>
      <c r="JD320" s="5"/>
      <c r="JE320" s="4"/>
      <c r="JF320" s="6"/>
      <c r="JG320" s="4"/>
      <c r="JH320" s="6"/>
      <c r="JI320" s="5"/>
      <c r="JJ320" s="5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>
        <v>944</v>
      </c>
      <c r="LF320" s="4"/>
      <c r="LG320" s="4"/>
      <c r="LH320" s="4"/>
      <c r="LI320" s="4"/>
      <c r="LJ320" s="4"/>
      <c r="LK320" s="4"/>
      <c r="LL320" s="4"/>
      <c r="LM320" s="4"/>
    </row>
    <row r="321">
      <c r="A321" s="3" t="s">
        <v>136</v>
      </c>
      <c r="B321" s="3" t="s">
        <v>205</v>
      </c>
      <c r="C321" s="3" t="s">
        <v>138</v>
      </c>
      <c r="D321" s="3" t="s">
        <v>139</v>
      </c>
      <c r="E321" s="3" t="s">
        <v>206</v>
      </c>
      <c r="F321" s="3" t="s">
        <v>206</v>
      </c>
      <c r="G321" s="3" t="s">
        <v>206</v>
      </c>
      <c r="H321" s="3" t="s">
        <v>167</v>
      </c>
      <c r="I321" s="3" t="s">
        <v>317</v>
      </c>
      <c r="J321" s="3" t="s">
        <v>228</v>
      </c>
      <c r="K321" s="4"/>
      <c r="L321" s="4">
        <f>=ROUNDDOWN({0},0)</f>
      </c>
      <c r="M321" s="4">
        <v>591</v>
      </c>
      <c r="N321" s="5"/>
      <c r="O321" s="4"/>
      <c r="P321" s="4">
        <f>=ROUNDDOWN({0},0)</f>
      </c>
      <c r="Q321" s="4"/>
      <c r="R321" s="5"/>
      <c r="S321" s="4">
        <v>1</v>
      </c>
      <c r="T321" s="6">
        <v>30.43</v>
      </c>
      <c r="U321" s="4">
        <v>326</v>
      </c>
      <c r="V321" s="6">
        <v>10499.91</v>
      </c>
      <c r="W321" s="5">
        <v>-0.9969</v>
      </c>
      <c r="X321" s="5">
        <v>-0.9971</v>
      </c>
      <c r="Y321" s="4"/>
      <c r="Z321" s="6"/>
      <c r="AA321" s="4">
        <v>97</v>
      </c>
      <c r="AB321" s="6">
        <v>3187.63</v>
      </c>
      <c r="AC321" s="5"/>
      <c r="AD321" s="5"/>
      <c r="AE321" s="4"/>
      <c r="AF321" s="6"/>
      <c r="AG321" s="4">
        <v>4</v>
      </c>
      <c r="AH321" s="6">
        <v>140.8</v>
      </c>
      <c r="AI321" s="5"/>
      <c r="AJ321" s="5"/>
      <c r="AK321" s="4"/>
      <c r="AL321" s="6"/>
      <c r="AM321" s="4"/>
      <c r="AN321" s="6"/>
      <c r="AO321" s="5"/>
      <c r="AP321" s="5"/>
      <c r="AQ321" s="4"/>
      <c r="AR321" s="6"/>
      <c r="AS321" s="4">
        <v>60</v>
      </c>
      <c r="AT321" s="6">
        <v>1892.52</v>
      </c>
      <c r="AU321" s="5"/>
      <c r="AV321" s="5"/>
      <c r="AW321" s="4"/>
      <c r="AX321" s="6"/>
      <c r="AY321" s="4">
        <v>29</v>
      </c>
      <c r="AZ321" s="6">
        <v>914.9</v>
      </c>
      <c r="BA321" s="5"/>
      <c r="BB321" s="5"/>
      <c r="BC321" s="4"/>
      <c r="BD321" s="6"/>
      <c r="BE321" s="4">
        <v>21</v>
      </c>
      <c r="BF321" s="6">
        <v>750.54</v>
      </c>
      <c r="BG321" s="5"/>
      <c r="BH321" s="5"/>
      <c r="BI321" s="4"/>
      <c r="BJ321" s="6"/>
      <c r="BK321" s="4">
        <v>5</v>
      </c>
      <c r="BL321" s="6">
        <v>150.98</v>
      </c>
      <c r="BM321" s="5"/>
      <c r="BN321" s="5"/>
      <c r="BO321" s="4"/>
      <c r="BP321" s="6"/>
      <c r="BQ321" s="4"/>
      <c r="BR321" s="6"/>
      <c r="BS321" s="5"/>
      <c r="BT321" s="5"/>
      <c r="BU321" s="4"/>
      <c r="BV321" s="6"/>
      <c r="BW321" s="4">
        <v>8</v>
      </c>
      <c r="BX321" s="6">
        <v>259.25</v>
      </c>
      <c r="BY321" s="5"/>
      <c r="BZ321" s="5"/>
      <c r="CA321" s="4">
        <v>1</v>
      </c>
      <c r="CB321" s="6">
        <v>30.43</v>
      </c>
      <c r="CC321" s="4">
        <v>78</v>
      </c>
      <c r="CD321" s="6">
        <v>2405.3</v>
      </c>
      <c r="CE321" s="5">
        <v>-0.9872</v>
      </c>
      <c r="CF321" s="5">
        <v>-0.9873</v>
      </c>
      <c r="CG321" s="4"/>
      <c r="CH321" s="6"/>
      <c r="CI321" s="4">
        <v>7</v>
      </c>
      <c r="CJ321" s="6">
        <v>243.87</v>
      </c>
      <c r="CK321" s="5"/>
      <c r="CL321" s="5"/>
      <c r="CM321" s="4"/>
      <c r="CN321" s="6"/>
      <c r="CO321" s="4"/>
      <c r="CP321" s="6"/>
      <c r="CQ321" s="5"/>
      <c r="CR321" s="5"/>
      <c r="CS321" s="4"/>
      <c r="CT321" s="6"/>
      <c r="CU321" s="4">
        <v>6</v>
      </c>
      <c r="CV321" s="6">
        <v>181.02</v>
      </c>
      <c r="CW321" s="5"/>
      <c r="CX321" s="5"/>
      <c r="CY321" s="4"/>
      <c r="CZ321" s="6"/>
      <c r="DA321" s="4">
        <v>8</v>
      </c>
      <c r="DB321" s="6">
        <v>267.08</v>
      </c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/>
      <c r="DX321" s="6"/>
      <c r="DY321" s="4"/>
      <c r="DZ321" s="6"/>
      <c r="EA321" s="5"/>
      <c r="EB321" s="5"/>
      <c r="EC321" s="4"/>
      <c r="ED321" s="6"/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/>
      <c r="EP321" s="6"/>
      <c r="EQ321" s="4"/>
      <c r="ER321" s="6"/>
      <c r="ES321" s="5"/>
      <c r="ET321" s="5"/>
      <c r="EU321" s="4"/>
      <c r="EV321" s="6"/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>
        <v>1</v>
      </c>
      <c r="FV321" s="6">
        <v>38.4</v>
      </c>
      <c r="FW321" s="5"/>
      <c r="FX321" s="5"/>
      <c r="FY321" s="4"/>
      <c r="FZ321" s="6"/>
      <c r="GA321" s="4">
        <v>2</v>
      </c>
      <c r="GB321" s="6">
        <v>67.62</v>
      </c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  <c r="IA321" s="4"/>
      <c r="IB321" s="6"/>
      <c r="IC321" s="4"/>
      <c r="ID321" s="6"/>
      <c r="IE321" s="5"/>
      <c r="IF321" s="5"/>
      <c r="IG321" s="4"/>
      <c r="IH321" s="6"/>
      <c r="II321" s="4"/>
      <c r="IJ321" s="6"/>
      <c r="IK321" s="5"/>
      <c r="IL321" s="5"/>
      <c r="IM321" s="4"/>
      <c r="IN321" s="6"/>
      <c r="IO321" s="4"/>
      <c r="IP321" s="6"/>
      <c r="IQ321" s="5"/>
      <c r="IR321" s="5"/>
      <c r="IS321" s="4"/>
      <c r="IT321" s="6"/>
      <c r="IU321" s="4"/>
      <c r="IV321" s="6"/>
      <c r="IW321" s="5"/>
      <c r="IX321" s="5"/>
      <c r="IY321" s="4"/>
      <c r="IZ321" s="6"/>
      <c r="JA321" s="4"/>
      <c r="JB321" s="6"/>
      <c r="JC321" s="5"/>
      <c r="JD321" s="5"/>
      <c r="JE321" s="4"/>
      <c r="JF321" s="6"/>
      <c r="JG321" s="4"/>
      <c r="JH321" s="6"/>
      <c r="JI321" s="5"/>
      <c r="JJ321" s="5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>
        <v>591</v>
      </c>
      <c r="LF321" s="4"/>
      <c r="LG321" s="4"/>
      <c r="LH321" s="4"/>
      <c r="LI321" s="4"/>
      <c r="LJ321" s="4"/>
      <c r="LK321" s="4"/>
      <c r="LL321" s="4"/>
      <c r="LM321" s="4"/>
    </row>
    <row r="322">
      <c r="A322" s="3" t="s">
        <v>136</v>
      </c>
      <c r="B322" s="3" t="s">
        <v>205</v>
      </c>
      <c r="C322" s="3" t="s">
        <v>138</v>
      </c>
      <c r="D322" s="3" t="s">
        <v>139</v>
      </c>
      <c r="E322" s="3" t="s">
        <v>206</v>
      </c>
      <c r="F322" s="3" t="s">
        <v>206</v>
      </c>
      <c r="G322" s="3" t="s">
        <v>206</v>
      </c>
      <c r="H322" s="3" t="s">
        <v>167</v>
      </c>
      <c r="I322" s="3" t="s">
        <v>362</v>
      </c>
      <c r="J322" s="3" t="s">
        <v>242</v>
      </c>
      <c r="K322" s="4">
        <v>3</v>
      </c>
      <c r="L322" s="4">
        <f>=ROUNDDOWN(0.0555555555555556,0)</f>
      </c>
      <c r="M322" s="4">
        <v>529</v>
      </c>
      <c r="N322" s="5"/>
      <c r="O322" s="4"/>
      <c r="P322" s="4">
        <f>=ROUNDDOWN({0},0)</f>
      </c>
      <c r="Q322" s="4"/>
      <c r="R322" s="5"/>
      <c r="S322" s="4">
        <v>1</v>
      </c>
      <c r="T322" s="6">
        <v>25.52</v>
      </c>
      <c r="U322" s="4"/>
      <c r="V322" s="6"/>
      <c r="W322" s="5"/>
      <c r="X322" s="5"/>
      <c r="Y322" s="4"/>
      <c r="Z322" s="6"/>
      <c r="AA322" s="4"/>
      <c r="AB322" s="6"/>
      <c r="AC322" s="5"/>
      <c r="AD322" s="5"/>
      <c r="AE322" s="4"/>
      <c r="AF322" s="6"/>
      <c r="AG322" s="4"/>
      <c r="AH322" s="6"/>
      <c r="AI322" s="5"/>
      <c r="AJ322" s="5"/>
      <c r="AK322" s="4"/>
      <c r="AL322" s="6"/>
      <c r="AM322" s="4"/>
      <c r="AN322" s="6"/>
      <c r="AO322" s="5"/>
      <c r="AP322" s="5"/>
      <c r="AQ322" s="4"/>
      <c r="AR322" s="6"/>
      <c r="AS322" s="4"/>
      <c r="AT322" s="6"/>
      <c r="AU322" s="5"/>
      <c r="AV322" s="5"/>
      <c r="AW322" s="4"/>
      <c r="AX322" s="6"/>
      <c r="AY322" s="4"/>
      <c r="AZ322" s="6"/>
      <c r="BA322" s="5"/>
      <c r="BB322" s="5"/>
      <c r="BC322" s="4"/>
      <c r="BD322" s="6"/>
      <c r="BE322" s="4"/>
      <c r="BF322" s="6"/>
      <c r="BG322" s="5"/>
      <c r="BH322" s="5"/>
      <c r="BI322" s="4"/>
      <c r="BJ322" s="6"/>
      <c r="BK322" s="4"/>
      <c r="BL322" s="6"/>
      <c r="BM322" s="5"/>
      <c r="BN322" s="5"/>
      <c r="BO322" s="4"/>
      <c r="BP322" s="6"/>
      <c r="BQ322" s="4"/>
      <c r="BR322" s="6"/>
      <c r="BS322" s="5"/>
      <c r="BT322" s="5"/>
      <c r="BU322" s="4"/>
      <c r="BV322" s="6"/>
      <c r="BW322" s="4"/>
      <c r="BX322" s="6"/>
      <c r="BY322" s="5"/>
      <c r="BZ322" s="5"/>
      <c r="CA322" s="4">
        <v>1</v>
      </c>
      <c r="CB322" s="6">
        <v>25.52</v>
      </c>
      <c r="CC322" s="4"/>
      <c r="CD322" s="6"/>
      <c r="CE322" s="5"/>
      <c r="CF322" s="5"/>
      <c r="CG322" s="4"/>
      <c r="CH322" s="6"/>
      <c r="CI322" s="4"/>
      <c r="CJ322" s="6"/>
      <c r="CK322" s="5"/>
      <c r="CL322" s="5"/>
      <c r="CM322" s="4"/>
      <c r="CN322" s="6"/>
      <c r="CO322" s="4"/>
      <c r="CP322" s="6"/>
      <c r="CQ322" s="5"/>
      <c r="CR322" s="5"/>
      <c r="CS322" s="4"/>
      <c r="CT322" s="6"/>
      <c r="CU322" s="4"/>
      <c r="CV322" s="6"/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/>
      <c r="DX322" s="6"/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/>
      <c r="EJ322" s="6"/>
      <c r="EK322" s="4"/>
      <c r="EL322" s="6"/>
      <c r="EM322" s="5"/>
      <c r="EN322" s="5"/>
      <c r="EO322" s="4"/>
      <c r="EP322" s="6"/>
      <c r="EQ322" s="4"/>
      <c r="ER322" s="6"/>
      <c r="ES322" s="5"/>
      <c r="ET322" s="5"/>
      <c r="EU322" s="4"/>
      <c r="EV322" s="6"/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/>
      <c r="GB322" s="6"/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  <c r="IA322" s="4"/>
      <c r="IB322" s="6"/>
      <c r="IC322" s="4"/>
      <c r="ID322" s="6"/>
      <c r="IE322" s="5"/>
      <c r="IF322" s="5"/>
      <c r="IG322" s="4"/>
      <c r="IH322" s="6"/>
      <c r="II322" s="4"/>
      <c r="IJ322" s="6"/>
      <c r="IK322" s="5"/>
      <c r="IL322" s="5"/>
      <c r="IM322" s="4"/>
      <c r="IN322" s="6"/>
      <c r="IO322" s="4"/>
      <c r="IP322" s="6"/>
      <c r="IQ322" s="5"/>
      <c r="IR322" s="5"/>
      <c r="IS322" s="4"/>
      <c r="IT322" s="6"/>
      <c r="IU322" s="4"/>
      <c r="IV322" s="6"/>
      <c r="IW322" s="5"/>
      <c r="IX322" s="5"/>
      <c r="IY322" s="4"/>
      <c r="IZ322" s="6"/>
      <c r="JA322" s="4"/>
      <c r="JB322" s="6"/>
      <c r="JC322" s="5"/>
      <c r="JD322" s="5"/>
      <c r="JE322" s="4"/>
      <c r="JF322" s="6"/>
      <c r="JG322" s="4"/>
      <c r="JH322" s="6"/>
      <c r="JI322" s="5"/>
      <c r="JJ322" s="5"/>
      <c r="JK322" s="4">
        <v>3</v>
      </c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>
        <v>529</v>
      </c>
      <c r="LF322" s="4"/>
      <c r="LG322" s="4"/>
      <c r="LH322" s="4"/>
      <c r="LI322" s="4"/>
      <c r="LJ322" s="4"/>
      <c r="LK322" s="4"/>
      <c r="LL322" s="4"/>
      <c r="LM322" s="4"/>
    </row>
    <row r="323">
      <c r="A323" s="3" t="s">
        <v>136</v>
      </c>
      <c r="B323" s="3" t="s">
        <v>205</v>
      </c>
      <c r="C323" s="3" t="s">
        <v>138</v>
      </c>
      <c r="D323" s="3" t="s">
        <v>139</v>
      </c>
      <c r="E323" s="3" t="s">
        <v>206</v>
      </c>
      <c r="F323" s="3" t="s">
        <v>206</v>
      </c>
      <c r="G323" s="3" t="s">
        <v>206</v>
      </c>
      <c r="H323" s="3" t="s">
        <v>167</v>
      </c>
      <c r="I323" s="3" t="s">
        <v>363</v>
      </c>
      <c r="J323" s="3" t="s">
        <v>241</v>
      </c>
      <c r="K323" s="4"/>
      <c r="L323" s="4">
        <f>=ROUNDDOWN({0},0)</f>
      </c>
      <c r="M323" s="4"/>
      <c r="N323" s="5"/>
      <c r="O323" s="4"/>
      <c r="P323" s="4">
        <f>=ROUNDDOWN({0},0)</f>
      </c>
      <c r="Q323" s="4"/>
      <c r="R323" s="5"/>
      <c r="S323" s="4"/>
      <c r="T323" s="6"/>
      <c r="U323" s="4">
        <v>113</v>
      </c>
      <c r="V323" s="6">
        <v>3686.81</v>
      </c>
      <c r="W323" s="5"/>
      <c r="X323" s="5"/>
      <c r="Y323" s="4"/>
      <c r="Z323" s="6"/>
      <c r="AA323" s="4">
        <v>49</v>
      </c>
      <c r="AB323" s="6">
        <v>1591.71</v>
      </c>
      <c r="AC323" s="5"/>
      <c r="AD323" s="5"/>
      <c r="AE323" s="4"/>
      <c r="AF323" s="6"/>
      <c r="AG323" s="4">
        <v>3</v>
      </c>
      <c r="AH323" s="6">
        <v>96</v>
      </c>
      <c r="AI323" s="5"/>
      <c r="AJ323" s="5"/>
      <c r="AK323" s="4"/>
      <c r="AL323" s="6"/>
      <c r="AM323" s="4"/>
      <c r="AN323" s="6"/>
      <c r="AO323" s="5"/>
      <c r="AP323" s="5"/>
      <c r="AQ323" s="4"/>
      <c r="AR323" s="6"/>
      <c r="AS323" s="4">
        <v>14</v>
      </c>
      <c r="AT323" s="6">
        <v>467.28</v>
      </c>
      <c r="AU323" s="5"/>
      <c r="AV323" s="5"/>
      <c r="AW323" s="4"/>
      <c r="AX323" s="6"/>
      <c r="AY323" s="4">
        <v>19</v>
      </c>
      <c r="AZ323" s="6">
        <v>588.55</v>
      </c>
      <c r="BA323" s="5"/>
      <c r="BB323" s="5"/>
      <c r="BC323" s="4"/>
      <c r="BD323" s="6"/>
      <c r="BE323" s="4">
        <v>12</v>
      </c>
      <c r="BF323" s="6">
        <v>434.1</v>
      </c>
      <c r="BG323" s="5"/>
      <c r="BH323" s="5"/>
      <c r="BI323" s="4"/>
      <c r="BJ323" s="6"/>
      <c r="BK323" s="4">
        <v>3</v>
      </c>
      <c r="BL323" s="6">
        <v>89.47</v>
      </c>
      <c r="BM323" s="5"/>
      <c r="BN323" s="5"/>
      <c r="BO323" s="4"/>
      <c r="BP323" s="6"/>
      <c r="BQ323" s="4">
        <v>1</v>
      </c>
      <c r="BR323" s="6">
        <v>35.23</v>
      </c>
      <c r="BS323" s="5"/>
      <c r="BT323" s="5"/>
      <c r="BU323" s="4"/>
      <c r="BV323" s="6"/>
      <c r="BW323" s="4"/>
      <c r="BX323" s="6"/>
      <c r="BY323" s="5"/>
      <c r="BZ323" s="5"/>
      <c r="CA323" s="4"/>
      <c r="CB323" s="6"/>
      <c r="CC323" s="4">
        <v>3</v>
      </c>
      <c r="CD323" s="6">
        <v>86.47</v>
      </c>
      <c r="CE323" s="5"/>
      <c r="CF323" s="5"/>
      <c r="CG323" s="4"/>
      <c r="CH323" s="6"/>
      <c r="CI323" s="4">
        <v>4</v>
      </c>
      <c r="CJ323" s="6">
        <v>141.68</v>
      </c>
      <c r="CK323" s="5"/>
      <c r="CL323" s="5"/>
      <c r="CM323" s="4"/>
      <c r="CN323" s="6"/>
      <c r="CO323" s="4"/>
      <c r="CP323" s="6"/>
      <c r="CQ323" s="5"/>
      <c r="CR323" s="5"/>
      <c r="CS323" s="4"/>
      <c r="CT323" s="6"/>
      <c r="CU323" s="4">
        <v>1</v>
      </c>
      <c r="CV323" s="6">
        <v>33.81</v>
      </c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/>
      <c r="DX323" s="6"/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/>
      <c r="EJ323" s="6"/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>
        <v>1</v>
      </c>
      <c r="FV323" s="6">
        <v>32</v>
      </c>
      <c r="FW323" s="5"/>
      <c r="FX323" s="5"/>
      <c r="FY323" s="4"/>
      <c r="FZ323" s="6"/>
      <c r="GA323" s="4">
        <v>3</v>
      </c>
      <c r="GB323" s="6">
        <v>90.51</v>
      </c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  <c r="IA323" s="4"/>
      <c r="IB323" s="6"/>
      <c r="IC323" s="4"/>
      <c r="ID323" s="6"/>
      <c r="IE323" s="5"/>
      <c r="IF323" s="5"/>
      <c r="IG323" s="4"/>
      <c r="IH323" s="6"/>
      <c r="II323" s="4"/>
      <c r="IJ323" s="6"/>
      <c r="IK323" s="5"/>
      <c r="IL323" s="5"/>
      <c r="IM323" s="4"/>
      <c r="IN323" s="6"/>
      <c r="IO323" s="4"/>
      <c r="IP323" s="6"/>
      <c r="IQ323" s="5"/>
      <c r="IR323" s="5"/>
      <c r="IS323" s="4"/>
      <c r="IT323" s="6"/>
      <c r="IU323" s="4"/>
      <c r="IV323" s="6"/>
      <c r="IW323" s="5"/>
      <c r="IX323" s="5"/>
      <c r="IY323" s="4"/>
      <c r="IZ323" s="6"/>
      <c r="JA323" s="4"/>
      <c r="JB323" s="6"/>
      <c r="JC323" s="5"/>
      <c r="JD323" s="5"/>
      <c r="JE323" s="4"/>
      <c r="JF323" s="6"/>
      <c r="JG323" s="4"/>
      <c r="JH323" s="6"/>
      <c r="JI323" s="5"/>
      <c r="JJ323" s="5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</row>
    <row r="324">
      <c r="A324" s="3" t="s">
        <v>136</v>
      </c>
      <c r="B324" s="3" t="s">
        <v>205</v>
      </c>
      <c r="C324" s="3" t="s">
        <v>138</v>
      </c>
      <c r="D324" s="3" t="s">
        <v>139</v>
      </c>
      <c r="E324" s="3" t="s">
        <v>206</v>
      </c>
      <c r="F324" s="3" t="s">
        <v>206</v>
      </c>
      <c r="G324" s="3" t="s">
        <v>206</v>
      </c>
      <c r="H324" s="3" t="s">
        <v>167</v>
      </c>
      <c r="I324" s="3" t="s">
        <v>282</v>
      </c>
      <c r="J324" s="3" t="s">
        <v>228</v>
      </c>
      <c r="K324" s="4"/>
      <c r="L324" s="4">
        <f>=ROUNDDOWN({0},0)</f>
      </c>
      <c r="M324" s="4">
        <v>626</v>
      </c>
      <c r="N324" s="5"/>
      <c r="O324" s="4"/>
      <c r="P324" s="4">
        <f>=ROUNDDOWN({0},0)</f>
      </c>
      <c r="Q324" s="4"/>
      <c r="R324" s="5"/>
      <c r="S324" s="4"/>
      <c r="T324" s="6"/>
      <c r="U324" s="4">
        <v>356</v>
      </c>
      <c r="V324" s="6">
        <v>11602.55</v>
      </c>
      <c r="W324" s="5"/>
      <c r="X324" s="5"/>
      <c r="Y324" s="4"/>
      <c r="Z324" s="6"/>
      <c r="AA324" s="4">
        <v>66</v>
      </c>
      <c r="AB324" s="6">
        <v>2181.34</v>
      </c>
      <c r="AC324" s="5"/>
      <c r="AD324" s="5"/>
      <c r="AE324" s="4"/>
      <c r="AF324" s="6"/>
      <c r="AG324" s="4">
        <v>9</v>
      </c>
      <c r="AH324" s="6">
        <v>307.2</v>
      </c>
      <c r="AI324" s="5"/>
      <c r="AJ324" s="5"/>
      <c r="AK324" s="4"/>
      <c r="AL324" s="6"/>
      <c r="AM324" s="4"/>
      <c r="AN324" s="6"/>
      <c r="AO324" s="5"/>
      <c r="AP324" s="5"/>
      <c r="AQ324" s="4"/>
      <c r="AR324" s="6"/>
      <c r="AS324" s="4">
        <v>48</v>
      </c>
      <c r="AT324" s="6">
        <v>1577.28</v>
      </c>
      <c r="AU324" s="5"/>
      <c r="AV324" s="5"/>
      <c r="AW324" s="4"/>
      <c r="AX324" s="6"/>
      <c r="AY324" s="4">
        <v>37</v>
      </c>
      <c r="AZ324" s="6">
        <v>1164.52</v>
      </c>
      <c r="BA324" s="5"/>
      <c r="BB324" s="5"/>
      <c r="BC324" s="4"/>
      <c r="BD324" s="6"/>
      <c r="BE324" s="4">
        <v>31</v>
      </c>
      <c r="BF324" s="6">
        <v>1063.75</v>
      </c>
      <c r="BG324" s="5"/>
      <c r="BH324" s="5"/>
      <c r="BI324" s="4"/>
      <c r="BJ324" s="6"/>
      <c r="BK324" s="4">
        <v>12</v>
      </c>
      <c r="BL324" s="6">
        <v>374.65</v>
      </c>
      <c r="BM324" s="5"/>
      <c r="BN324" s="5"/>
      <c r="BO324" s="4"/>
      <c r="BP324" s="6"/>
      <c r="BQ324" s="4"/>
      <c r="BR324" s="6"/>
      <c r="BS324" s="5"/>
      <c r="BT324" s="5"/>
      <c r="BU324" s="4"/>
      <c r="BV324" s="6"/>
      <c r="BW324" s="4">
        <v>7</v>
      </c>
      <c r="BX324" s="6">
        <v>218.91</v>
      </c>
      <c r="BY324" s="5"/>
      <c r="BZ324" s="5"/>
      <c r="CA324" s="4"/>
      <c r="CB324" s="6"/>
      <c r="CC324" s="4">
        <v>92</v>
      </c>
      <c r="CD324" s="6">
        <v>2814.76</v>
      </c>
      <c r="CE324" s="5"/>
      <c r="CF324" s="5"/>
      <c r="CG324" s="4"/>
      <c r="CH324" s="6"/>
      <c r="CI324" s="4">
        <v>40</v>
      </c>
      <c r="CJ324" s="6">
        <v>1412.4</v>
      </c>
      <c r="CK324" s="5"/>
      <c r="CL324" s="5"/>
      <c r="CM324" s="4"/>
      <c r="CN324" s="6"/>
      <c r="CO324" s="4"/>
      <c r="CP324" s="6"/>
      <c r="CQ324" s="5"/>
      <c r="CR324" s="5"/>
      <c r="CS324" s="4"/>
      <c r="CT324" s="6"/>
      <c r="CU324" s="4">
        <v>4</v>
      </c>
      <c r="CV324" s="6">
        <v>118.86</v>
      </c>
      <c r="CW324" s="5"/>
      <c r="CX324" s="5"/>
      <c r="CY324" s="4"/>
      <c r="CZ324" s="6"/>
      <c r="DA324" s="4">
        <v>8</v>
      </c>
      <c r="DB324" s="6">
        <v>298.48</v>
      </c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/>
      <c r="EV324" s="6"/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>
        <v>2</v>
      </c>
      <c r="FV324" s="6">
        <v>70.4</v>
      </c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  <c r="IA324" s="4"/>
      <c r="IB324" s="6"/>
      <c r="IC324" s="4"/>
      <c r="ID324" s="6"/>
      <c r="IE324" s="5"/>
      <c r="IF324" s="5"/>
      <c r="IG324" s="4"/>
      <c r="IH324" s="6"/>
      <c r="II324" s="4"/>
      <c r="IJ324" s="6"/>
      <c r="IK324" s="5"/>
      <c r="IL324" s="5"/>
      <c r="IM324" s="4"/>
      <c r="IN324" s="6"/>
      <c r="IO324" s="4"/>
      <c r="IP324" s="6"/>
      <c r="IQ324" s="5"/>
      <c r="IR324" s="5"/>
      <c r="IS324" s="4"/>
      <c r="IT324" s="6"/>
      <c r="IU324" s="4"/>
      <c r="IV324" s="6"/>
      <c r="IW324" s="5"/>
      <c r="IX324" s="5"/>
      <c r="IY324" s="4"/>
      <c r="IZ324" s="6"/>
      <c r="JA324" s="4"/>
      <c r="JB324" s="6"/>
      <c r="JC324" s="5"/>
      <c r="JD324" s="5"/>
      <c r="JE324" s="4"/>
      <c r="JF324" s="6"/>
      <c r="JG324" s="4"/>
      <c r="JH324" s="6"/>
      <c r="JI324" s="5"/>
      <c r="JJ324" s="5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>
        <v>626</v>
      </c>
      <c r="LF324" s="4"/>
      <c r="LG324" s="4"/>
      <c r="LH324" s="4"/>
      <c r="LI324" s="4"/>
      <c r="LJ324" s="4"/>
      <c r="LK324" s="4"/>
      <c r="LL324" s="4"/>
      <c r="LM324" s="4"/>
    </row>
    <row r="325">
      <c r="A325" s="3" t="s">
        <v>136</v>
      </c>
      <c r="B325" s="3" t="s">
        <v>205</v>
      </c>
      <c r="C325" s="3" t="s">
        <v>138</v>
      </c>
      <c r="D325" s="3" t="s">
        <v>139</v>
      </c>
      <c r="E325" s="3" t="s">
        <v>206</v>
      </c>
      <c r="F325" s="3" t="s">
        <v>206</v>
      </c>
      <c r="G325" s="3" t="s">
        <v>206</v>
      </c>
      <c r="H325" s="3" t="s">
        <v>167</v>
      </c>
      <c r="I325" s="3" t="s">
        <v>364</v>
      </c>
      <c r="J325" s="3" t="s">
        <v>228</v>
      </c>
      <c r="K325" s="4"/>
      <c r="L325" s="4">
        <f>=ROUNDDOWN({0},0)</f>
      </c>
      <c r="M325" s="4">
        <v>264</v>
      </c>
      <c r="N325" s="5"/>
      <c r="O325" s="4"/>
      <c r="P325" s="4">
        <f>=ROUNDDOWN({0},0)</f>
      </c>
      <c r="Q325" s="4"/>
      <c r="R325" s="5"/>
      <c r="S325" s="4"/>
      <c r="T325" s="6"/>
      <c r="U325" s="4">
        <v>95</v>
      </c>
      <c r="V325" s="6">
        <v>3422.86</v>
      </c>
      <c r="W325" s="5"/>
      <c r="X325" s="5"/>
      <c r="Y325" s="4"/>
      <c r="Z325" s="6"/>
      <c r="AA325" s="4">
        <v>17</v>
      </c>
      <c r="AB325" s="6">
        <v>618.63</v>
      </c>
      <c r="AC325" s="5"/>
      <c r="AD325" s="5"/>
      <c r="AE325" s="4"/>
      <c r="AF325" s="6"/>
      <c r="AG325" s="4"/>
      <c r="AH325" s="6"/>
      <c r="AI325" s="5"/>
      <c r="AJ325" s="5"/>
      <c r="AK325" s="4"/>
      <c r="AL325" s="6"/>
      <c r="AM325" s="4"/>
      <c r="AN325" s="6"/>
      <c r="AO325" s="5"/>
      <c r="AP325" s="5"/>
      <c r="AQ325" s="4"/>
      <c r="AR325" s="6"/>
      <c r="AS325" s="4">
        <v>19</v>
      </c>
      <c r="AT325" s="6">
        <v>659.01</v>
      </c>
      <c r="AU325" s="5"/>
      <c r="AV325" s="5"/>
      <c r="AW325" s="4"/>
      <c r="AX325" s="6"/>
      <c r="AY325" s="4">
        <v>5</v>
      </c>
      <c r="AZ325" s="6">
        <v>177.5</v>
      </c>
      <c r="BA325" s="5"/>
      <c r="BB325" s="5"/>
      <c r="BC325" s="4"/>
      <c r="BD325" s="6"/>
      <c r="BE325" s="4">
        <v>12</v>
      </c>
      <c r="BF325" s="6">
        <v>474</v>
      </c>
      <c r="BG325" s="5"/>
      <c r="BH325" s="5"/>
      <c r="BI325" s="4"/>
      <c r="BJ325" s="6"/>
      <c r="BK325" s="4">
        <v>2</v>
      </c>
      <c r="BL325" s="6">
        <v>67.1</v>
      </c>
      <c r="BM325" s="5"/>
      <c r="BN325" s="5"/>
      <c r="BO325" s="4"/>
      <c r="BP325" s="6"/>
      <c r="BQ325" s="4"/>
      <c r="BR325" s="6"/>
      <c r="BS325" s="5"/>
      <c r="BT325" s="5"/>
      <c r="BU325" s="4"/>
      <c r="BV325" s="6"/>
      <c r="BW325" s="4"/>
      <c r="BX325" s="6"/>
      <c r="BY325" s="5"/>
      <c r="BZ325" s="5"/>
      <c r="CA325" s="4"/>
      <c r="CB325" s="6"/>
      <c r="CC325" s="4"/>
      <c r="CD325" s="6"/>
      <c r="CE325" s="5"/>
      <c r="CF325" s="5"/>
      <c r="CG325" s="4"/>
      <c r="CH325" s="6"/>
      <c r="CI325" s="4">
        <v>28</v>
      </c>
      <c r="CJ325" s="6">
        <v>970.2</v>
      </c>
      <c r="CK325" s="5"/>
      <c r="CL325" s="5"/>
      <c r="CM325" s="4"/>
      <c r="CN325" s="6"/>
      <c r="CO325" s="4"/>
      <c r="CP325" s="6"/>
      <c r="CQ325" s="5"/>
      <c r="CR325" s="5"/>
      <c r="CS325" s="4"/>
      <c r="CT325" s="6"/>
      <c r="CU325" s="4"/>
      <c r="CV325" s="6"/>
      <c r="CW325" s="5"/>
      <c r="CX325" s="5"/>
      <c r="CY325" s="4"/>
      <c r="CZ325" s="6"/>
      <c r="DA325" s="4">
        <v>10</v>
      </c>
      <c r="DB325" s="6">
        <v>388.8</v>
      </c>
      <c r="DC325" s="5"/>
      <c r="DD325" s="5"/>
      <c r="DE325" s="4"/>
      <c r="DF325" s="6"/>
      <c r="DG325" s="4"/>
      <c r="DH325" s="6"/>
      <c r="DI325" s="5"/>
      <c r="DJ325" s="5"/>
      <c r="DK325" s="4"/>
      <c r="DL325" s="6"/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/>
      <c r="ED325" s="6"/>
      <c r="EE325" s="4"/>
      <c r="EF325" s="6"/>
      <c r="EG325" s="5"/>
      <c r="EH325" s="5"/>
      <c r="EI325" s="4"/>
      <c r="EJ325" s="6"/>
      <c r="EK325" s="4"/>
      <c r="EL325" s="6"/>
      <c r="EM325" s="5"/>
      <c r="EN325" s="5"/>
      <c r="EO325" s="4"/>
      <c r="EP325" s="6"/>
      <c r="EQ325" s="4"/>
      <c r="ER325" s="6"/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/>
      <c r="FV325" s="6"/>
      <c r="FW325" s="5"/>
      <c r="FX325" s="5"/>
      <c r="FY325" s="4"/>
      <c r="FZ325" s="6"/>
      <c r="GA325" s="4">
        <v>2</v>
      </c>
      <c r="GB325" s="6">
        <v>67.62</v>
      </c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  <c r="IA325" s="4"/>
      <c r="IB325" s="6"/>
      <c r="IC325" s="4"/>
      <c r="ID325" s="6"/>
      <c r="IE325" s="5"/>
      <c r="IF325" s="5"/>
      <c r="IG325" s="4"/>
      <c r="IH325" s="6"/>
      <c r="II325" s="4"/>
      <c r="IJ325" s="6"/>
      <c r="IK325" s="5"/>
      <c r="IL325" s="5"/>
      <c r="IM325" s="4"/>
      <c r="IN325" s="6"/>
      <c r="IO325" s="4"/>
      <c r="IP325" s="6"/>
      <c r="IQ325" s="5"/>
      <c r="IR325" s="5"/>
      <c r="IS325" s="4"/>
      <c r="IT325" s="6"/>
      <c r="IU325" s="4"/>
      <c r="IV325" s="6"/>
      <c r="IW325" s="5"/>
      <c r="IX325" s="5"/>
      <c r="IY325" s="4"/>
      <c r="IZ325" s="6"/>
      <c r="JA325" s="4"/>
      <c r="JB325" s="6"/>
      <c r="JC325" s="5"/>
      <c r="JD325" s="5"/>
      <c r="JE325" s="4"/>
      <c r="JF325" s="6"/>
      <c r="JG325" s="4"/>
      <c r="JH325" s="6"/>
      <c r="JI325" s="5"/>
      <c r="JJ325" s="5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>
        <v>264</v>
      </c>
      <c r="LF325" s="4"/>
      <c r="LG325" s="4"/>
      <c r="LH325" s="4"/>
      <c r="LI325" s="4"/>
      <c r="LJ325" s="4"/>
      <c r="LK325" s="4"/>
      <c r="LL325" s="4"/>
      <c r="LM325" s="4"/>
    </row>
    <row r="326">
      <c r="A326" s="3" t="s">
        <v>136</v>
      </c>
      <c r="B326" s="3" t="s">
        <v>205</v>
      </c>
      <c r="C326" s="3" t="s">
        <v>138</v>
      </c>
      <c r="D326" s="3" t="s">
        <v>139</v>
      </c>
      <c r="E326" s="3" t="s">
        <v>206</v>
      </c>
      <c r="F326" s="3" t="s">
        <v>206</v>
      </c>
      <c r="G326" s="3" t="s">
        <v>206</v>
      </c>
      <c r="H326" s="3" t="s">
        <v>167</v>
      </c>
      <c r="I326" s="3" t="s">
        <v>365</v>
      </c>
      <c r="J326" s="3" t="s">
        <v>228</v>
      </c>
      <c r="K326" s="4"/>
      <c r="L326" s="4">
        <f>=ROUNDDOWN({0},0)</f>
      </c>
      <c r="M326" s="4">
        <v>367</v>
      </c>
      <c r="N326" s="5"/>
      <c r="O326" s="4"/>
      <c r="P326" s="4">
        <f>=ROUNDDOWN({0},0)</f>
      </c>
      <c r="Q326" s="4"/>
      <c r="R326" s="5"/>
      <c r="S326" s="4"/>
      <c r="T326" s="6"/>
      <c r="U326" s="4">
        <v>228</v>
      </c>
      <c r="V326" s="6">
        <v>7466.59</v>
      </c>
      <c r="W326" s="5"/>
      <c r="X326" s="5"/>
      <c r="Y326" s="4"/>
      <c r="Z326" s="6"/>
      <c r="AA326" s="4">
        <v>107</v>
      </c>
      <c r="AB326" s="6">
        <v>3487.73</v>
      </c>
      <c r="AC326" s="5"/>
      <c r="AD326" s="5"/>
      <c r="AE326" s="4"/>
      <c r="AF326" s="6"/>
      <c r="AG326" s="4">
        <v>5</v>
      </c>
      <c r="AH326" s="6">
        <v>179.2</v>
      </c>
      <c r="AI326" s="5"/>
      <c r="AJ326" s="5"/>
      <c r="AK326" s="4"/>
      <c r="AL326" s="6"/>
      <c r="AM326" s="4"/>
      <c r="AN326" s="6"/>
      <c r="AO326" s="5"/>
      <c r="AP326" s="5"/>
      <c r="AQ326" s="4"/>
      <c r="AR326" s="6"/>
      <c r="AS326" s="4">
        <v>34</v>
      </c>
      <c r="AT326" s="6">
        <v>1054.28</v>
      </c>
      <c r="AU326" s="5"/>
      <c r="AV326" s="5"/>
      <c r="AW326" s="4"/>
      <c r="AX326" s="6"/>
      <c r="AY326" s="4">
        <v>15</v>
      </c>
      <c r="AZ326" s="6">
        <v>463.74</v>
      </c>
      <c r="BA326" s="5"/>
      <c r="BB326" s="5"/>
      <c r="BC326" s="4"/>
      <c r="BD326" s="6"/>
      <c r="BE326" s="4">
        <v>16</v>
      </c>
      <c r="BF326" s="6">
        <v>585.94</v>
      </c>
      <c r="BG326" s="5"/>
      <c r="BH326" s="5"/>
      <c r="BI326" s="4"/>
      <c r="BJ326" s="6"/>
      <c r="BK326" s="4">
        <v>6</v>
      </c>
      <c r="BL326" s="6">
        <v>167.76</v>
      </c>
      <c r="BM326" s="5"/>
      <c r="BN326" s="5"/>
      <c r="BO326" s="4"/>
      <c r="BP326" s="6"/>
      <c r="BQ326" s="4"/>
      <c r="BR326" s="6"/>
      <c r="BS326" s="5"/>
      <c r="BT326" s="5"/>
      <c r="BU326" s="4"/>
      <c r="BV326" s="6"/>
      <c r="BW326" s="4">
        <v>5</v>
      </c>
      <c r="BX326" s="6">
        <v>155.54</v>
      </c>
      <c r="BY326" s="5"/>
      <c r="BZ326" s="5"/>
      <c r="CA326" s="4"/>
      <c r="CB326" s="6"/>
      <c r="CC326" s="4">
        <v>3</v>
      </c>
      <c r="CD326" s="6">
        <v>112.28</v>
      </c>
      <c r="CE326" s="5"/>
      <c r="CF326" s="5"/>
      <c r="CG326" s="4"/>
      <c r="CH326" s="6"/>
      <c r="CI326" s="4">
        <v>11</v>
      </c>
      <c r="CJ326" s="6">
        <v>398.08</v>
      </c>
      <c r="CK326" s="5"/>
      <c r="CL326" s="5"/>
      <c r="CM326" s="4"/>
      <c r="CN326" s="6"/>
      <c r="CO326" s="4"/>
      <c r="CP326" s="6"/>
      <c r="CQ326" s="5"/>
      <c r="CR326" s="5"/>
      <c r="CS326" s="4"/>
      <c r="CT326" s="6"/>
      <c r="CU326" s="4">
        <v>12</v>
      </c>
      <c r="CV326" s="6">
        <v>378.42</v>
      </c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/>
      <c r="DX326" s="6"/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/>
      <c r="EJ326" s="6"/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>
        <v>12</v>
      </c>
      <c r="FV326" s="6">
        <v>416</v>
      </c>
      <c r="FW326" s="5"/>
      <c r="FX326" s="5"/>
      <c r="FY326" s="4"/>
      <c r="FZ326" s="6"/>
      <c r="GA326" s="4">
        <v>2</v>
      </c>
      <c r="GB326" s="6">
        <v>67.62</v>
      </c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  <c r="IA326" s="4"/>
      <c r="IB326" s="6"/>
      <c r="IC326" s="4"/>
      <c r="ID326" s="6"/>
      <c r="IE326" s="5"/>
      <c r="IF326" s="5"/>
      <c r="IG326" s="4"/>
      <c r="IH326" s="6"/>
      <c r="II326" s="4"/>
      <c r="IJ326" s="6"/>
      <c r="IK326" s="5"/>
      <c r="IL326" s="5"/>
      <c r="IM326" s="4"/>
      <c r="IN326" s="6"/>
      <c r="IO326" s="4"/>
      <c r="IP326" s="6"/>
      <c r="IQ326" s="5"/>
      <c r="IR326" s="5"/>
      <c r="IS326" s="4"/>
      <c r="IT326" s="6"/>
      <c r="IU326" s="4"/>
      <c r="IV326" s="6"/>
      <c r="IW326" s="5"/>
      <c r="IX326" s="5"/>
      <c r="IY326" s="4"/>
      <c r="IZ326" s="6"/>
      <c r="JA326" s="4"/>
      <c r="JB326" s="6"/>
      <c r="JC326" s="5"/>
      <c r="JD326" s="5"/>
      <c r="JE326" s="4"/>
      <c r="JF326" s="6"/>
      <c r="JG326" s="4"/>
      <c r="JH326" s="6"/>
      <c r="JI326" s="5"/>
      <c r="JJ326" s="5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>
        <v>367</v>
      </c>
      <c r="LF326" s="4"/>
      <c r="LG326" s="4"/>
      <c r="LH326" s="4"/>
      <c r="LI326" s="4"/>
      <c r="LJ326" s="4"/>
      <c r="LK326" s="4"/>
      <c r="LL326" s="4"/>
      <c r="LM326" s="4"/>
    </row>
    <row r="327">
      <c r="A327" s="3" t="s">
        <v>136</v>
      </c>
      <c r="B327" s="3" t="s">
        <v>205</v>
      </c>
      <c r="C327" s="3" t="s">
        <v>138</v>
      </c>
      <c r="D327" s="3" t="s">
        <v>139</v>
      </c>
      <c r="E327" s="3" t="s">
        <v>206</v>
      </c>
      <c r="F327" s="3" t="s">
        <v>206</v>
      </c>
      <c r="G327" s="3" t="s">
        <v>206</v>
      </c>
      <c r="H327" s="3" t="s">
        <v>167</v>
      </c>
      <c r="I327" s="3" t="s">
        <v>366</v>
      </c>
      <c r="J327" s="3" t="s">
        <v>241</v>
      </c>
      <c r="K327" s="4"/>
      <c r="L327" s="4">
        <f>=ROUNDDOWN({0},0)</f>
      </c>
      <c r="M327" s="4"/>
      <c r="N327" s="5"/>
      <c r="O327" s="4"/>
      <c r="P327" s="4">
        <f>=ROUNDDOWN({0},0)</f>
      </c>
      <c r="Q327" s="4"/>
      <c r="R327" s="5"/>
      <c r="S327" s="4"/>
      <c r="T327" s="6"/>
      <c r="U327" s="4">
        <v>171</v>
      </c>
      <c r="V327" s="6">
        <v>5460.54</v>
      </c>
      <c r="W327" s="5"/>
      <c r="X327" s="5"/>
      <c r="Y327" s="4"/>
      <c r="Z327" s="6"/>
      <c r="AA327" s="4">
        <v>48</v>
      </c>
      <c r="AB327" s="6">
        <v>1503.12</v>
      </c>
      <c r="AC327" s="5"/>
      <c r="AD327" s="5"/>
      <c r="AE327" s="4"/>
      <c r="AF327" s="6"/>
      <c r="AG327" s="4">
        <v>4</v>
      </c>
      <c r="AH327" s="6">
        <v>128</v>
      </c>
      <c r="AI327" s="5"/>
      <c r="AJ327" s="5"/>
      <c r="AK327" s="4"/>
      <c r="AL327" s="6"/>
      <c r="AM327" s="4"/>
      <c r="AN327" s="6"/>
      <c r="AO327" s="5"/>
      <c r="AP327" s="5"/>
      <c r="AQ327" s="4"/>
      <c r="AR327" s="6"/>
      <c r="AS327" s="4">
        <v>26</v>
      </c>
      <c r="AT327" s="6">
        <v>785.5</v>
      </c>
      <c r="AU327" s="5"/>
      <c r="AV327" s="5"/>
      <c r="AW327" s="4"/>
      <c r="AX327" s="6"/>
      <c r="AY327" s="4">
        <v>22</v>
      </c>
      <c r="AZ327" s="6">
        <v>660.67</v>
      </c>
      <c r="BA327" s="5"/>
      <c r="BB327" s="5"/>
      <c r="BC327" s="4"/>
      <c r="BD327" s="6"/>
      <c r="BE327" s="4">
        <v>20</v>
      </c>
      <c r="BF327" s="6">
        <v>697.88</v>
      </c>
      <c r="BG327" s="5"/>
      <c r="BH327" s="5"/>
      <c r="BI327" s="4"/>
      <c r="BJ327" s="6"/>
      <c r="BK327" s="4">
        <v>2</v>
      </c>
      <c r="BL327" s="6">
        <v>55.92</v>
      </c>
      <c r="BM327" s="5"/>
      <c r="BN327" s="5"/>
      <c r="BO327" s="4"/>
      <c r="BP327" s="6"/>
      <c r="BQ327" s="4"/>
      <c r="BR327" s="6"/>
      <c r="BS327" s="5"/>
      <c r="BT327" s="5"/>
      <c r="BU327" s="4"/>
      <c r="BV327" s="6"/>
      <c r="BW327" s="4">
        <v>7</v>
      </c>
      <c r="BX327" s="6">
        <v>201.6</v>
      </c>
      <c r="BY327" s="5"/>
      <c r="BZ327" s="5"/>
      <c r="CA327" s="4"/>
      <c r="CB327" s="6"/>
      <c r="CC327" s="4"/>
      <c r="CD327" s="6"/>
      <c r="CE327" s="5"/>
      <c r="CF327" s="5"/>
      <c r="CG327" s="4"/>
      <c r="CH327" s="6"/>
      <c r="CI327" s="4">
        <v>20</v>
      </c>
      <c r="CJ327" s="6">
        <v>681.46</v>
      </c>
      <c r="CK327" s="5"/>
      <c r="CL327" s="5"/>
      <c r="CM327" s="4"/>
      <c r="CN327" s="6"/>
      <c r="CO327" s="4"/>
      <c r="CP327" s="6"/>
      <c r="CQ327" s="5"/>
      <c r="CR327" s="5"/>
      <c r="CS327" s="4"/>
      <c r="CT327" s="6"/>
      <c r="CU327" s="4">
        <v>2</v>
      </c>
      <c r="CV327" s="6">
        <v>56.7</v>
      </c>
      <c r="CW327" s="5"/>
      <c r="CX327" s="5"/>
      <c r="CY327" s="4"/>
      <c r="CZ327" s="6"/>
      <c r="DA327" s="4">
        <v>17</v>
      </c>
      <c r="DB327" s="6">
        <v>591.88</v>
      </c>
      <c r="DC327" s="5"/>
      <c r="DD327" s="5"/>
      <c r="DE327" s="4"/>
      <c r="DF327" s="6"/>
      <c r="DG327" s="4"/>
      <c r="DH327" s="6"/>
      <c r="DI327" s="5"/>
      <c r="DJ327" s="5"/>
      <c r="DK327" s="4"/>
      <c r="DL327" s="6"/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/>
      <c r="EJ327" s="6"/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/>
      <c r="EV327" s="6"/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>
        <v>2</v>
      </c>
      <c r="FV327" s="6">
        <v>64</v>
      </c>
      <c r="FW327" s="5"/>
      <c r="FX327" s="5"/>
      <c r="FY327" s="4"/>
      <c r="FZ327" s="6"/>
      <c r="GA327" s="4">
        <v>1</v>
      </c>
      <c r="GB327" s="6">
        <v>33.81</v>
      </c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  <c r="IA327" s="4"/>
      <c r="IB327" s="6"/>
      <c r="IC327" s="4"/>
      <c r="ID327" s="6"/>
      <c r="IE327" s="5"/>
      <c r="IF327" s="5"/>
      <c r="IG327" s="4"/>
      <c r="IH327" s="6"/>
      <c r="II327" s="4"/>
      <c r="IJ327" s="6"/>
      <c r="IK327" s="5"/>
      <c r="IL327" s="5"/>
      <c r="IM327" s="4"/>
      <c r="IN327" s="6"/>
      <c r="IO327" s="4"/>
      <c r="IP327" s="6"/>
      <c r="IQ327" s="5"/>
      <c r="IR327" s="5"/>
      <c r="IS327" s="4"/>
      <c r="IT327" s="6"/>
      <c r="IU327" s="4"/>
      <c r="IV327" s="6"/>
      <c r="IW327" s="5"/>
      <c r="IX327" s="5"/>
      <c r="IY327" s="4"/>
      <c r="IZ327" s="6"/>
      <c r="JA327" s="4"/>
      <c r="JB327" s="6"/>
      <c r="JC327" s="5"/>
      <c r="JD327" s="5"/>
      <c r="JE327" s="4"/>
      <c r="JF327" s="6"/>
      <c r="JG327" s="4"/>
      <c r="JH327" s="6"/>
      <c r="JI327" s="5"/>
      <c r="JJ327" s="5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</row>
    <row r="328">
      <c r="A328" s="3" t="s">
        <v>136</v>
      </c>
      <c r="B328" s="3" t="s">
        <v>205</v>
      </c>
      <c r="C328" s="3" t="s">
        <v>138</v>
      </c>
      <c r="D328" s="3" t="s">
        <v>139</v>
      </c>
      <c r="E328" s="3" t="s">
        <v>206</v>
      </c>
      <c r="F328" s="3" t="s">
        <v>206</v>
      </c>
      <c r="G328" s="3" t="s">
        <v>206</v>
      </c>
      <c r="H328" s="3" t="s">
        <v>167</v>
      </c>
      <c r="I328" s="3" t="s">
        <v>367</v>
      </c>
      <c r="J328" s="3" t="s">
        <v>241</v>
      </c>
      <c r="K328" s="4"/>
      <c r="L328" s="4">
        <f>=ROUNDDOWN({0},0)</f>
      </c>
      <c r="M328" s="4"/>
      <c r="N328" s="5"/>
      <c r="O328" s="4"/>
      <c r="P328" s="4">
        <f>=ROUNDDOWN({0},0)</f>
      </c>
      <c r="Q328" s="4"/>
      <c r="R328" s="5"/>
      <c r="S328" s="4"/>
      <c r="T328" s="6"/>
      <c r="U328" s="4">
        <v>262</v>
      </c>
      <c r="V328" s="6">
        <v>8722.54</v>
      </c>
      <c r="W328" s="5"/>
      <c r="X328" s="5"/>
      <c r="Y328" s="4"/>
      <c r="Z328" s="6"/>
      <c r="AA328" s="4">
        <v>102</v>
      </c>
      <c r="AB328" s="6">
        <v>3282.58</v>
      </c>
      <c r="AC328" s="5"/>
      <c r="AD328" s="5"/>
      <c r="AE328" s="4"/>
      <c r="AF328" s="6"/>
      <c r="AG328" s="4">
        <v>7</v>
      </c>
      <c r="AH328" s="6">
        <v>236.8</v>
      </c>
      <c r="AI328" s="5"/>
      <c r="AJ328" s="5"/>
      <c r="AK328" s="4"/>
      <c r="AL328" s="6"/>
      <c r="AM328" s="4"/>
      <c r="AN328" s="6"/>
      <c r="AO328" s="5"/>
      <c r="AP328" s="5"/>
      <c r="AQ328" s="4"/>
      <c r="AR328" s="6"/>
      <c r="AS328" s="4">
        <v>40</v>
      </c>
      <c r="AT328" s="6">
        <v>1365.36</v>
      </c>
      <c r="AU328" s="5"/>
      <c r="AV328" s="5"/>
      <c r="AW328" s="4"/>
      <c r="AX328" s="6"/>
      <c r="AY328" s="4">
        <v>37</v>
      </c>
      <c r="AZ328" s="6">
        <v>1147.33</v>
      </c>
      <c r="BA328" s="5"/>
      <c r="BB328" s="5"/>
      <c r="BC328" s="4"/>
      <c r="BD328" s="6"/>
      <c r="BE328" s="4">
        <v>26</v>
      </c>
      <c r="BF328" s="6">
        <v>973.1</v>
      </c>
      <c r="BG328" s="5"/>
      <c r="BH328" s="5"/>
      <c r="BI328" s="4"/>
      <c r="BJ328" s="6"/>
      <c r="BK328" s="4">
        <v>8</v>
      </c>
      <c r="BL328" s="6">
        <v>246.04</v>
      </c>
      <c r="BM328" s="5"/>
      <c r="BN328" s="5"/>
      <c r="BO328" s="4"/>
      <c r="BP328" s="6"/>
      <c r="BQ328" s="4">
        <v>1</v>
      </c>
      <c r="BR328" s="6">
        <v>29.35</v>
      </c>
      <c r="BS328" s="5"/>
      <c r="BT328" s="5"/>
      <c r="BU328" s="4"/>
      <c r="BV328" s="6"/>
      <c r="BW328" s="4">
        <v>8</v>
      </c>
      <c r="BX328" s="6">
        <v>241.94</v>
      </c>
      <c r="BY328" s="5"/>
      <c r="BZ328" s="5"/>
      <c r="CA328" s="4"/>
      <c r="CB328" s="6"/>
      <c r="CC328" s="4">
        <v>2</v>
      </c>
      <c r="CD328" s="6">
        <v>62.14</v>
      </c>
      <c r="CE328" s="5"/>
      <c r="CF328" s="5"/>
      <c r="CG328" s="4"/>
      <c r="CH328" s="6"/>
      <c r="CI328" s="4">
        <v>1</v>
      </c>
      <c r="CJ328" s="6">
        <v>35.31</v>
      </c>
      <c r="CK328" s="5"/>
      <c r="CL328" s="5"/>
      <c r="CM328" s="4"/>
      <c r="CN328" s="6"/>
      <c r="CO328" s="4"/>
      <c r="CP328" s="6"/>
      <c r="CQ328" s="5"/>
      <c r="CR328" s="5"/>
      <c r="CS328" s="4"/>
      <c r="CT328" s="6"/>
      <c r="CU328" s="4">
        <v>1</v>
      </c>
      <c r="CV328" s="6">
        <v>28.35</v>
      </c>
      <c r="CW328" s="5"/>
      <c r="CX328" s="5"/>
      <c r="CY328" s="4"/>
      <c r="CZ328" s="6"/>
      <c r="DA328" s="4">
        <v>27</v>
      </c>
      <c r="DB328" s="6">
        <v>1012.08</v>
      </c>
      <c r="DC328" s="5"/>
      <c r="DD328" s="5"/>
      <c r="DE328" s="4"/>
      <c r="DF328" s="6"/>
      <c r="DG328" s="4"/>
      <c r="DH328" s="6"/>
      <c r="DI328" s="5"/>
      <c r="DJ328" s="5"/>
      <c r="DK328" s="4"/>
      <c r="DL328" s="6"/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/>
      <c r="FV328" s="6"/>
      <c r="FW328" s="5"/>
      <c r="FX328" s="5"/>
      <c r="FY328" s="4"/>
      <c r="FZ328" s="6"/>
      <c r="GA328" s="4">
        <v>2</v>
      </c>
      <c r="GB328" s="6">
        <v>62.16</v>
      </c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  <c r="IA328" s="4"/>
      <c r="IB328" s="6"/>
      <c r="IC328" s="4"/>
      <c r="ID328" s="6"/>
      <c r="IE328" s="5"/>
      <c r="IF328" s="5"/>
      <c r="IG328" s="4"/>
      <c r="IH328" s="6"/>
      <c r="II328" s="4"/>
      <c r="IJ328" s="6"/>
      <c r="IK328" s="5"/>
      <c r="IL328" s="5"/>
      <c r="IM328" s="4"/>
      <c r="IN328" s="6"/>
      <c r="IO328" s="4"/>
      <c r="IP328" s="6"/>
      <c r="IQ328" s="5"/>
      <c r="IR328" s="5"/>
      <c r="IS328" s="4"/>
      <c r="IT328" s="6"/>
      <c r="IU328" s="4"/>
      <c r="IV328" s="6"/>
      <c r="IW328" s="5"/>
      <c r="IX328" s="5"/>
      <c r="IY328" s="4"/>
      <c r="IZ328" s="6"/>
      <c r="JA328" s="4"/>
      <c r="JB328" s="6"/>
      <c r="JC328" s="5"/>
      <c r="JD328" s="5"/>
      <c r="JE328" s="4"/>
      <c r="JF328" s="6"/>
      <c r="JG328" s="4"/>
      <c r="JH328" s="6"/>
      <c r="JI328" s="5"/>
      <c r="JJ328" s="5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</row>
    <row r="329">
      <c r="A329" s="3" t="s">
        <v>136</v>
      </c>
      <c r="B329" s="3" t="s">
        <v>205</v>
      </c>
      <c r="C329" s="3" t="s">
        <v>138</v>
      </c>
      <c r="D329" s="3" t="s">
        <v>139</v>
      </c>
      <c r="E329" s="3" t="s">
        <v>206</v>
      </c>
      <c r="F329" s="3" t="s">
        <v>206</v>
      </c>
      <c r="G329" s="3" t="s">
        <v>206</v>
      </c>
      <c r="H329" s="3" t="s">
        <v>167</v>
      </c>
      <c r="I329" s="3" t="s">
        <v>368</v>
      </c>
      <c r="J329" s="3" t="s">
        <v>241</v>
      </c>
      <c r="K329" s="4"/>
      <c r="L329" s="4">
        <f>=ROUNDDOWN({0},0)</f>
      </c>
      <c r="M329" s="4"/>
      <c r="N329" s="5"/>
      <c r="O329" s="4"/>
      <c r="P329" s="4">
        <f>=ROUNDDOWN({0},0)</f>
      </c>
      <c r="Q329" s="4"/>
      <c r="R329" s="5"/>
      <c r="S329" s="4"/>
      <c r="T329" s="6"/>
      <c r="U329" s="4">
        <v>146</v>
      </c>
      <c r="V329" s="6">
        <v>4844.22</v>
      </c>
      <c r="W329" s="5"/>
      <c r="X329" s="5"/>
      <c r="Y329" s="4"/>
      <c r="Z329" s="6"/>
      <c r="AA329" s="4">
        <v>67</v>
      </c>
      <c r="AB329" s="6">
        <v>2177.13</v>
      </c>
      <c r="AC329" s="5"/>
      <c r="AD329" s="5"/>
      <c r="AE329" s="4"/>
      <c r="AF329" s="6"/>
      <c r="AG329" s="4">
        <v>4</v>
      </c>
      <c r="AH329" s="6">
        <v>140.8</v>
      </c>
      <c r="AI329" s="5"/>
      <c r="AJ329" s="5"/>
      <c r="AK329" s="4"/>
      <c r="AL329" s="6"/>
      <c r="AM329" s="4"/>
      <c r="AN329" s="6"/>
      <c r="AO329" s="5"/>
      <c r="AP329" s="5"/>
      <c r="AQ329" s="4"/>
      <c r="AR329" s="6"/>
      <c r="AS329" s="4">
        <v>12</v>
      </c>
      <c r="AT329" s="6">
        <v>418.44</v>
      </c>
      <c r="AU329" s="5"/>
      <c r="AV329" s="5"/>
      <c r="AW329" s="4"/>
      <c r="AX329" s="6"/>
      <c r="AY329" s="4">
        <v>23</v>
      </c>
      <c r="AZ329" s="6">
        <v>719.09</v>
      </c>
      <c r="BA329" s="5"/>
      <c r="BB329" s="5"/>
      <c r="BC329" s="4"/>
      <c r="BD329" s="6"/>
      <c r="BE329" s="4">
        <v>10</v>
      </c>
      <c r="BF329" s="6">
        <v>368.54</v>
      </c>
      <c r="BG329" s="5"/>
      <c r="BH329" s="5"/>
      <c r="BI329" s="4"/>
      <c r="BJ329" s="6"/>
      <c r="BK329" s="4">
        <v>4</v>
      </c>
      <c r="BL329" s="6">
        <v>117.43</v>
      </c>
      <c r="BM329" s="5"/>
      <c r="BN329" s="5"/>
      <c r="BO329" s="4"/>
      <c r="BP329" s="6"/>
      <c r="BQ329" s="4">
        <v>1</v>
      </c>
      <c r="BR329" s="6">
        <v>26.42</v>
      </c>
      <c r="BS329" s="5"/>
      <c r="BT329" s="5"/>
      <c r="BU329" s="4"/>
      <c r="BV329" s="6"/>
      <c r="BW329" s="4">
        <v>5</v>
      </c>
      <c r="BX329" s="6">
        <v>155.54</v>
      </c>
      <c r="BY329" s="5"/>
      <c r="BZ329" s="5"/>
      <c r="CA329" s="4"/>
      <c r="CB329" s="6"/>
      <c r="CC329" s="4">
        <v>2</v>
      </c>
      <c r="CD329" s="6">
        <v>67.6</v>
      </c>
      <c r="CE329" s="5"/>
      <c r="CF329" s="5"/>
      <c r="CG329" s="4"/>
      <c r="CH329" s="6"/>
      <c r="CI329" s="4">
        <v>6</v>
      </c>
      <c r="CJ329" s="6">
        <v>211.86</v>
      </c>
      <c r="CK329" s="5"/>
      <c r="CL329" s="5"/>
      <c r="CM329" s="4"/>
      <c r="CN329" s="6"/>
      <c r="CO329" s="4"/>
      <c r="CP329" s="6"/>
      <c r="CQ329" s="5"/>
      <c r="CR329" s="5"/>
      <c r="CS329" s="4"/>
      <c r="CT329" s="6"/>
      <c r="CU329" s="4">
        <v>1</v>
      </c>
      <c r="CV329" s="6">
        <v>33.81</v>
      </c>
      <c r="CW329" s="5"/>
      <c r="CX329" s="5"/>
      <c r="CY329" s="4"/>
      <c r="CZ329" s="6"/>
      <c r="DA329" s="4">
        <v>5</v>
      </c>
      <c r="DB329" s="6">
        <v>194.4</v>
      </c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>
        <v>4</v>
      </c>
      <c r="DT329" s="6">
        <v>142.76</v>
      </c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/>
      <c r="EJ329" s="6"/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/>
      <c r="EV329" s="6"/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>
        <v>2</v>
      </c>
      <c r="FV329" s="6">
        <v>70.4</v>
      </c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  <c r="IA329" s="4"/>
      <c r="IB329" s="6"/>
      <c r="IC329" s="4"/>
      <c r="ID329" s="6"/>
      <c r="IE329" s="5"/>
      <c r="IF329" s="5"/>
      <c r="IG329" s="4"/>
      <c r="IH329" s="6"/>
      <c r="II329" s="4"/>
      <c r="IJ329" s="6"/>
      <c r="IK329" s="5"/>
      <c r="IL329" s="5"/>
      <c r="IM329" s="4"/>
      <c r="IN329" s="6"/>
      <c r="IO329" s="4"/>
      <c r="IP329" s="6"/>
      <c r="IQ329" s="5"/>
      <c r="IR329" s="5"/>
      <c r="IS329" s="4"/>
      <c r="IT329" s="6"/>
      <c r="IU329" s="4"/>
      <c r="IV329" s="6"/>
      <c r="IW329" s="5"/>
      <c r="IX329" s="5"/>
      <c r="IY329" s="4"/>
      <c r="IZ329" s="6"/>
      <c r="JA329" s="4"/>
      <c r="JB329" s="6"/>
      <c r="JC329" s="5"/>
      <c r="JD329" s="5"/>
      <c r="JE329" s="4"/>
      <c r="JF329" s="6"/>
      <c r="JG329" s="4"/>
      <c r="JH329" s="6"/>
      <c r="JI329" s="5"/>
      <c r="JJ329" s="5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</row>
    <row r="330">
      <c r="A330" s="3" t="s">
        <v>136</v>
      </c>
      <c r="B330" s="3" t="s">
        <v>205</v>
      </c>
      <c r="C330" s="3" t="s">
        <v>178</v>
      </c>
      <c r="D330" s="3" t="s">
        <v>179</v>
      </c>
      <c r="E330" s="3" t="s">
        <v>167</v>
      </c>
      <c r="F330" s="3" t="s">
        <v>167</v>
      </c>
      <c r="G330" s="3" t="s">
        <v>167</v>
      </c>
      <c r="H330" s="3" t="s">
        <v>167</v>
      </c>
      <c r="I330" s="3" t="s">
        <v>369</v>
      </c>
      <c r="J330" s="3" t="s">
        <v>241</v>
      </c>
      <c r="K330" s="4"/>
      <c r="L330" s="4">
        <f>=ROUNDDOWN({0},0)</f>
      </c>
      <c r="M330" s="4"/>
      <c r="N330" s="5"/>
      <c r="O330" s="4"/>
      <c r="P330" s="4">
        <f>=ROUNDDOWN({0},0)</f>
      </c>
      <c r="Q330" s="4"/>
      <c r="R330" s="5"/>
      <c r="S330" s="4"/>
      <c r="T330" s="6"/>
      <c r="U330" s="4">
        <v>173</v>
      </c>
      <c r="V330" s="6">
        <v>5591.17</v>
      </c>
      <c r="W330" s="5"/>
      <c r="X330" s="5"/>
      <c r="Y330" s="4"/>
      <c r="Z330" s="6"/>
      <c r="AA330" s="4">
        <v>12</v>
      </c>
      <c r="AB330" s="6">
        <v>417.3</v>
      </c>
      <c r="AC330" s="5"/>
      <c r="AD330" s="5"/>
      <c r="AE330" s="4"/>
      <c r="AF330" s="6"/>
      <c r="AG330" s="4">
        <v>1</v>
      </c>
      <c r="AH330" s="6">
        <v>38.4</v>
      </c>
      <c r="AI330" s="5"/>
      <c r="AJ330" s="5"/>
      <c r="AK330" s="4"/>
      <c r="AL330" s="6"/>
      <c r="AM330" s="4"/>
      <c r="AN330" s="6"/>
      <c r="AO330" s="5"/>
      <c r="AP330" s="5"/>
      <c r="AQ330" s="4"/>
      <c r="AR330" s="6"/>
      <c r="AS330" s="4">
        <v>44</v>
      </c>
      <c r="AT330" s="6">
        <v>1828.43</v>
      </c>
      <c r="AU330" s="5"/>
      <c r="AV330" s="5"/>
      <c r="AW330" s="4"/>
      <c r="AX330" s="6"/>
      <c r="AY330" s="4">
        <v>17</v>
      </c>
      <c r="AZ330" s="6">
        <v>662.81</v>
      </c>
      <c r="BA330" s="5"/>
      <c r="BB330" s="5"/>
      <c r="BC330" s="4"/>
      <c r="BD330" s="6"/>
      <c r="BE330" s="4"/>
      <c r="BF330" s="6"/>
      <c r="BG330" s="5"/>
      <c r="BH330" s="5"/>
      <c r="BI330" s="4"/>
      <c r="BJ330" s="6"/>
      <c r="BK330" s="4">
        <v>82</v>
      </c>
      <c r="BL330" s="6">
        <v>2090.4</v>
      </c>
      <c r="BM330" s="5"/>
      <c r="BN330" s="5"/>
      <c r="BO330" s="4"/>
      <c r="BP330" s="6"/>
      <c r="BQ330" s="4">
        <v>6</v>
      </c>
      <c r="BR330" s="6">
        <v>152.28</v>
      </c>
      <c r="BS330" s="5"/>
      <c r="BT330" s="5"/>
      <c r="BU330" s="4"/>
      <c r="BV330" s="6"/>
      <c r="BW330" s="4"/>
      <c r="BX330" s="6"/>
      <c r="BY330" s="5"/>
      <c r="BZ330" s="5"/>
      <c r="CA330" s="4"/>
      <c r="CB330" s="6"/>
      <c r="CC330" s="4">
        <v>7</v>
      </c>
      <c r="CD330" s="6">
        <v>260.03</v>
      </c>
      <c r="CE330" s="5"/>
      <c r="CF330" s="5"/>
      <c r="CG330" s="4"/>
      <c r="CH330" s="6"/>
      <c r="CI330" s="4"/>
      <c r="CJ330" s="6"/>
      <c r="CK330" s="5"/>
      <c r="CL330" s="5"/>
      <c r="CM330" s="4"/>
      <c r="CN330" s="6"/>
      <c r="CO330" s="4"/>
      <c r="CP330" s="6"/>
      <c r="CQ330" s="5"/>
      <c r="CR330" s="5"/>
      <c r="CS330" s="4"/>
      <c r="CT330" s="6"/>
      <c r="CU330" s="4">
        <v>2</v>
      </c>
      <c r="CV330" s="6">
        <v>73.9</v>
      </c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/>
      <c r="EJ330" s="6"/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/>
      <c r="FV330" s="6"/>
      <c r="FW330" s="5"/>
      <c r="FX330" s="5"/>
      <c r="FY330" s="4"/>
      <c r="FZ330" s="6"/>
      <c r="GA330" s="4">
        <v>2</v>
      </c>
      <c r="GB330" s="6">
        <v>67.62</v>
      </c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  <c r="IA330" s="4"/>
      <c r="IB330" s="6"/>
      <c r="IC330" s="4"/>
      <c r="ID330" s="6"/>
      <c r="IE330" s="5"/>
      <c r="IF330" s="5"/>
      <c r="IG330" s="4"/>
      <c r="IH330" s="6"/>
      <c r="II330" s="4"/>
      <c r="IJ330" s="6"/>
      <c r="IK330" s="5"/>
      <c r="IL330" s="5"/>
      <c r="IM330" s="4"/>
      <c r="IN330" s="6"/>
      <c r="IO330" s="4"/>
      <c r="IP330" s="6"/>
      <c r="IQ330" s="5"/>
      <c r="IR330" s="5"/>
      <c r="IS330" s="4"/>
      <c r="IT330" s="6"/>
      <c r="IU330" s="4"/>
      <c r="IV330" s="6"/>
      <c r="IW330" s="5"/>
      <c r="IX330" s="5"/>
      <c r="IY330" s="4"/>
      <c r="IZ330" s="6"/>
      <c r="JA330" s="4"/>
      <c r="JB330" s="6"/>
      <c r="JC330" s="5"/>
      <c r="JD330" s="5"/>
      <c r="JE330" s="4"/>
      <c r="JF330" s="6"/>
      <c r="JG330" s="4"/>
      <c r="JH330" s="6"/>
      <c r="JI330" s="5"/>
      <c r="JJ330" s="5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  <c r="LM330" s="4"/>
    </row>
    <row r="331">
      <c r="A331" s="3" t="s">
        <v>136</v>
      </c>
      <c r="B331" s="3" t="s">
        <v>205</v>
      </c>
      <c r="C331" s="3" t="s">
        <v>178</v>
      </c>
      <c r="D331" s="3" t="s">
        <v>179</v>
      </c>
      <c r="E331" s="3" t="s">
        <v>167</v>
      </c>
      <c r="F331" s="3" t="s">
        <v>167</v>
      </c>
      <c r="G331" s="3" t="s">
        <v>167</v>
      </c>
      <c r="H331" s="3" t="s">
        <v>167</v>
      </c>
      <c r="I331" s="3" t="s">
        <v>370</v>
      </c>
      <c r="J331" s="3" t="s">
        <v>241</v>
      </c>
      <c r="K331" s="4"/>
      <c r="L331" s="4">
        <f>=ROUNDDOWN({0},0)</f>
      </c>
      <c r="M331" s="4"/>
      <c r="N331" s="5"/>
      <c r="O331" s="4"/>
      <c r="P331" s="4">
        <f>=ROUNDDOWN({0},0)</f>
      </c>
      <c r="Q331" s="4"/>
      <c r="R331" s="5"/>
      <c r="S331" s="4"/>
      <c r="T331" s="6"/>
      <c r="U331" s="4">
        <v>188</v>
      </c>
      <c r="V331" s="6">
        <v>6753.03</v>
      </c>
      <c r="W331" s="5"/>
      <c r="X331" s="5"/>
      <c r="Y331" s="4"/>
      <c r="Z331" s="6"/>
      <c r="AA331" s="4">
        <v>23</v>
      </c>
      <c r="AB331" s="6">
        <v>781.8</v>
      </c>
      <c r="AC331" s="5"/>
      <c r="AD331" s="5"/>
      <c r="AE331" s="4"/>
      <c r="AF331" s="6"/>
      <c r="AG331" s="4">
        <v>2</v>
      </c>
      <c r="AH331" s="6">
        <v>76.8</v>
      </c>
      <c r="AI331" s="5"/>
      <c r="AJ331" s="5"/>
      <c r="AK331" s="4"/>
      <c r="AL331" s="6"/>
      <c r="AM331" s="4"/>
      <c r="AN331" s="6"/>
      <c r="AO331" s="5"/>
      <c r="AP331" s="5"/>
      <c r="AQ331" s="4"/>
      <c r="AR331" s="6"/>
      <c r="AS331" s="4">
        <v>54</v>
      </c>
      <c r="AT331" s="6">
        <v>2377.38</v>
      </c>
      <c r="AU331" s="5"/>
      <c r="AV331" s="5"/>
      <c r="AW331" s="4"/>
      <c r="AX331" s="6"/>
      <c r="AY331" s="4">
        <v>13</v>
      </c>
      <c r="AZ331" s="6">
        <v>501.04</v>
      </c>
      <c r="BA331" s="5"/>
      <c r="BB331" s="5"/>
      <c r="BC331" s="4"/>
      <c r="BD331" s="6"/>
      <c r="BE331" s="4"/>
      <c r="BF331" s="6"/>
      <c r="BG331" s="5"/>
      <c r="BH331" s="5"/>
      <c r="BI331" s="4"/>
      <c r="BJ331" s="6"/>
      <c r="BK331" s="4">
        <v>36</v>
      </c>
      <c r="BL331" s="6">
        <v>992.55</v>
      </c>
      <c r="BM331" s="5"/>
      <c r="BN331" s="5"/>
      <c r="BO331" s="4"/>
      <c r="BP331" s="6"/>
      <c r="BQ331" s="4">
        <v>22</v>
      </c>
      <c r="BR331" s="6">
        <v>574.56</v>
      </c>
      <c r="BS331" s="5"/>
      <c r="BT331" s="5"/>
      <c r="BU331" s="4"/>
      <c r="BV331" s="6"/>
      <c r="BW331" s="4">
        <v>2</v>
      </c>
      <c r="BX331" s="6">
        <v>69.14</v>
      </c>
      <c r="BY331" s="5"/>
      <c r="BZ331" s="5"/>
      <c r="CA331" s="4"/>
      <c r="CB331" s="6"/>
      <c r="CC331" s="4">
        <v>1</v>
      </c>
      <c r="CD331" s="6">
        <v>40.09</v>
      </c>
      <c r="CE331" s="5"/>
      <c r="CF331" s="5"/>
      <c r="CG331" s="4"/>
      <c r="CH331" s="6"/>
      <c r="CI331" s="4">
        <v>21</v>
      </c>
      <c r="CJ331" s="6">
        <v>814.17</v>
      </c>
      <c r="CK331" s="5"/>
      <c r="CL331" s="5"/>
      <c r="CM331" s="4"/>
      <c r="CN331" s="6"/>
      <c r="CO331" s="4"/>
      <c r="CP331" s="6"/>
      <c r="CQ331" s="5"/>
      <c r="CR331" s="5"/>
      <c r="CS331" s="4"/>
      <c r="CT331" s="6"/>
      <c r="CU331" s="4">
        <v>12</v>
      </c>
      <c r="CV331" s="6">
        <v>449.68</v>
      </c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/>
      <c r="DL331" s="6"/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/>
      <c r="EJ331" s="6"/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/>
      <c r="EV331" s="6"/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>
        <v>1</v>
      </c>
      <c r="FV331" s="6">
        <v>35.73</v>
      </c>
      <c r="FW331" s="5"/>
      <c r="FX331" s="5"/>
      <c r="FY331" s="4"/>
      <c r="FZ331" s="6"/>
      <c r="GA331" s="4">
        <v>1</v>
      </c>
      <c r="GB331" s="6">
        <v>40.09</v>
      </c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  <c r="IA331" s="4"/>
      <c r="IB331" s="6"/>
      <c r="IC331" s="4"/>
      <c r="ID331" s="6"/>
      <c r="IE331" s="5"/>
      <c r="IF331" s="5"/>
      <c r="IG331" s="4"/>
      <c r="IH331" s="6"/>
      <c r="II331" s="4"/>
      <c r="IJ331" s="6"/>
      <c r="IK331" s="5"/>
      <c r="IL331" s="5"/>
      <c r="IM331" s="4"/>
      <c r="IN331" s="6"/>
      <c r="IO331" s="4"/>
      <c r="IP331" s="6"/>
      <c r="IQ331" s="5"/>
      <c r="IR331" s="5"/>
      <c r="IS331" s="4"/>
      <c r="IT331" s="6"/>
      <c r="IU331" s="4"/>
      <c r="IV331" s="6"/>
      <c r="IW331" s="5"/>
      <c r="IX331" s="5"/>
      <c r="IY331" s="4"/>
      <c r="IZ331" s="6"/>
      <c r="JA331" s="4"/>
      <c r="JB331" s="6"/>
      <c r="JC331" s="5"/>
      <c r="JD331" s="5"/>
      <c r="JE331" s="4"/>
      <c r="JF331" s="6"/>
      <c r="JG331" s="4"/>
      <c r="JH331" s="6"/>
      <c r="JI331" s="5"/>
      <c r="JJ331" s="5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</row>
    <row r="332">
      <c r="A332" s="3" t="s">
        <v>136</v>
      </c>
      <c r="B332" s="3" t="s">
        <v>205</v>
      </c>
      <c r="C332" s="3" t="s">
        <v>178</v>
      </c>
      <c r="D332" s="3" t="s">
        <v>179</v>
      </c>
      <c r="E332" s="3" t="s">
        <v>207</v>
      </c>
      <c r="F332" s="3" t="s">
        <v>207</v>
      </c>
      <c r="G332" s="3" t="s">
        <v>207</v>
      </c>
      <c r="H332" s="3" t="s">
        <v>167</v>
      </c>
      <c r="I332" s="3" t="s">
        <v>260</v>
      </c>
      <c r="J332" s="3" t="s">
        <v>241</v>
      </c>
      <c r="K332" s="4"/>
      <c r="L332" s="4">
        <f>=ROUNDDOWN({0},0)</f>
      </c>
      <c r="M332" s="4"/>
      <c r="N332" s="5"/>
      <c r="O332" s="4"/>
      <c r="P332" s="4">
        <f>=ROUNDDOWN({0},0)</f>
      </c>
      <c r="Q332" s="4"/>
      <c r="R332" s="5"/>
      <c r="S332" s="4"/>
      <c r="T332" s="6"/>
      <c r="U332" s="4">
        <v>101</v>
      </c>
      <c r="V332" s="6">
        <v>3581.01</v>
      </c>
      <c r="W332" s="5"/>
      <c r="X332" s="5"/>
      <c r="Y332" s="4"/>
      <c r="Z332" s="6"/>
      <c r="AA332" s="4">
        <v>8</v>
      </c>
      <c r="AB332" s="6">
        <v>285.6</v>
      </c>
      <c r="AC332" s="5"/>
      <c r="AD332" s="5"/>
      <c r="AE332" s="4"/>
      <c r="AF332" s="6"/>
      <c r="AG332" s="4"/>
      <c r="AH332" s="6"/>
      <c r="AI332" s="5"/>
      <c r="AJ332" s="5"/>
      <c r="AK332" s="4"/>
      <c r="AL332" s="6"/>
      <c r="AM332" s="4"/>
      <c r="AN332" s="6"/>
      <c r="AO332" s="5"/>
      <c r="AP332" s="5"/>
      <c r="AQ332" s="4"/>
      <c r="AR332" s="6"/>
      <c r="AS332" s="4">
        <v>37</v>
      </c>
      <c r="AT332" s="6">
        <v>1466.74</v>
      </c>
      <c r="AU332" s="5"/>
      <c r="AV332" s="5"/>
      <c r="AW332" s="4"/>
      <c r="AX332" s="6"/>
      <c r="AY332" s="4">
        <v>12</v>
      </c>
      <c r="AZ332" s="6">
        <v>480.72</v>
      </c>
      <c r="BA332" s="5"/>
      <c r="BB332" s="5"/>
      <c r="BC332" s="4"/>
      <c r="BD332" s="6"/>
      <c r="BE332" s="4"/>
      <c r="BF332" s="6"/>
      <c r="BG332" s="5"/>
      <c r="BH332" s="5"/>
      <c r="BI332" s="4"/>
      <c r="BJ332" s="6"/>
      <c r="BK332" s="4">
        <v>15</v>
      </c>
      <c r="BL332" s="6">
        <v>411</v>
      </c>
      <c r="BM332" s="5"/>
      <c r="BN332" s="5"/>
      <c r="BO332" s="4"/>
      <c r="BP332" s="6"/>
      <c r="BQ332" s="4">
        <v>16</v>
      </c>
      <c r="BR332" s="6">
        <v>396.34</v>
      </c>
      <c r="BS332" s="5"/>
      <c r="BT332" s="5"/>
      <c r="BU332" s="4"/>
      <c r="BV332" s="6"/>
      <c r="BW332" s="4">
        <v>2</v>
      </c>
      <c r="BX332" s="6">
        <v>80.66</v>
      </c>
      <c r="BY332" s="5"/>
      <c r="BZ332" s="5"/>
      <c r="CA332" s="4"/>
      <c r="CB332" s="6"/>
      <c r="CC332" s="4"/>
      <c r="CD332" s="6"/>
      <c r="CE332" s="5"/>
      <c r="CF332" s="5"/>
      <c r="CG332" s="4"/>
      <c r="CH332" s="6"/>
      <c r="CI332" s="4">
        <v>6</v>
      </c>
      <c r="CJ332" s="6">
        <v>271.32</v>
      </c>
      <c r="CK332" s="5"/>
      <c r="CL332" s="5"/>
      <c r="CM332" s="4"/>
      <c r="CN332" s="6"/>
      <c r="CO332" s="4"/>
      <c r="CP332" s="6"/>
      <c r="CQ332" s="5"/>
      <c r="CR332" s="5"/>
      <c r="CS332" s="4"/>
      <c r="CT332" s="6"/>
      <c r="CU332" s="4"/>
      <c r="CV332" s="6"/>
      <c r="CW332" s="5"/>
      <c r="CX332" s="5"/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/>
      <c r="EJ332" s="6"/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/>
      <c r="EV332" s="6"/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>
        <v>4</v>
      </c>
      <c r="FV332" s="6">
        <v>154.82</v>
      </c>
      <c r="FW332" s="5"/>
      <c r="FX332" s="5"/>
      <c r="FY332" s="4"/>
      <c r="FZ332" s="6"/>
      <c r="GA332" s="4">
        <v>1</v>
      </c>
      <c r="GB332" s="6">
        <v>33.81</v>
      </c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  <c r="IA332" s="4"/>
      <c r="IB332" s="6"/>
      <c r="IC332" s="4"/>
      <c r="ID332" s="6"/>
      <c r="IE332" s="5"/>
      <c r="IF332" s="5"/>
      <c r="IG332" s="4"/>
      <c r="IH332" s="6"/>
      <c r="II332" s="4"/>
      <c r="IJ332" s="6"/>
      <c r="IK332" s="5"/>
      <c r="IL332" s="5"/>
      <c r="IM332" s="4"/>
      <c r="IN332" s="6"/>
      <c r="IO332" s="4"/>
      <c r="IP332" s="6"/>
      <c r="IQ332" s="5"/>
      <c r="IR332" s="5"/>
      <c r="IS332" s="4"/>
      <c r="IT332" s="6"/>
      <c r="IU332" s="4"/>
      <c r="IV332" s="6"/>
      <c r="IW332" s="5"/>
      <c r="IX332" s="5"/>
      <c r="IY332" s="4"/>
      <c r="IZ332" s="6"/>
      <c r="JA332" s="4"/>
      <c r="JB332" s="6"/>
      <c r="JC332" s="5"/>
      <c r="JD332" s="5"/>
      <c r="JE332" s="4"/>
      <c r="JF332" s="6"/>
      <c r="JG332" s="4"/>
      <c r="JH332" s="6"/>
      <c r="JI332" s="5"/>
      <c r="JJ332" s="5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</row>
    <row r="333">
      <c r="A333" s="3" t="s">
        <v>136</v>
      </c>
      <c r="B333" s="3" t="s">
        <v>208</v>
      </c>
      <c r="C333" s="3" t="s">
        <v>138</v>
      </c>
      <c r="D333" s="3" t="s">
        <v>139</v>
      </c>
      <c r="E333" s="3" t="s">
        <v>209</v>
      </c>
      <c r="F333" s="3" t="s">
        <v>209</v>
      </c>
      <c r="G333" s="3" t="s">
        <v>188</v>
      </c>
      <c r="H333" s="3" t="s">
        <v>175</v>
      </c>
      <c r="I333" s="3" t="s">
        <v>371</v>
      </c>
      <c r="J333" s="3" t="s">
        <v>241</v>
      </c>
      <c r="K333" s="4">
        <v>147</v>
      </c>
      <c r="L333" s="4">
        <f>=ROUNDDOWN(8.35227272727273,0)</f>
      </c>
      <c r="M333" s="4"/>
      <c r="N333" s="5"/>
      <c r="O333" s="4"/>
      <c r="P333" s="4">
        <f>=ROUNDDOWN({0},0)</f>
      </c>
      <c r="Q333" s="4"/>
      <c r="R333" s="5"/>
      <c r="S333" s="4">
        <v>106</v>
      </c>
      <c r="T333" s="6">
        <v>3560.3</v>
      </c>
      <c r="U333" s="4">
        <v>66</v>
      </c>
      <c r="V333" s="6">
        <v>2393.77</v>
      </c>
      <c r="W333" s="5">
        <v>0.6061</v>
      </c>
      <c r="X333" s="5">
        <v>0.4873</v>
      </c>
      <c r="Y333" s="4">
        <v>17</v>
      </c>
      <c r="Z333" s="6">
        <v>674.74</v>
      </c>
      <c r="AA333" s="4">
        <v>3</v>
      </c>
      <c r="AB333" s="6">
        <v>130.47</v>
      </c>
      <c r="AC333" s="5">
        <v>4.6667</v>
      </c>
      <c r="AD333" s="5">
        <v>4.1716</v>
      </c>
      <c r="AE333" s="4">
        <v>7</v>
      </c>
      <c r="AF333" s="6">
        <v>294.23</v>
      </c>
      <c r="AG333" s="4">
        <v>6</v>
      </c>
      <c r="AH333" s="6">
        <v>256.95</v>
      </c>
      <c r="AI333" s="5">
        <v>0.1667</v>
      </c>
      <c r="AJ333" s="5">
        <v>0.1451</v>
      </c>
      <c r="AK333" s="4"/>
      <c r="AL333" s="6"/>
      <c r="AM333" s="4"/>
      <c r="AN333" s="6"/>
      <c r="AO333" s="5"/>
      <c r="AP333" s="5"/>
      <c r="AQ333" s="4">
        <v>26</v>
      </c>
      <c r="AR333" s="6">
        <v>997.59</v>
      </c>
      <c r="AS333" s="4">
        <v>10</v>
      </c>
      <c r="AT333" s="6">
        <v>370.54</v>
      </c>
      <c r="AU333" s="5">
        <v>1.6</v>
      </c>
      <c r="AV333" s="5">
        <v>1.6923</v>
      </c>
      <c r="AW333" s="4"/>
      <c r="AX333" s="6"/>
      <c r="AY333" s="4"/>
      <c r="AZ333" s="6"/>
      <c r="BA333" s="5"/>
      <c r="BB333" s="5"/>
      <c r="BC333" s="4">
        <v>3</v>
      </c>
      <c r="BD333" s="6">
        <v>114.54</v>
      </c>
      <c r="BE333" s="4"/>
      <c r="BF333" s="6"/>
      <c r="BG333" s="5"/>
      <c r="BH333" s="5"/>
      <c r="BI333" s="4">
        <v>7</v>
      </c>
      <c r="BJ333" s="6">
        <v>267.42</v>
      </c>
      <c r="BK333" s="4">
        <v>12</v>
      </c>
      <c r="BL333" s="6">
        <v>474.36</v>
      </c>
      <c r="BM333" s="5">
        <v>-0.4167</v>
      </c>
      <c r="BN333" s="5">
        <v>-0.4363</v>
      </c>
      <c r="BO333" s="4">
        <v>34</v>
      </c>
      <c r="BP333" s="6">
        <v>846.15</v>
      </c>
      <c r="BQ333" s="4">
        <v>11</v>
      </c>
      <c r="BR333" s="6">
        <v>345.01</v>
      </c>
      <c r="BS333" s="5">
        <v>2.0909</v>
      </c>
      <c r="BT333" s="5">
        <v>1.4525</v>
      </c>
      <c r="BU333" s="4">
        <v>1</v>
      </c>
      <c r="BV333" s="6">
        <v>37.84</v>
      </c>
      <c r="BW333" s="4"/>
      <c r="BX333" s="6"/>
      <c r="BY333" s="5"/>
      <c r="BZ333" s="5"/>
      <c r="CA333" s="4"/>
      <c r="CB333" s="6"/>
      <c r="CC333" s="4">
        <v>3</v>
      </c>
      <c r="CD333" s="6">
        <v>114.78</v>
      </c>
      <c r="CE333" s="5"/>
      <c r="CF333" s="5"/>
      <c r="CG333" s="4">
        <v>5</v>
      </c>
      <c r="CH333" s="6">
        <v>149.22</v>
      </c>
      <c r="CI333" s="4">
        <v>1</v>
      </c>
      <c r="CJ333" s="6">
        <v>34.31</v>
      </c>
      <c r="CK333" s="5">
        <v>4</v>
      </c>
      <c r="CL333" s="5">
        <v>3.3492</v>
      </c>
      <c r="CM333" s="4"/>
      <c r="CN333" s="6"/>
      <c r="CO333" s="4"/>
      <c r="CP333" s="6"/>
      <c r="CQ333" s="5"/>
      <c r="CR333" s="5"/>
      <c r="CS333" s="4"/>
      <c r="CT333" s="6"/>
      <c r="CU333" s="4"/>
      <c r="CV333" s="6"/>
      <c r="CW333" s="5"/>
      <c r="CX333" s="5"/>
      <c r="CY333" s="4">
        <v>6</v>
      </c>
      <c r="CZ333" s="6">
        <v>178.57</v>
      </c>
      <c r="DA333" s="4">
        <v>15</v>
      </c>
      <c r="DB333" s="6">
        <v>430.81</v>
      </c>
      <c r="DC333" s="5">
        <v>-0.6</v>
      </c>
      <c r="DD333" s="5">
        <v>-0.5855</v>
      </c>
      <c r="DE333" s="4"/>
      <c r="DF333" s="6"/>
      <c r="DG333" s="4"/>
      <c r="DH333" s="6"/>
      <c r="DI333" s="5"/>
      <c r="DJ333" s="5"/>
      <c r="DK333" s="4"/>
      <c r="DL333" s="6"/>
      <c r="DM333" s="4">
        <v>2</v>
      </c>
      <c r="DN333" s="6">
        <v>116.98</v>
      </c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/>
      <c r="ED333" s="6"/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>
        <v>2</v>
      </c>
      <c r="FV333" s="6">
        <v>80.2</v>
      </c>
      <c r="FW333" s="5"/>
      <c r="FX333" s="5"/>
      <c r="FY333" s="4"/>
      <c r="FZ333" s="6"/>
      <c r="GA333" s="4">
        <v>1</v>
      </c>
      <c r="GB333" s="6">
        <v>39.36</v>
      </c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  <c r="IA333" s="4"/>
      <c r="IB333" s="6"/>
      <c r="IC333" s="4"/>
      <c r="ID333" s="6"/>
      <c r="IE333" s="5"/>
      <c r="IF333" s="5"/>
      <c r="IG333" s="4"/>
      <c r="IH333" s="6"/>
      <c r="II333" s="4"/>
      <c r="IJ333" s="6"/>
      <c r="IK333" s="5"/>
      <c r="IL333" s="5"/>
      <c r="IM333" s="4"/>
      <c r="IN333" s="6"/>
      <c r="IO333" s="4"/>
      <c r="IP333" s="6"/>
      <c r="IQ333" s="5"/>
      <c r="IR333" s="5"/>
      <c r="IS333" s="4"/>
      <c r="IT333" s="6"/>
      <c r="IU333" s="4"/>
      <c r="IV333" s="6"/>
      <c r="IW333" s="5"/>
      <c r="IX333" s="5"/>
      <c r="IY333" s="4"/>
      <c r="IZ333" s="6"/>
      <c r="JA333" s="4"/>
      <c r="JB333" s="6"/>
      <c r="JC333" s="5"/>
      <c r="JD333" s="5"/>
      <c r="JE333" s="4"/>
      <c r="JF333" s="6"/>
      <c r="JG333" s="4"/>
      <c r="JH333" s="6"/>
      <c r="JI333" s="5"/>
      <c r="JJ333" s="5"/>
      <c r="JK333" s="4">
        <v>147</v>
      </c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</row>
    <row r="334">
      <c r="A334" s="3" t="s">
        <v>136</v>
      </c>
      <c r="B334" s="3" t="s">
        <v>208</v>
      </c>
      <c r="C334" s="3" t="s">
        <v>138</v>
      </c>
      <c r="D334" s="3" t="s">
        <v>139</v>
      </c>
      <c r="E334" s="3" t="s">
        <v>209</v>
      </c>
      <c r="F334" s="3" t="s">
        <v>209</v>
      </c>
      <c r="G334" s="3" t="s">
        <v>188</v>
      </c>
      <c r="H334" s="3" t="s">
        <v>175</v>
      </c>
      <c r="I334" s="3" t="s">
        <v>229</v>
      </c>
      <c r="J334" s="3" t="s">
        <v>241</v>
      </c>
      <c r="K334" s="4">
        <v>130</v>
      </c>
      <c r="L334" s="4">
        <f>=ROUNDDOWN(18.5714285714286,0)</f>
      </c>
      <c r="M334" s="4"/>
      <c r="N334" s="5"/>
      <c r="O334" s="4"/>
      <c r="P334" s="4">
        <f>=ROUNDDOWN({0},0)</f>
      </c>
      <c r="Q334" s="4"/>
      <c r="R334" s="5"/>
      <c r="S334" s="4">
        <v>88</v>
      </c>
      <c r="T334" s="6">
        <v>3035.52</v>
      </c>
      <c r="U334" s="4">
        <v>72</v>
      </c>
      <c r="V334" s="6">
        <v>2596.07</v>
      </c>
      <c r="W334" s="5">
        <v>0.2222</v>
      </c>
      <c r="X334" s="5">
        <v>0.1693</v>
      </c>
      <c r="Y334" s="4">
        <v>30</v>
      </c>
      <c r="Z334" s="6">
        <v>1151.75</v>
      </c>
      <c r="AA334" s="4">
        <v>10</v>
      </c>
      <c r="AB334" s="6">
        <v>408.33</v>
      </c>
      <c r="AC334" s="5">
        <v>2</v>
      </c>
      <c r="AD334" s="5">
        <v>1.8206</v>
      </c>
      <c r="AE334" s="4">
        <v>10</v>
      </c>
      <c r="AF334" s="6">
        <v>376.07</v>
      </c>
      <c r="AG334" s="4">
        <v>3</v>
      </c>
      <c r="AH334" s="6">
        <v>130.35</v>
      </c>
      <c r="AI334" s="5">
        <v>2.3333</v>
      </c>
      <c r="AJ334" s="5">
        <v>1.8851</v>
      </c>
      <c r="AK334" s="4"/>
      <c r="AL334" s="6"/>
      <c r="AM334" s="4"/>
      <c r="AN334" s="6"/>
      <c r="AO334" s="5"/>
      <c r="AP334" s="5"/>
      <c r="AQ334" s="4">
        <v>5</v>
      </c>
      <c r="AR334" s="6">
        <v>211.15</v>
      </c>
      <c r="AS334" s="4"/>
      <c r="AT334" s="6"/>
      <c r="AU334" s="5"/>
      <c r="AV334" s="5"/>
      <c r="AW334" s="4"/>
      <c r="AX334" s="6"/>
      <c r="AY334" s="4"/>
      <c r="AZ334" s="6"/>
      <c r="BA334" s="5"/>
      <c r="BB334" s="5"/>
      <c r="BC334" s="4"/>
      <c r="BD334" s="6"/>
      <c r="BE334" s="4"/>
      <c r="BF334" s="6"/>
      <c r="BG334" s="5"/>
      <c r="BH334" s="5"/>
      <c r="BI334" s="4">
        <v>7</v>
      </c>
      <c r="BJ334" s="6">
        <v>261.04</v>
      </c>
      <c r="BK334" s="4">
        <v>15</v>
      </c>
      <c r="BL334" s="6">
        <v>576.22</v>
      </c>
      <c r="BM334" s="5">
        <v>-0.5333</v>
      </c>
      <c r="BN334" s="5">
        <v>-0.547</v>
      </c>
      <c r="BO334" s="4">
        <v>16</v>
      </c>
      <c r="BP334" s="6">
        <v>357.62</v>
      </c>
      <c r="BQ334" s="4">
        <v>21</v>
      </c>
      <c r="BR334" s="6">
        <v>684.49</v>
      </c>
      <c r="BS334" s="5">
        <v>-0.2381</v>
      </c>
      <c r="BT334" s="5">
        <v>-0.4775</v>
      </c>
      <c r="BU334" s="4">
        <v>3</v>
      </c>
      <c r="BV334" s="6">
        <v>114.1</v>
      </c>
      <c r="BW334" s="4">
        <v>2</v>
      </c>
      <c r="BX334" s="6">
        <v>79.17</v>
      </c>
      <c r="BY334" s="5">
        <v>0.5</v>
      </c>
      <c r="BZ334" s="5">
        <v>0.4412</v>
      </c>
      <c r="CA334" s="4">
        <v>1</v>
      </c>
      <c r="CB334" s="6">
        <v>30.07</v>
      </c>
      <c r="CC334" s="4">
        <v>2</v>
      </c>
      <c r="CD334" s="6">
        <v>78.74</v>
      </c>
      <c r="CE334" s="5">
        <v>-0.5</v>
      </c>
      <c r="CF334" s="5">
        <v>-0.6181</v>
      </c>
      <c r="CG334" s="4">
        <v>10</v>
      </c>
      <c r="CH334" s="6">
        <v>363.68</v>
      </c>
      <c r="CI334" s="4">
        <v>11</v>
      </c>
      <c r="CJ334" s="6">
        <v>395.4</v>
      </c>
      <c r="CK334" s="5">
        <v>-0.0909</v>
      </c>
      <c r="CL334" s="5">
        <v>-0.0802</v>
      </c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>
        <v>6</v>
      </c>
      <c r="CZ334" s="6">
        <v>170.04</v>
      </c>
      <c r="DA334" s="4">
        <v>5</v>
      </c>
      <c r="DB334" s="6">
        <v>130.36</v>
      </c>
      <c r="DC334" s="5">
        <v>0.2</v>
      </c>
      <c r="DD334" s="5">
        <v>0.3044</v>
      </c>
      <c r="DE334" s="4"/>
      <c r="DF334" s="6"/>
      <c r="DG334" s="4"/>
      <c r="DH334" s="6"/>
      <c r="DI334" s="5"/>
      <c r="DJ334" s="5"/>
      <c r="DK334" s="4"/>
      <c r="DL334" s="6"/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/>
      <c r="DX334" s="6"/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/>
      <c r="FP334" s="6"/>
      <c r="FQ334" s="5"/>
      <c r="FR334" s="5"/>
      <c r="FS334" s="4"/>
      <c r="FT334" s="6"/>
      <c r="FU334" s="4">
        <v>3</v>
      </c>
      <c r="FV334" s="6">
        <v>113.01</v>
      </c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  <c r="IA334" s="4"/>
      <c r="IB334" s="6"/>
      <c r="IC334" s="4"/>
      <c r="ID334" s="6"/>
      <c r="IE334" s="5"/>
      <c r="IF334" s="5"/>
      <c r="IG334" s="4"/>
      <c r="IH334" s="6"/>
      <c r="II334" s="4"/>
      <c r="IJ334" s="6"/>
      <c r="IK334" s="5"/>
      <c r="IL334" s="5"/>
      <c r="IM334" s="4"/>
      <c r="IN334" s="6"/>
      <c r="IO334" s="4"/>
      <c r="IP334" s="6"/>
      <c r="IQ334" s="5"/>
      <c r="IR334" s="5"/>
      <c r="IS334" s="4"/>
      <c r="IT334" s="6"/>
      <c r="IU334" s="4"/>
      <c r="IV334" s="6"/>
      <c r="IW334" s="5"/>
      <c r="IX334" s="5"/>
      <c r="IY334" s="4"/>
      <c r="IZ334" s="6"/>
      <c r="JA334" s="4"/>
      <c r="JB334" s="6"/>
      <c r="JC334" s="5"/>
      <c r="JD334" s="5"/>
      <c r="JE334" s="4"/>
      <c r="JF334" s="6"/>
      <c r="JG334" s="4"/>
      <c r="JH334" s="6"/>
      <c r="JI334" s="5"/>
      <c r="JJ334" s="5"/>
      <c r="JK334" s="4">
        <v>130</v>
      </c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</row>
    <row r="335">
      <c r="A335" s="3" t="s">
        <v>136</v>
      </c>
      <c r="B335" s="3" t="s">
        <v>208</v>
      </c>
      <c r="C335" s="3" t="s">
        <v>138</v>
      </c>
      <c r="D335" s="3" t="s">
        <v>139</v>
      </c>
      <c r="E335" s="3" t="s">
        <v>209</v>
      </c>
      <c r="F335" s="3" t="s">
        <v>209</v>
      </c>
      <c r="G335" s="3" t="s">
        <v>188</v>
      </c>
      <c r="H335" s="3" t="s">
        <v>175</v>
      </c>
      <c r="I335" s="3" t="s">
        <v>230</v>
      </c>
      <c r="J335" s="3" t="s">
        <v>241</v>
      </c>
      <c r="K335" s="4">
        <v>846</v>
      </c>
      <c r="L335" s="4">
        <f>=ROUNDDOWN(95.0561797752809,0)</f>
      </c>
      <c r="M335" s="4"/>
      <c r="N335" s="5"/>
      <c r="O335" s="4"/>
      <c r="P335" s="4">
        <f>=ROUNDDOWN({0},0)</f>
      </c>
      <c r="Q335" s="4"/>
      <c r="R335" s="5"/>
      <c r="S335" s="4">
        <v>70</v>
      </c>
      <c r="T335" s="6">
        <v>2348.23</v>
      </c>
      <c r="U335" s="4">
        <v>77</v>
      </c>
      <c r="V335" s="6">
        <v>2834.94</v>
      </c>
      <c r="W335" s="5">
        <v>-0.0909</v>
      </c>
      <c r="X335" s="5">
        <v>-0.1717</v>
      </c>
      <c r="Y335" s="4">
        <v>18</v>
      </c>
      <c r="Z335" s="6">
        <v>734.99</v>
      </c>
      <c r="AA335" s="4">
        <v>1</v>
      </c>
      <c r="AB335" s="6">
        <v>39.3</v>
      </c>
      <c r="AC335" s="5">
        <v>17</v>
      </c>
      <c r="AD335" s="5">
        <v>17.702</v>
      </c>
      <c r="AE335" s="4">
        <v>15</v>
      </c>
      <c r="AF335" s="6">
        <v>573.45</v>
      </c>
      <c r="AG335" s="4">
        <v>12</v>
      </c>
      <c r="AH335" s="6">
        <v>525.09</v>
      </c>
      <c r="AI335" s="5">
        <v>0.25</v>
      </c>
      <c r="AJ335" s="5">
        <v>0.0921</v>
      </c>
      <c r="AK335" s="4"/>
      <c r="AL335" s="6"/>
      <c r="AM335" s="4"/>
      <c r="AN335" s="6"/>
      <c r="AO335" s="5"/>
      <c r="AP335" s="5"/>
      <c r="AQ335" s="4"/>
      <c r="AR335" s="6"/>
      <c r="AS335" s="4">
        <v>14</v>
      </c>
      <c r="AT335" s="6">
        <v>559.79</v>
      </c>
      <c r="AU335" s="5"/>
      <c r="AV335" s="5"/>
      <c r="AW335" s="4"/>
      <c r="AX335" s="6"/>
      <c r="AY335" s="4"/>
      <c r="AZ335" s="6"/>
      <c r="BA335" s="5"/>
      <c r="BB335" s="5"/>
      <c r="BC335" s="4"/>
      <c r="BD335" s="6"/>
      <c r="BE335" s="4"/>
      <c r="BF335" s="6"/>
      <c r="BG335" s="5"/>
      <c r="BH335" s="5"/>
      <c r="BI335" s="4">
        <v>7</v>
      </c>
      <c r="BJ335" s="6">
        <v>270.59</v>
      </c>
      <c r="BK335" s="4">
        <v>17</v>
      </c>
      <c r="BL335" s="6">
        <v>646.26</v>
      </c>
      <c r="BM335" s="5">
        <v>-0.5882</v>
      </c>
      <c r="BN335" s="5">
        <v>-0.5813</v>
      </c>
      <c r="BO335" s="4">
        <v>25</v>
      </c>
      <c r="BP335" s="6">
        <v>620.41</v>
      </c>
      <c r="BQ335" s="4">
        <v>12</v>
      </c>
      <c r="BR335" s="6">
        <v>350.33</v>
      </c>
      <c r="BS335" s="5">
        <v>1.0833</v>
      </c>
      <c r="BT335" s="5">
        <v>0.7709</v>
      </c>
      <c r="BU335" s="4">
        <v>1</v>
      </c>
      <c r="BV335" s="6">
        <v>37.84</v>
      </c>
      <c r="BW335" s="4">
        <v>2</v>
      </c>
      <c r="BX335" s="6">
        <v>75.68</v>
      </c>
      <c r="BY335" s="5">
        <v>-0.5</v>
      </c>
      <c r="BZ335" s="5">
        <v>-0.5</v>
      </c>
      <c r="CA335" s="4"/>
      <c r="CB335" s="6"/>
      <c r="CC335" s="4">
        <v>2</v>
      </c>
      <c r="CD335" s="6">
        <v>78.74</v>
      </c>
      <c r="CE335" s="5"/>
      <c r="CF335" s="5"/>
      <c r="CG335" s="4">
        <v>2</v>
      </c>
      <c r="CH335" s="6">
        <v>65.61</v>
      </c>
      <c r="CI335" s="4">
        <v>7</v>
      </c>
      <c r="CJ335" s="6">
        <v>195.09</v>
      </c>
      <c r="CK335" s="5">
        <v>-0.7143</v>
      </c>
      <c r="CL335" s="5">
        <v>-0.6637</v>
      </c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>
        <v>2</v>
      </c>
      <c r="CZ335" s="6">
        <v>45.34</v>
      </c>
      <c r="DA335" s="4">
        <v>6</v>
      </c>
      <c r="DB335" s="6">
        <v>175.72</v>
      </c>
      <c r="DC335" s="5">
        <v>-0.6667</v>
      </c>
      <c r="DD335" s="5">
        <v>-0.742</v>
      </c>
      <c r="DE335" s="4"/>
      <c r="DF335" s="6"/>
      <c r="DG335" s="4"/>
      <c r="DH335" s="6"/>
      <c r="DI335" s="5"/>
      <c r="DJ335" s="5"/>
      <c r="DK335" s="4"/>
      <c r="DL335" s="6"/>
      <c r="DM335" s="4">
        <v>1</v>
      </c>
      <c r="DN335" s="6">
        <v>64.99</v>
      </c>
      <c r="DO335" s="5"/>
      <c r="DP335" s="5"/>
      <c r="DQ335" s="4"/>
      <c r="DR335" s="6"/>
      <c r="DS335" s="4"/>
      <c r="DT335" s="6"/>
      <c r="DU335" s="5"/>
      <c r="DV335" s="5"/>
      <c r="DW335" s="4"/>
      <c r="DX335" s="6"/>
      <c r="DY335" s="4"/>
      <c r="DZ335" s="6"/>
      <c r="EA335" s="5"/>
      <c r="EB335" s="5"/>
      <c r="EC335" s="4"/>
      <c r="ED335" s="6"/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>
        <v>3</v>
      </c>
      <c r="FV335" s="6">
        <v>123.95</v>
      </c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  <c r="IA335" s="4"/>
      <c r="IB335" s="6"/>
      <c r="IC335" s="4"/>
      <c r="ID335" s="6"/>
      <c r="IE335" s="5"/>
      <c r="IF335" s="5"/>
      <c r="IG335" s="4"/>
      <c r="IH335" s="6"/>
      <c r="II335" s="4"/>
      <c r="IJ335" s="6"/>
      <c r="IK335" s="5"/>
      <c r="IL335" s="5"/>
      <c r="IM335" s="4"/>
      <c r="IN335" s="6"/>
      <c r="IO335" s="4"/>
      <c r="IP335" s="6"/>
      <c r="IQ335" s="5"/>
      <c r="IR335" s="5"/>
      <c r="IS335" s="4"/>
      <c r="IT335" s="6"/>
      <c r="IU335" s="4"/>
      <c r="IV335" s="6"/>
      <c r="IW335" s="5"/>
      <c r="IX335" s="5"/>
      <c r="IY335" s="4"/>
      <c r="IZ335" s="6"/>
      <c r="JA335" s="4"/>
      <c r="JB335" s="6"/>
      <c r="JC335" s="5"/>
      <c r="JD335" s="5"/>
      <c r="JE335" s="4"/>
      <c r="JF335" s="6"/>
      <c r="JG335" s="4"/>
      <c r="JH335" s="6"/>
      <c r="JI335" s="5"/>
      <c r="JJ335" s="5"/>
      <c r="JK335" s="4">
        <v>846</v>
      </c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</row>
    <row r="336">
      <c r="A336" s="3" t="s">
        <v>136</v>
      </c>
      <c r="B336" s="3" t="s">
        <v>208</v>
      </c>
      <c r="C336" s="3" t="s">
        <v>138</v>
      </c>
      <c r="D336" s="3" t="s">
        <v>139</v>
      </c>
      <c r="E336" s="3" t="s">
        <v>209</v>
      </c>
      <c r="F336" s="3" t="s">
        <v>209</v>
      </c>
      <c r="G336" s="3" t="s">
        <v>188</v>
      </c>
      <c r="H336" s="3" t="s">
        <v>175</v>
      </c>
      <c r="I336" s="3" t="s">
        <v>238</v>
      </c>
      <c r="J336" s="3" t="s">
        <v>241</v>
      </c>
      <c r="K336" s="4">
        <v>905</v>
      </c>
      <c r="L336" s="4">
        <f>=ROUNDDOWN(143.650793650794,0)</f>
      </c>
      <c r="M336" s="4"/>
      <c r="N336" s="5"/>
      <c r="O336" s="4"/>
      <c r="P336" s="4">
        <f>=ROUNDDOWN({0},0)</f>
      </c>
      <c r="Q336" s="4"/>
      <c r="R336" s="5"/>
      <c r="S336" s="4">
        <v>53</v>
      </c>
      <c r="T336" s="6">
        <v>1811.82</v>
      </c>
      <c r="U336" s="4">
        <v>46</v>
      </c>
      <c r="V336" s="6">
        <v>1550.32</v>
      </c>
      <c r="W336" s="5">
        <v>0.1522</v>
      </c>
      <c r="X336" s="5">
        <v>0.1687</v>
      </c>
      <c r="Y336" s="4">
        <v>17</v>
      </c>
      <c r="Z336" s="6">
        <v>690.43</v>
      </c>
      <c r="AA336" s="4">
        <v>2</v>
      </c>
      <c r="AB336" s="6">
        <v>65.67</v>
      </c>
      <c r="AC336" s="5">
        <v>7.5</v>
      </c>
      <c r="AD336" s="5">
        <v>9.5136</v>
      </c>
      <c r="AE336" s="4">
        <v>3</v>
      </c>
      <c r="AF336" s="6">
        <v>122.88</v>
      </c>
      <c r="AG336" s="4">
        <v>3</v>
      </c>
      <c r="AH336" s="6">
        <v>115.44</v>
      </c>
      <c r="AI336" s="5"/>
      <c r="AJ336" s="5">
        <v>0.0644</v>
      </c>
      <c r="AK336" s="4"/>
      <c r="AL336" s="6"/>
      <c r="AM336" s="4"/>
      <c r="AN336" s="6"/>
      <c r="AO336" s="5"/>
      <c r="AP336" s="5"/>
      <c r="AQ336" s="4"/>
      <c r="AR336" s="6"/>
      <c r="AS336" s="4"/>
      <c r="AT336" s="6"/>
      <c r="AU336" s="5"/>
      <c r="AV336" s="5"/>
      <c r="AW336" s="4"/>
      <c r="AX336" s="6"/>
      <c r="AY336" s="4"/>
      <c r="AZ336" s="6"/>
      <c r="BA336" s="5"/>
      <c r="BB336" s="5"/>
      <c r="BC336" s="4">
        <v>3</v>
      </c>
      <c r="BD336" s="6">
        <v>114.54</v>
      </c>
      <c r="BE336" s="4"/>
      <c r="BF336" s="6"/>
      <c r="BG336" s="5"/>
      <c r="BH336" s="5"/>
      <c r="BI336" s="4">
        <v>5</v>
      </c>
      <c r="BJ336" s="6">
        <v>187.82</v>
      </c>
      <c r="BK336" s="4">
        <v>4</v>
      </c>
      <c r="BL336" s="6">
        <v>149.63</v>
      </c>
      <c r="BM336" s="5">
        <v>0.25</v>
      </c>
      <c r="BN336" s="5">
        <v>0.2552</v>
      </c>
      <c r="BO336" s="4">
        <v>15</v>
      </c>
      <c r="BP336" s="6">
        <v>389.27</v>
      </c>
      <c r="BQ336" s="4">
        <v>20</v>
      </c>
      <c r="BR336" s="6">
        <v>604.77</v>
      </c>
      <c r="BS336" s="5">
        <v>-0.25</v>
      </c>
      <c r="BT336" s="5">
        <v>-0.3563</v>
      </c>
      <c r="BU336" s="4">
        <v>5</v>
      </c>
      <c r="BV336" s="6">
        <v>159.5</v>
      </c>
      <c r="BW336" s="4">
        <v>4</v>
      </c>
      <c r="BX336" s="6">
        <v>148.45</v>
      </c>
      <c r="BY336" s="5">
        <v>0.25</v>
      </c>
      <c r="BZ336" s="5">
        <v>0.0744</v>
      </c>
      <c r="CA336" s="4"/>
      <c r="CB336" s="6"/>
      <c r="CC336" s="4">
        <v>2</v>
      </c>
      <c r="CD336" s="6">
        <v>72.63</v>
      </c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/>
      <c r="CT336" s="6"/>
      <c r="CU336" s="4"/>
      <c r="CV336" s="6"/>
      <c r="CW336" s="5"/>
      <c r="CX336" s="5"/>
      <c r="CY336" s="4">
        <v>5</v>
      </c>
      <c r="CZ336" s="6">
        <v>147.38</v>
      </c>
      <c r="DA336" s="4">
        <v>6</v>
      </c>
      <c r="DB336" s="6">
        <v>172.88</v>
      </c>
      <c r="DC336" s="5">
        <v>-0.1667</v>
      </c>
      <c r="DD336" s="5">
        <v>-0.1475</v>
      </c>
      <c r="DE336" s="4"/>
      <c r="DF336" s="6"/>
      <c r="DG336" s="4"/>
      <c r="DH336" s="6"/>
      <c r="DI336" s="5"/>
      <c r="DJ336" s="5"/>
      <c r="DK336" s="4"/>
      <c r="DL336" s="6"/>
      <c r="DM336" s="4">
        <v>1</v>
      </c>
      <c r="DN336" s="6">
        <v>59.99</v>
      </c>
      <c r="DO336" s="5"/>
      <c r="DP336" s="5"/>
      <c r="DQ336" s="4"/>
      <c r="DR336" s="6"/>
      <c r="DS336" s="4"/>
      <c r="DT336" s="6"/>
      <c r="DU336" s="5"/>
      <c r="DV336" s="5"/>
      <c r="DW336" s="4"/>
      <c r="DX336" s="6"/>
      <c r="DY336" s="4"/>
      <c r="DZ336" s="6"/>
      <c r="EA336" s="5"/>
      <c r="EB336" s="5"/>
      <c r="EC336" s="4"/>
      <c r="ED336" s="6"/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>
        <v>3</v>
      </c>
      <c r="FV336" s="6">
        <v>127.6</v>
      </c>
      <c r="FW336" s="5"/>
      <c r="FX336" s="5"/>
      <c r="FY336" s="4"/>
      <c r="FZ336" s="6"/>
      <c r="GA336" s="4">
        <v>1</v>
      </c>
      <c r="GB336" s="6">
        <v>33.26</v>
      </c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  <c r="IA336" s="4"/>
      <c r="IB336" s="6"/>
      <c r="IC336" s="4"/>
      <c r="ID336" s="6"/>
      <c r="IE336" s="5"/>
      <c r="IF336" s="5"/>
      <c r="IG336" s="4"/>
      <c r="IH336" s="6"/>
      <c r="II336" s="4"/>
      <c r="IJ336" s="6"/>
      <c r="IK336" s="5"/>
      <c r="IL336" s="5"/>
      <c r="IM336" s="4"/>
      <c r="IN336" s="6"/>
      <c r="IO336" s="4"/>
      <c r="IP336" s="6"/>
      <c r="IQ336" s="5"/>
      <c r="IR336" s="5"/>
      <c r="IS336" s="4"/>
      <c r="IT336" s="6"/>
      <c r="IU336" s="4"/>
      <c r="IV336" s="6"/>
      <c r="IW336" s="5"/>
      <c r="IX336" s="5"/>
      <c r="IY336" s="4"/>
      <c r="IZ336" s="6"/>
      <c r="JA336" s="4"/>
      <c r="JB336" s="6"/>
      <c r="JC336" s="5"/>
      <c r="JD336" s="5"/>
      <c r="JE336" s="4"/>
      <c r="JF336" s="6"/>
      <c r="JG336" s="4"/>
      <c r="JH336" s="6"/>
      <c r="JI336" s="5"/>
      <c r="JJ336" s="5"/>
      <c r="JK336" s="4">
        <v>905</v>
      </c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</row>
    <row r="337">
      <c r="A337" s="3" t="s">
        <v>136</v>
      </c>
      <c r="B337" s="3" t="s">
        <v>208</v>
      </c>
      <c r="C337" s="3" t="s">
        <v>138</v>
      </c>
      <c r="D337" s="3" t="s">
        <v>139</v>
      </c>
      <c r="E337" s="3" t="s">
        <v>209</v>
      </c>
      <c r="F337" s="3" t="s">
        <v>209</v>
      </c>
      <c r="G337" s="3" t="s">
        <v>188</v>
      </c>
      <c r="H337" s="3" t="s">
        <v>175</v>
      </c>
      <c r="I337" s="3" t="s">
        <v>257</v>
      </c>
      <c r="J337" s="3" t="s">
        <v>241</v>
      </c>
      <c r="K337" s="4">
        <v>1229</v>
      </c>
      <c r="L337" s="4">
        <f>=ROUNDDOWN(99.1129032258064,0)</f>
      </c>
      <c r="M337" s="4"/>
      <c r="N337" s="5"/>
      <c r="O337" s="4"/>
      <c r="P337" s="4">
        <f>=ROUNDDOWN({0},0)</f>
      </c>
      <c r="Q337" s="4"/>
      <c r="R337" s="5"/>
      <c r="S337" s="4">
        <v>46</v>
      </c>
      <c r="T337" s="6">
        <v>1697.08</v>
      </c>
      <c r="U337" s="4">
        <v>72</v>
      </c>
      <c r="V337" s="6">
        <v>2593.98</v>
      </c>
      <c r="W337" s="5">
        <v>-0.3611</v>
      </c>
      <c r="X337" s="5">
        <v>-0.3458</v>
      </c>
      <c r="Y337" s="4">
        <v>9</v>
      </c>
      <c r="Z337" s="6">
        <v>360.65</v>
      </c>
      <c r="AA337" s="4">
        <v>1</v>
      </c>
      <c r="AB337" s="6">
        <v>39.3</v>
      </c>
      <c r="AC337" s="5">
        <v>8</v>
      </c>
      <c r="AD337" s="5">
        <v>8.1768</v>
      </c>
      <c r="AE337" s="4"/>
      <c r="AF337" s="6"/>
      <c r="AG337" s="4">
        <v>9</v>
      </c>
      <c r="AH337" s="6">
        <v>361.2</v>
      </c>
      <c r="AI337" s="5"/>
      <c r="AJ337" s="5"/>
      <c r="AK337" s="4"/>
      <c r="AL337" s="6"/>
      <c r="AM337" s="4"/>
      <c r="AN337" s="6"/>
      <c r="AO337" s="5"/>
      <c r="AP337" s="5"/>
      <c r="AQ337" s="4">
        <v>12</v>
      </c>
      <c r="AR337" s="6">
        <v>451.99</v>
      </c>
      <c r="AS337" s="4">
        <v>36</v>
      </c>
      <c r="AT337" s="6">
        <v>1335.98</v>
      </c>
      <c r="AU337" s="5">
        <v>-0.6667</v>
      </c>
      <c r="AV337" s="5">
        <v>-0.6617</v>
      </c>
      <c r="AW337" s="4"/>
      <c r="AX337" s="6"/>
      <c r="AY337" s="4"/>
      <c r="AZ337" s="6"/>
      <c r="BA337" s="5"/>
      <c r="BB337" s="5"/>
      <c r="BC337" s="4">
        <v>11</v>
      </c>
      <c r="BD337" s="6">
        <v>419.98</v>
      </c>
      <c r="BE337" s="4"/>
      <c r="BF337" s="6"/>
      <c r="BG337" s="5"/>
      <c r="BH337" s="5"/>
      <c r="BI337" s="4">
        <v>4</v>
      </c>
      <c r="BJ337" s="6">
        <v>159.18</v>
      </c>
      <c r="BK337" s="4">
        <v>2</v>
      </c>
      <c r="BL337" s="6">
        <v>82.78</v>
      </c>
      <c r="BM337" s="5">
        <v>1</v>
      </c>
      <c r="BN337" s="5">
        <v>0.9229</v>
      </c>
      <c r="BO337" s="4">
        <v>6</v>
      </c>
      <c r="BP337" s="6">
        <v>148.05</v>
      </c>
      <c r="BQ337" s="4">
        <v>2</v>
      </c>
      <c r="BR337" s="6">
        <v>73.04</v>
      </c>
      <c r="BS337" s="5">
        <v>2</v>
      </c>
      <c r="BT337" s="5">
        <v>1.027</v>
      </c>
      <c r="BU337" s="4">
        <v>2</v>
      </c>
      <c r="BV337" s="6">
        <v>72.77</v>
      </c>
      <c r="BW337" s="4">
        <v>1</v>
      </c>
      <c r="BX337" s="6">
        <v>37.84</v>
      </c>
      <c r="BY337" s="5">
        <v>1</v>
      </c>
      <c r="BZ337" s="5">
        <v>0.9231</v>
      </c>
      <c r="CA337" s="4"/>
      <c r="CB337" s="6"/>
      <c r="CC337" s="4"/>
      <c r="CD337" s="6"/>
      <c r="CE337" s="5"/>
      <c r="CF337" s="5"/>
      <c r="CG337" s="4">
        <v>2</v>
      </c>
      <c r="CH337" s="6">
        <v>84.46</v>
      </c>
      <c r="CI337" s="4">
        <v>10</v>
      </c>
      <c r="CJ337" s="6">
        <v>278.7</v>
      </c>
      <c r="CK337" s="5">
        <v>-0.8</v>
      </c>
      <c r="CL337" s="5">
        <v>-0.697</v>
      </c>
      <c r="CM337" s="4"/>
      <c r="CN337" s="6"/>
      <c r="CO337" s="4"/>
      <c r="CP337" s="6"/>
      <c r="CQ337" s="5"/>
      <c r="CR337" s="5"/>
      <c r="CS337" s="4"/>
      <c r="CT337" s="6"/>
      <c r="CU337" s="4"/>
      <c r="CV337" s="6"/>
      <c r="CW337" s="5"/>
      <c r="CX337" s="5"/>
      <c r="CY337" s="4"/>
      <c r="CZ337" s="6"/>
      <c r="DA337" s="4">
        <v>4</v>
      </c>
      <c r="DB337" s="6">
        <v>102.02</v>
      </c>
      <c r="DC337" s="5"/>
      <c r="DD337" s="5"/>
      <c r="DE337" s="4"/>
      <c r="DF337" s="6"/>
      <c r="DG337" s="4"/>
      <c r="DH337" s="6"/>
      <c r="DI337" s="5"/>
      <c r="DJ337" s="5"/>
      <c r="DK337" s="4"/>
      <c r="DL337" s="6"/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/>
      <c r="DX337" s="6"/>
      <c r="DY337" s="4"/>
      <c r="DZ337" s="6"/>
      <c r="EA337" s="5"/>
      <c r="EB337" s="5"/>
      <c r="EC337" s="4"/>
      <c r="ED337" s="6"/>
      <c r="EE337" s="4"/>
      <c r="EF337" s="6"/>
      <c r="EG337" s="5"/>
      <c r="EH337" s="5"/>
      <c r="EI337" s="4"/>
      <c r="EJ337" s="6"/>
      <c r="EK337" s="4"/>
      <c r="EL337" s="6"/>
      <c r="EM337" s="5"/>
      <c r="EN337" s="5"/>
      <c r="EO337" s="4"/>
      <c r="EP337" s="6"/>
      <c r="EQ337" s="4"/>
      <c r="ER337" s="6"/>
      <c r="ES337" s="5"/>
      <c r="ET337" s="5"/>
      <c r="EU337" s="4"/>
      <c r="EV337" s="6"/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/>
      <c r="FH337" s="6"/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>
        <v>2</v>
      </c>
      <c r="FV337" s="6">
        <v>80.19</v>
      </c>
      <c r="FW337" s="5"/>
      <c r="FX337" s="5"/>
      <c r="FY337" s="4"/>
      <c r="FZ337" s="6"/>
      <c r="GA337" s="4">
        <v>2</v>
      </c>
      <c r="GB337" s="6">
        <v>75.4</v>
      </c>
      <c r="GC337" s="5"/>
      <c r="GD337" s="5"/>
      <c r="GE337" s="4"/>
      <c r="GF337" s="6"/>
      <c r="GG337" s="4">
        <v>3</v>
      </c>
      <c r="GH337" s="6">
        <v>127.53</v>
      </c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  <c r="IA337" s="4"/>
      <c r="IB337" s="6"/>
      <c r="IC337" s="4"/>
      <c r="ID337" s="6"/>
      <c r="IE337" s="5"/>
      <c r="IF337" s="5"/>
      <c r="IG337" s="4"/>
      <c r="IH337" s="6"/>
      <c r="II337" s="4"/>
      <c r="IJ337" s="6"/>
      <c r="IK337" s="5"/>
      <c r="IL337" s="5"/>
      <c r="IM337" s="4"/>
      <c r="IN337" s="6"/>
      <c r="IO337" s="4"/>
      <c r="IP337" s="6"/>
      <c r="IQ337" s="5"/>
      <c r="IR337" s="5"/>
      <c r="IS337" s="4"/>
      <c r="IT337" s="6"/>
      <c r="IU337" s="4"/>
      <c r="IV337" s="6"/>
      <c r="IW337" s="5"/>
      <c r="IX337" s="5"/>
      <c r="IY337" s="4"/>
      <c r="IZ337" s="6"/>
      <c r="JA337" s="4"/>
      <c r="JB337" s="6"/>
      <c r="JC337" s="5"/>
      <c r="JD337" s="5"/>
      <c r="JE337" s="4"/>
      <c r="JF337" s="6"/>
      <c r="JG337" s="4"/>
      <c r="JH337" s="6"/>
      <c r="JI337" s="5"/>
      <c r="JJ337" s="5"/>
      <c r="JK337" s="4">
        <v>1229</v>
      </c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</row>
    <row r="338">
      <c r="A338" s="3" t="s">
        <v>136</v>
      </c>
      <c r="B338" s="3" t="s">
        <v>210</v>
      </c>
      <c r="C338" s="3" t="s">
        <v>138</v>
      </c>
      <c r="D338" s="3" t="s">
        <v>139</v>
      </c>
      <c r="E338" s="3" t="s">
        <v>211</v>
      </c>
      <c r="F338" s="3" t="s">
        <v>211</v>
      </c>
      <c r="G338" s="3" t="s">
        <v>211</v>
      </c>
      <c r="H338" s="3" t="s">
        <v>183</v>
      </c>
      <c r="I338" s="3" t="s">
        <v>257</v>
      </c>
      <c r="J338" s="3" t="s">
        <v>228</v>
      </c>
      <c r="K338" s="4">
        <v>745</v>
      </c>
      <c r="L338" s="4">
        <f>=ROUNDDOWN(43.8235294117647,0)</f>
      </c>
      <c r="M338" s="4"/>
      <c r="N338" s="5">
        <v>1</v>
      </c>
      <c r="O338" s="4"/>
      <c r="P338" s="4">
        <f>=ROUNDDOWN({0},0)</f>
      </c>
      <c r="Q338" s="4"/>
      <c r="R338" s="5"/>
      <c r="S338" s="4">
        <v>103</v>
      </c>
      <c r="T338" s="6">
        <v>3358.97</v>
      </c>
      <c r="U338" s="4"/>
      <c r="V338" s="6"/>
      <c r="W338" s="5"/>
      <c r="X338" s="5"/>
      <c r="Y338" s="4">
        <v>25</v>
      </c>
      <c r="Z338" s="6">
        <v>826.42</v>
      </c>
      <c r="AA338" s="4"/>
      <c r="AB338" s="6"/>
      <c r="AC338" s="5"/>
      <c r="AD338" s="5"/>
      <c r="AE338" s="4">
        <v>21</v>
      </c>
      <c r="AF338" s="6">
        <v>644.84</v>
      </c>
      <c r="AG338" s="4"/>
      <c r="AH338" s="6"/>
      <c r="AI338" s="5"/>
      <c r="AJ338" s="5"/>
      <c r="AK338" s="4"/>
      <c r="AL338" s="6"/>
      <c r="AM338" s="4"/>
      <c r="AN338" s="6"/>
      <c r="AO338" s="5"/>
      <c r="AP338" s="5"/>
      <c r="AQ338" s="4">
        <v>14</v>
      </c>
      <c r="AR338" s="6">
        <v>453.77</v>
      </c>
      <c r="AS338" s="4"/>
      <c r="AT338" s="6"/>
      <c r="AU338" s="5"/>
      <c r="AV338" s="5"/>
      <c r="AW338" s="4">
        <v>3</v>
      </c>
      <c r="AX338" s="6">
        <v>99.77</v>
      </c>
      <c r="AY338" s="4"/>
      <c r="AZ338" s="6"/>
      <c r="BA338" s="5"/>
      <c r="BB338" s="5"/>
      <c r="BC338" s="4">
        <v>26</v>
      </c>
      <c r="BD338" s="6">
        <v>793.45</v>
      </c>
      <c r="BE338" s="4"/>
      <c r="BF338" s="6"/>
      <c r="BG338" s="5"/>
      <c r="BH338" s="5"/>
      <c r="BI338" s="4">
        <v>6</v>
      </c>
      <c r="BJ338" s="6">
        <v>207.94</v>
      </c>
      <c r="BK338" s="4"/>
      <c r="BL338" s="6"/>
      <c r="BM338" s="5"/>
      <c r="BN338" s="5"/>
      <c r="BO338" s="4"/>
      <c r="BP338" s="6"/>
      <c r="BQ338" s="4"/>
      <c r="BR338" s="6"/>
      <c r="BS338" s="5"/>
      <c r="BT338" s="5"/>
      <c r="BU338" s="4">
        <v>5</v>
      </c>
      <c r="BV338" s="6">
        <v>161.17</v>
      </c>
      <c r="BW338" s="4"/>
      <c r="BX338" s="6"/>
      <c r="BY338" s="5"/>
      <c r="BZ338" s="5"/>
      <c r="CA338" s="4">
        <v>1</v>
      </c>
      <c r="CB338" s="6">
        <v>50.63</v>
      </c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/>
      <c r="CT338" s="6"/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>
        <v>2</v>
      </c>
      <c r="DL338" s="6">
        <v>120.98</v>
      </c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/>
      <c r="DX338" s="6"/>
      <c r="DY338" s="4"/>
      <c r="DZ338" s="6"/>
      <c r="EA338" s="5"/>
      <c r="EB338" s="5"/>
      <c r="EC338" s="4"/>
      <c r="ED338" s="6"/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/>
      <c r="FB338" s="6"/>
      <c r="FC338" s="4"/>
      <c r="FD338" s="6"/>
      <c r="FE338" s="5"/>
      <c r="FF338" s="5"/>
      <c r="FG338" s="4"/>
      <c r="FH338" s="6"/>
      <c r="FI338" s="4"/>
      <c r="FJ338" s="6"/>
      <c r="FK338" s="5"/>
      <c r="FL338" s="5"/>
      <c r="FM338" s="4"/>
      <c r="FN338" s="6"/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/>
      <c r="GF338" s="6"/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  <c r="IA338" s="4"/>
      <c r="IB338" s="6"/>
      <c r="IC338" s="4"/>
      <c r="ID338" s="6"/>
      <c r="IE338" s="5"/>
      <c r="IF338" s="5"/>
      <c r="IG338" s="4"/>
      <c r="IH338" s="6"/>
      <c r="II338" s="4"/>
      <c r="IJ338" s="6"/>
      <c r="IK338" s="5"/>
      <c r="IL338" s="5"/>
      <c r="IM338" s="4"/>
      <c r="IN338" s="6"/>
      <c r="IO338" s="4"/>
      <c r="IP338" s="6"/>
      <c r="IQ338" s="5"/>
      <c r="IR338" s="5"/>
      <c r="IS338" s="4"/>
      <c r="IT338" s="6"/>
      <c r="IU338" s="4"/>
      <c r="IV338" s="6"/>
      <c r="IW338" s="5"/>
      <c r="IX338" s="5"/>
      <c r="IY338" s="4"/>
      <c r="IZ338" s="6"/>
      <c r="JA338" s="4"/>
      <c r="JB338" s="6"/>
      <c r="JC338" s="5"/>
      <c r="JD338" s="5"/>
      <c r="JE338" s="4"/>
      <c r="JF338" s="6"/>
      <c r="JG338" s="4"/>
      <c r="JH338" s="6"/>
      <c r="JI338" s="5"/>
      <c r="JJ338" s="5"/>
      <c r="JK338" s="4">
        <v>745</v>
      </c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</row>
    <row r="339">
      <c r="A339" s="3" t="s">
        <v>136</v>
      </c>
      <c r="B339" s="3" t="s">
        <v>210</v>
      </c>
      <c r="C339" s="3" t="s">
        <v>138</v>
      </c>
      <c r="D339" s="3" t="s">
        <v>139</v>
      </c>
      <c r="E339" s="3" t="s">
        <v>211</v>
      </c>
      <c r="F339" s="3" t="s">
        <v>211</v>
      </c>
      <c r="G339" s="3" t="s">
        <v>211</v>
      </c>
      <c r="H339" s="3" t="s">
        <v>183</v>
      </c>
      <c r="I339" s="3" t="s">
        <v>238</v>
      </c>
      <c r="J339" s="3" t="s">
        <v>228</v>
      </c>
      <c r="K339" s="4">
        <v>696</v>
      </c>
      <c r="L339" s="4">
        <f>=ROUNDDOWN(43.5,0)</f>
      </c>
      <c r="M339" s="4"/>
      <c r="N339" s="5">
        <v>1</v>
      </c>
      <c r="O339" s="4"/>
      <c r="P339" s="4">
        <f>=ROUNDDOWN({0},0)</f>
      </c>
      <c r="Q339" s="4"/>
      <c r="R339" s="5"/>
      <c r="S339" s="4">
        <v>108</v>
      </c>
      <c r="T339" s="6">
        <v>3299.12</v>
      </c>
      <c r="U339" s="4"/>
      <c r="V339" s="6"/>
      <c r="W339" s="5"/>
      <c r="X339" s="5"/>
      <c r="Y339" s="4">
        <v>24</v>
      </c>
      <c r="Z339" s="6">
        <v>785.58</v>
      </c>
      <c r="AA339" s="4"/>
      <c r="AB339" s="6"/>
      <c r="AC339" s="5"/>
      <c r="AD339" s="5"/>
      <c r="AE339" s="4">
        <v>14</v>
      </c>
      <c r="AF339" s="6">
        <v>427.28</v>
      </c>
      <c r="AG339" s="4"/>
      <c r="AH339" s="6"/>
      <c r="AI339" s="5"/>
      <c r="AJ339" s="5"/>
      <c r="AK339" s="4"/>
      <c r="AL339" s="6"/>
      <c r="AM339" s="4"/>
      <c r="AN339" s="6"/>
      <c r="AO339" s="5"/>
      <c r="AP339" s="5"/>
      <c r="AQ339" s="4">
        <v>7</v>
      </c>
      <c r="AR339" s="6">
        <v>210.91</v>
      </c>
      <c r="AS339" s="4"/>
      <c r="AT339" s="6"/>
      <c r="AU339" s="5"/>
      <c r="AV339" s="5"/>
      <c r="AW339" s="4">
        <v>6</v>
      </c>
      <c r="AX339" s="6">
        <v>194.46</v>
      </c>
      <c r="AY339" s="4"/>
      <c r="AZ339" s="6"/>
      <c r="BA339" s="5"/>
      <c r="BB339" s="5"/>
      <c r="BC339" s="4">
        <v>43</v>
      </c>
      <c r="BD339" s="6">
        <v>1231.13</v>
      </c>
      <c r="BE339" s="4"/>
      <c r="BF339" s="6"/>
      <c r="BG339" s="5"/>
      <c r="BH339" s="5"/>
      <c r="BI339" s="4">
        <v>10</v>
      </c>
      <c r="BJ339" s="6">
        <v>310.95</v>
      </c>
      <c r="BK339" s="4"/>
      <c r="BL339" s="6"/>
      <c r="BM339" s="5"/>
      <c r="BN339" s="5"/>
      <c r="BO339" s="4"/>
      <c r="BP339" s="6"/>
      <c r="BQ339" s="4"/>
      <c r="BR339" s="6"/>
      <c r="BS339" s="5"/>
      <c r="BT339" s="5"/>
      <c r="BU339" s="4">
        <v>2</v>
      </c>
      <c r="BV339" s="6">
        <v>61.4</v>
      </c>
      <c r="BW339" s="4"/>
      <c r="BX339" s="6"/>
      <c r="BY339" s="5"/>
      <c r="BZ339" s="5"/>
      <c r="CA339" s="4">
        <v>2</v>
      </c>
      <c r="CB339" s="6">
        <v>77.41</v>
      </c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/>
      <c r="CT339" s="6"/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/>
      <c r="DF339" s="6"/>
      <c r="DG339" s="4"/>
      <c r="DH339" s="6"/>
      <c r="DI339" s="5"/>
      <c r="DJ339" s="5"/>
      <c r="DK339" s="4"/>
      <c r="DL339" s="6"/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/>
      <c r="DX339" s="6"/>
      <c r="DY339" s="4"/>
      <c r="DZ339" s="6"/>
      <c r="EA339" s="5"/>
      <c r="EB339" s="5"/>
      <c r="EC339" s="4"/>
      <c r="ED339" s="6"/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  <c r="IA339" s="4"/>
      <c r="IB339" s="6"/>
      <c r="IC339" s="4"/>
      <c r="ID339" s="6"/>
      <c r="IE339" s="5"/>
      <c r="IF339" s="5"/>
      <c r="IG339" s="4"/>
      <c r="IH339" s="6"/>
      <c r="II339" s="4"/>
      <c r="IJ339" s="6"/>
      <c r="IK339" s="5"/>
      <c r="IL339" s="5"/>
      <c r="IM339" s="4"/>
      <c r="IN339" s="6"/>
      <c r="IO339" s="4"/>
      <c r="IP339" s="6"/>
      <c r="IQ339" s="5"/>
      <c r="IR339" s="5"/>
      <c r="IS339" s="4"/>
      <c r="IT339" s="6"/>
      <c r="IU339" s="4"/>
      <c r="IV339" s="6"/>
      <c r="IW339" s="5"/>
      <c r="IX339" s="5"/>
      <c r="IY339" s="4"/>
      <c r="IZ339" s="6"/>
      <c r="JA339" s="4"/>
      <c r="JB339" s="6"/>
      <c r="JC339" s="5"/>
      <c r="JD339" s="5"/>
      <c r="JE339" s="4"/>
      <c r="JF339" s="6"/>
      <c r="JG339" s="4"/>
      <c r="JH339" s="6"/>
      <c r="JI339" s="5"/>
      <c r="JJ339" s="5"/>
      <c r="JK339" s="4">
        <v>696</v>
      </c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</row>
    <row r="340">
      <c r="A340" s="3" t="s">
        <v>136</v>
      </c>
      <c r="B340" s="3" t="s">
        <v>210</v>
      </c>
      <c r="C340" s="3" t="s">
        <v>138</v>
      </c>
      <c r="D340" s="3" t="s">
        <v>139</v>
      </c>
      <c r="E340" s="3" t="s">
        <v>211</v>
      </c>
      <c r="F340" s="3" t="s">
        <v>211</v>
      </c>
      <c r="G340" s="3" t="s">
        <v>211</v>
      </c>
      <c r="H340" s="3" t="s">
        <v>183</v>
      </c>
      <c r="I340" s="3" t="s">
        <v>230</v>
      </c>
      <c r="J340" s="3" t="s">
        <v>228</v>
      </c>
      <c r="K340" s="4">
        <v>980</v>
      </c>
      <c r="L340" s="4">
        <f>=ROUNDDOWN(61.25,0)</f>
      </c>
      <c r="M340" s="4"/>
      <c r="N340" s="5">
        <v>1</v>
      </c>
      <c r="O340" s="4"/>
      <c r="P340" s="4">
        <f>=ROUNDDOWN({0},0)</f>
      </c>
      <c r="Q340" s="4"/>
      <c r="R340" s="5"/>
      <c r="S340" s="4">
        <v>91</v>
      </c>
      <c r="T340" s="6">
        <v>2824.67</v>
      </c>
      <c r="U340" s="4"/>
      <c r="V340" s="6"/>
      <c r="W340" s="5"/>
      <c r="X340" s="5"/>
      <c r="Y340" s="4">
        <v>24</v>
      </c>
      <c r="Z340" s="6">
        <v>765.06</v>
      </c>
      <c r="AA340" s="4"/>
      <c r="AB340" s="6"/>
      <c r="AC340" s="5"/>
      <c r="AD340" s="5"/>
      <c r="AE340" s="4">
        <v>21</v>
      </c>
      <c r="AF340" s="6">
        <v>652.49</v>
      </c>
      <c r="AG340" s="4"/>
      <c r="AH340" s="6"/>
      <c r="AI340" s="5"/>
      <c r="AJ340" s="5"/>
      <c r="AK340" s="4"/>
      <c r="AL340" s="6"/>
      <c r="AM340" s="4"/>
      <c r="AN340" s="6"/>
      <c r="AO340" s="5"/>
      <c r="AP340" s="5"/>
      <c r="AQ340" s="4">
        <v>5</v>
      </c>
      <c r="AR340" s="6">
        <v>149.49</v>
      </c>
      <c r="AS340" s="4"/>
      <c r="AT340" s="6"/>
      <c r="AU340" s="5"/>
      <c r="AV340" s="5"/>
      <c r="AW340" s="4">
        <v>5</v>
      </c>
      <c r="AX340" s="6">
        <v>168.89</v>
      </c>
      <c r="AY340" s="4"/>
      <c r="AZ340" s="6"/>
      <c r="BA340" s="5"/>
      <c r="BB340" s="5"/>
      <c r="BC340" s="4">
        <v>27</v>
      </c>
      <c r="BD340" s="6">
        <v>806.34</v>
      </c>
      <c r="BE340" s="4"/>
      <c r="BF340" s="6"/>
      <c r="BG340" s="5"/>
      <c r="BH340" s="5"/>
      <c r="BI340" s="4">
        <v>7</v>
      </c>
      <c r="BJ340" s="6">
        <v>215.87</v>
      </c>
      <c r="BK340" s="4"/>
      <c r="BL340" s="6"/>
      <c r="BM340" s="5"/>
      <c r="BN340" s="5"/>
      <c r="BO340" s="4"/>
      <c r="BP340" s="6"/>
      <c r="BQ340" s="4"/>
      <c r="BR340" s="6"/>
      <c r="BS340" s="5"/>
      <c r="BT340" s="5"/>
      <c r="BU340" s="4">
        <v>2</v>
      </c>
      <c r="BV340" s="6">
        <v>66.53</v>
      </c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/>
      <c r="CT340" s="6"/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/>
      <c r="DF340" s="6"/>
      <c r="DG340" s="4"/>
      <c r="DH340" s="6"/>
      <c r="DI340" s="5"/>
      <c r="DJ340" s="5"/>
      <c r="DK340" s="4"/>
      <c r="DL340" s="6"/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/>
      <c r="ED340" s="6"/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  <c r="IA340" s="4"/>
      <c r="IB340" s="6"/>
      <c r="IC340" s="4"/>
      <c r="ID340" s="6"/>
      <c r="IE340" s="5"/>
      <c r="IF340" s="5"/>
      <c r="IG340" s="4"/>
      <c r="IH340" s="6"/>
      <c r="II340" s="4"/>
      <c r="IJ340" s="6"/>
      <c r="IK340" s="5"/>
      <c r="IL340" s="5"/>
      <c r="IM340" s="4"/>
      <c r="IN340" s="6"/>
      <c r="IO340" s="4"/>
      <c r="IP340" s="6"/>
      <c r="IQ340" s="5"/>
      <c r="IR340" s="5"/>
      <c r="IS340" s="4"/>
      <c r="IT340" s="6"/>
      <c r="IU340" s="4"/>
      <c r="IV340" s="6"/>
      <c r="IW340" s="5"/>
      <c r="IX340" s="5"/>
      <c r="IY340" s="4"/>
      <c r="IZ340" s="6"/>
      <c r="JA340" s="4"/>
      <c r="JB340" s="6"/>
      <c r="JC340" s="5"/>
      <c r="JD340" s="5"/>
      <c r="JE340" s="4"/>
      <c r="JF340" s="6"/>
      <c r="JG340" s="4"/>
      <c r="JH340" s="6"/>
      <c r="JI340" s="5"/>
      <c r="JJ340" s="5"/>
      <c r="JK340" s="4">
        <v>980</v>
      </c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</row>
    <row r="341">
      <c r="A341" s="3" t="s">
        <v>136</v>
      </c>
      <c r="B341" s="3" t="s">
        <v>210</v>
      </c>
      <c r="C341" s="3" t="s">
        <v>138</v>
      </c>
      <c r="D341" s="3" t="s">
        <v>139</v>
      </c>
      <c r="E341" s="3" t="s">
        <v>212</v>
      </c>
      <c r="F341" s="3" t="s">
        <v>212</v>
      </c>
      <c r="G341" s="3" t="s">
        <v>212</v>
      </c>
      <c r="H341" s="3" t="s">
        <v>183</v>
      </c>
      <c r="I341" s="3" t="s">
        <v>234</v>
      </c>
      <c r="J341" s="3" t="s">
        <v>241</v>
      </c>
      <c r="K341" s="4"/>
      <c r="L341" s="4">
        <f>=ROUNDDOWN({0},0)</f>
      </c>
      <c r="M341" s="4"/>
      <c r="N341" s="5"/>
      <c r="O341" s="4"/>
      <c r="P341" s="4">
        <f>=ROUNDDOWN({0},0)</f>
      </c>
      <c r="Q341" s="4"/>
      <c r="R341" s="5"/>
      <c r="S341" s="4"/>
      <c r="T341" s="6"/>
      <c r="U341" s="4">
        <v>41</v>
      </c>
      <c r="V341" s="6">
        <v>960.67</v>
      </c>
      <c r="W341" s="5"/>
      <c r="X341" s="5"/>
      <c r="Y341" s="4"/>
      <c r="Z341" s="6"/>
      <c r="AA341" s="4"/>
      <c r="AB341" s="6"/>
      <c r="AC341" s="5"/>
      <c r="AD341" s="5"/>
      <c r="AE341" s="4"/>
      <c r="AF341" s="6"/>
      <c r="AG341" s="4">
        <v>1</v>
      </c>
      <c r="AH341" s="6">
        <v>21.18</v>
      </c>
      <c r="AI341" s="5"/>
      <c r="AJ341" s="5"/>
      <c r="AK341" s="4"/>
      <c r="AL341" s="6"/>
      <c r="AM341" s="4"/>
      <c r="AN341" s="6"/>
      <c r="AO341" s="5"/>
      <c r="AP341" s="5"/>
      <c r="AQ341" s="4"/>
      <c r="AR341" s="6"/>
      <c r="AS341" s="4"/>
      <c r="AT341" s="6"/>
      <c r="AU341" s="5"/>
      <c r="AV341" s="5"/>
      <c r="AW341" s="4"/>
      <c r="AX341" s="6"/>
      <c r="AY341" s="4"/>
      <c r="AZ341" s="6"/>
      <c r="BA341" s="5"/>
      <c r="BB341" s="5"/>
      <c r="BC341" s="4"/>
      <c r="BD341" s="6"/>
      <c r="BE341" s="4"/>
      <c r="BF341" s="6"/>
      <c r="BG341" s="5"/>
      <c r="BH341" s="5"/>
      <c r="BI341" s="4"/>
      <c r="BJ341" s="6"/>
      <c r="BK341" s="4">
        <v>33</v>
      </c>
      <c r="BL341" s="6">
        <v>728.95</v>
      </c>
      <c r="BM341" s="5"/>
      <c r="BN341" s="5"/>
      <c r="BO341" s="4"/>
      <c r="BP341" s="6"/>
      <c r="BQ341" s="4">
        <v>1</v>
      </c>
      <c r="BR341" s="6">
        <v>21.47</v>
      </c>
      <c r="BS341" s="5"/>
      <c r="BT341" s="5"/>
      <c r="BU341" s="4"/>
      <c r="BV341" s="6"/>
      <c r="BW341" s="4">
        <v>1</v>
      </c>
      <c r="BX341" s="6">
        <v>31.68</v>
      </c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>
        <v>2</v>
      </c>
      <c r="CJ341" s="6">
        <v>63.82</v>
      </c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>
        <v>3</v>
      </c>
      <c r="DB341" s="6">
        <v>93.57</v>
      </c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/>
      <c r="ED341" s="6"/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  <c r="IA341" s="4"/>
      <c r="IB341" s="6"/>
      <c r="IC341" s="4"/>
      <c r="ID341" s="6"/>
      <c r="IE341" s="5"/>
      <c r="IF341" s="5"/>
      <c r="IG341" s="4"/>
      <c r="IH341" s="6"/>
      <c r="II341" s="4"/>
      <c r="IJ341" s="6"/>
      <c r="IK341" s="5"/>
      <c r="IL341" s="5"/>
      <c r="IM341" s="4"/>
      <c r="IN341" s="6"/>
      <c r="IO341" s="4"/>
      <c r="IP341" s="6"/>
      <c r="IQ341" s="5"/>
      <c r="IR341" s="5"/>
      <c r="IS341" s="4"/>
      <c r="IT341" s="6"/>
      <c r="IU341" s="4"/>
      <c r="IV341" s="6"/>
      <c r="IW341" s="5"/>
      <c r="IX341" s="5"/>
      <c r="IY341" s="4"/>
      <c r="IZ341" s="6"/>
      <c r="JA341" s="4"/>
      <c r="JB341" s="6"/>
      <c r="JC341" s="5"/>
      <c r="JD341" s="5"/>
      <c r="JE341" s="4"/>
      <c r="JF341" s="6"/>
      <c r="JG341" s="4"/>
      <c r="JH341" s="6"/>
      <c r="JI341" s="5"/>
      <c r="JJ341" s="5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</row>
    <row r="342">
      <c r="A342" s="3" t="s">
        <v>136</v>
      </c>
      <c r="B342" s="3" t="s">
        <v>210</v>
      </c>
      <c r="C342" s="3" t="s">
        <v>138</v>
      </c>
      <c r="D342" s="3" t="s">
        <v>139</v>
      </c>
      <c r="E342" s="3" t="s">
        <v>213</v>
      </c>
      <c r="F342" s="3" t="s">
        <v>213</v>
      </c>
      <c r="G342" s="3" t="s">
        <v>213</v>
      </c>
      <c r="H342" s="3" t="s">
        <v>183</v>
      </c>
      <c r="I342" s="3" t="s">
        <v>230</v>
      </c>
      <c r="J342" s="3" t="s">
        <v>241</v>
      </c>
      <c r="K342" s="4"/>
      <c r="L342" s="4">
        <f>=ROUNDDOWN({0},0)</f>
      </c>
      <c r="M342" s="4"/>
      <c r="N342" s="5"/>
      <c r="O342" s="4"/>
      <c r="P342" s="4">
        <f>=ROUNDDOWN({0},0)</f>
      </c>
      <c r="Q342" s="4"/>
      <c r="R342" s="5"/>
      <c r="S342" s="4"/>
      <c r="T342" s="6"/>
      <c r="U342" s="4">
        <v>54</v>
      </c>
      <c r="V342" s="6">
        <v>1119.34</v>
      </c>
      <c r="W342" s="5"/>
      <c r="X342" s="5"/>
      <c r="Y342" s="4"/>
      <c r="Z342" s="6"/>
      <c r="AA342" s="4"/>
      <c r="AB342" s="6"/>
      <c r="AC342" s="5"/>
      <c r="AD342" s="5"/>
      <c r="AE342" s="4"/>
      <c r="AF342" s="6"/>
      <c r="AG342" s="4"/>
      <c r="AH342" s="6"/>
      <c r="AI342" s="5"/>
      <c r="AJ342" s="5"/>
      <c r="AK342" s="4"/>
      <c r="AL342" s="6"/>
      <c r="AM342" s="4"/>
      <c r="AN342" s="6"/>
      <c r="AO342" s="5"/>
      <c r="AP342" s="5"/>
      <c r="AQ342" s="4"/>
      <c r="AR342" s="6"/>
      <c r="AS342" s="4"/>
      <c r="AT342" s="6"/>
      <c r="AU342" s="5"/>
      <c r="AV342" s="5"/>
      <c r="AW342" s="4"/>
      <c r="AX342" s="6"/>
      <c r="AY342" s="4"/>
      <c r="AZ342" s="6"/>
      <c r="BA342" s="5"/>
      <c r="BB342" s="5"/>
      <c r="BC342" s="4"/>
      <c r="BD342" s="6"/>
      <c r="BE342" s="4"/>
      <c r="BF342" s="6"/>
      <c r="BG342" s="5"/>
      <c r="BH342" s="5"/>
      <c r="BI342" s="4"/>
      <c r="BJ342" s="6"/>
      <c r="BK342" s="4">
        <v>34</v>
      </c>
      <c r="BL342" s="6">
        <v>606.29</v>
      </c>
      <c r="BM342" s="5"/>
      <c r="BN342" s="5"/>
      <c r="BO342" s="4"/>
      <c r="BP342" s="6"/>
      <c r="BQ342" s="4"/>
      <c r="BR342" s="6"/>
      <c r="BS342" s="5"/>
      <c r="BT342" s="5"/>
      <c r="BU342" s="4"/>
      <c r="BV342" s="6"/>
      <c r="BW342" s="4"/>
      <c r="BX342" s="6"/>
      <c r="BY342" s="5"/>
      <c r="BZ342" s="5"/>
      <c r="CA342" s="4"/>
      <c r="CB342" s="6"/>
      <c r="CC342" s="4">
        <v>1</v>
      </c>
      <c r="CD342" s="6">
        <v>25.98</v>
      </c>
      <c r="CE342" s="5"/>
      <c r="CF342" s="5"/>
      <c r="CG342" s="4"/>
      <c r="CH342" s="6"/>
      <c r="CI342" s="4">
        <v>1</v>
      </c>
      <c r="CJ342" s="6">
        <v>26.11</v>
      </c>
      <c r="CK342" s="5"/>
      <c r="CL342" s="5"/>
      <c r="CM342" s="4"/>
      <c r="CN342" s="6"/>
      <c r="CO342" s="4"/>
      <c r="CP342" s="6"/>
      <c r="CQ342" s="5"/>
      <c r="CR342" s="5"/>
      <c r="CS342" s="4"/>
      <c r="CT342" s="6"/>
      <c r="CU342" s="4"/>
      <c r="CV342" s="6"/>
      <c r="CW342" s="5"/>
      <c r="CX342" s="5"/>
      <c r="CY342" s="4"/>
      <c r="CZ342" s="6"/>
      <c r="DA342" s="4">
        <v>17</v>
      </c>
      <c r="DB342" s="6">
        <v>433.67</v>
      </c>
      <c r="DC342" s="5"/>
      <c r="DD342" s="5"/>
      <c r="DE342" s="4"/>
      <c r="DF342" s="6"/>
      <c r="DG342" s="4"/>
      <c r="DH342" s="6"/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/>
      <c r="DX342" s="6"/>
      <c r="DY342" s="4"/>
      <c r="DZ342" s="6"/>
      <c r="EA342" s="5"/>
      <c r="EB342" s="5"/>
      <c r="EC342" s="4"/>
      <c r="ED342" s="6"/>
      <c r="EE342" s="4"/>
      <c r="EF342" s="6"/>
      <c r="EG342" s="5"/>
      <c r="EH342" s="5"/>
      <c r="EI342" s="4"/>
      <c r="EJ342" s="6"/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/>
      <c r="FB342" s="6"/>
      <c r="FC342" s="4"/>
      <c r="FD342" s="6"/>
      <c r="FE342" s="5"/>
      <c r="FF342" s="5"/>
      <c r="FG342" s="4"/>
      <c r="FH342" s="6"/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>
        <v>1</v>
      </c>
      <c r="FV342" s="6">
        <v>27.29</v>
      </c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  <c r="IA342" s="4"/>
      <c r="IB342" s="6"/>
      <c r="IC342" s="4"/>
      <c r="ID342" s="6"/>
      <c r="IE342" s="5"/>
      <c r="IF342" s="5"/>
      <c r="IG342" s="4"/>
      <c r="IH342" s="6"/>
      <c r="II342" s="4"/>
      <c r="IJ342" s="6"/>
      <c r="IK342" s="5"/>
      <c r="IL342" s="5"/>
      <c r="IM342" s="4"/>
      <c r="IN342" s="6"/>
      <c r="IO342" s="4"/>
      <c r="IP342" s="6"/>
      <c r="IQ342" s="5"/>
      <c r="IR342" s="5"/>
      <c r="IS342" s="4"/>
      <c r="IT342" s="6"/>
      <c r="IU342" s="4"/>
      <c r="IV342" s="6"/>
      <c r="IW342" s="5"/>
      <c r="IX342" s="5"/>
      <c r="IY342" s="4"/>
      <c r="IZ342" s="6"/>
      <c r="JA342" s="4"/>
      <c r="JB342" s="6"/>
      <c r="JC342" s="5"/>
      <c r="JD342" s="5"/>
      <c r="JE342" s="4"/>
      <c r="JF342" s="6"/>
      <c r="JG342" s="4"/>
      <c r="JH342" s="6"/>
      <c r="JI342" s="5"/>
      <c r="JJ342" s="5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</row>
    <row r="343">
      <c r="A343" s="3" t="s">
        <v>136</v>
      </c>
      <c r="B343" s="3" t="s">
        <v>210</v>
      </c>
      <c r="C343" s="3" t="s">
        <v>138</v>
      </c>
      <c r="D343" s="3" t="s">
        <v>139</v>
      </c>
      <c r="E343" s="3" t="s">
        <v>212</v>
      </c>
      <c r="F343" s="3" t="s">
        <v>212</v>
      </c>
      <c r="G343" s="3" t="s">
        <v>212</v>
      </c>
      <c r="H343" s="3" t="s">
        <v>183</v>
      </c>
      <c r="I343" s="3" t="s">
        <v>235</v>
      </c>
      <c r="J343" s="3" t="s">
        <v>241</v>
      </c>
      <c r="K343" s="4"/>
      <c r="L343" s="4">
        <f>=ROUNDDOWN({0},0)</f>
      </c>
      <c r="M343" s="4"/>
      <c r="N343" s="5"/>
      <c r="O343" s="4"/>
      <c r="P343" s="4">
        <f>=ROUNDDOWN({0},0)</f>
      </c>
      <c r="Q343" s="4"/>
      <c r="R343" s="5"/>
      <c r="S343" s="4"/>
      <c r="T343" s="6"/>
      <c r="U343" s="4">
        <v>80</v>
      </c>
      <c r="V343" s="6">
        <v>1956.8</v>
      </c>
      <c r="W343" s="5"/>
      <c r="X343" s="5"/>
      <c r="Y343" s="4"/>
      <c r="Z343" s="6"/>
      <c r="AA343" s="4"/>
      <c r="AB343" s="6"/>
      <c r="AC343" s="5"/>
      <c r="AD343" s="5"/>
      <c r="AE343" s="4"/>
      <c r="AF343" s="6"/>
      <c r="AG343" s="4">
        <v>2</v>
      </c>
      <c r="AH343" s="6">
        <v>33.28</v>
      </c>
      <c r="AI343" s="5"/>
      <c r="AJ343" s="5"/>
      <c r="AK343" s="4"/>
      <c r="AL343" s="6"/>
      <c r="AM343" s="4"/>
      <c r="AN343" s="6"/>
      <c r="AO343" s="5"/>
      <c r="AP343" s="5"/>
      <c r="AQ343" s="4"/>
      <c r="AR343" s="6"/>
      <c r="AS343" s="4"/>
      <c r="AT343" s="6"/>
      <c r="AU343" s="5"/>
      <c r="AV343" s="5"/>
      <c r="AW343" s="4"/>
      <c r="AX343" s="6"/>
      <c r="AY343" s="4"/>
      <c r="AZ343" s="6"/>
      <c r="BA343" s="5"/>
      <c r="BB343" s="5"/>
      <c r="BC343" s="4"/>
      <c r="BD343" s="6"/>
      <c r="BE343" s="4">
        <v>59</v>
      </c>
      <c r="BF343" s="6">
        <v>1538.72</v>
      </c>
      <c r="BG343" s="5"/>
      <c r="BH343" s="5"/>
      <c r="BI343" s="4"/>
      <c r="BJ343" s="6"/>
      <c r="BK343" s="4"/>
      <c r="BL343" s="6"/>
      <c r="BM343" s="5"/>
      <c r="BN343" s="5"/>
      <c r="BO343" s="4"/>
      <c r="BP343" s="6"/>
      <c r="BQ343" s="4">
        <v>10</v>
      </c>
      <c r="BR343" s="6">
        <v>163.8</v>
      </c>
      <c r="BS343" s="5"/>
      <c r="BT343" s="5"/>
      <c r="BU343" s="4"/>
      <c r="BV343" s="6"/>
      <c r="BW343" s="4"/>
      <c r="BX343" s="6"/>
      <c r="BY343" s="5"/>
      <c r="BZ343" s="5"/>
      <c r="CA343" s="4"/>
      <c r="CB343" s="6"/>
      <c r="CC343" s="4">
        <v>4</v>
      </c>
      <c r="CD343" s="6">
        <v>99.28</v>
      </c>
      <c r="CE343" s="5"/>
      <c r="CF343" s="5"/>
      <c r="CG343" s="4"/>
      <c r="CH343" s="6"/>
      <c r="CI343" s="4">
        <v>1</v>
      </c>
      <c r="CJ343" s="6">
        <v>23.76</v>
      </c>
      <c r="CK343" s="5"/>
      <c r="CL343" s="5"/>
      <c r="CM343" s="4"/>
      <c r="CN343" s="6"/>
      <c r="CO343" s="4"/>
      <c r="CP343" s="6"/>
      <c r="CQ343" s="5"/>
      <c r="CR343" s="5"/>
      <c r="CS343" s="4"/>
      <c r="CT343" s="6"/>
      <c r="CU343" s="4"/>
      <c r="CV343" s="6"/>
      <c r="CW343" s="5"/>
      <c r="CX343" s="5"/>
      <c r="CY343" s="4"/>
      <c r="CZ343" s="6"/>
      <c r="DA343" s="4">
        <v>4</v>
      </c>
      <c r="DB343" s="6">
        <v>97.96</v>
      </c>
      <c r="DC343" s="5"/>
      <c r="DD343" s="5"/>
      <c r="DE343" s="4"/>
      <c r="DF343" s="6"/>
      <c r="DG343" s="4"/>
      <c r="DH343" s="6"/>
      <c r="DI343" s="5"/>
      <c r="DJ343" s="5"/>
      <c r="DK343" s="4"/>
      <c r="DL343" s="6"/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/>
      <c r="DX343" s="6"/>
      <c r="DY343" s="4"/>
      <c r="DZ343" s="6"/>
      <c r="EA343" s="5"/>
      <c r="EB343" s="5"/>
      <c r="EC343" s="4"/>
      <c r="ED343" s="6"/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/>
      <c r="FH343" s="6"/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/>
      <c r="FV343" s="6"/>
      <c r="FW343" s="5"/>
      <c r="FX343" s="5"/>
      <c r="FY343" s="4"/>
      <c r="FZ343" s="6"/>
      <c r="GA343" s="4"/>
      <c r="GB343" s="6"/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  <c r="IA343" s="4"/>
      <c r="IB343" s="6"/>
      <c r="IC343" s="4"/>
      <c r="ID343" s="6"/>
      <c r="IE343" s="5"/>
      <c r="IF343" s="5"/>
      <c r="IG343" s="4"/>
      <c r="IH343" s="6"/>
      <c r="II343" s="4"/>
      <c r="IJ343" s="6"/>
      <c r="IK343" s="5"/>
      <c r="IL343" s="5"/>
      <c r="IM343" s="4"/>
      <c r="IN343" s="6"/>
      <c r="IO343" s="4"/>
      <c r="IP343" s="6"/>
      <c r="IQ343" s="5"/>
      <c r="IR343" s="5"/>
      <c r="IS343" s="4"/>
      <c r="IT343" s="6"/>
      <c r="IU343" s="4"/>
      <c r="IV343" s="6"/>
      <c r="IW343" s="5"/>
      <c r="IX343" s="5"/>
      <c r="IY343" s="4"/>
      <c r="IZ343" s="6"/>
      <c r="JA343" s="4"/>
      <c r="JB343" s="6"/>
      <c r="JC343" s="5"/>
      <c r="JD343" s="5"/>
      <c r="JE343" s="4"/>
      <c r="JF343" s="6"/>
      <c r="JG343" s="4"/>
      <c r="JH343" s="6"/>
      <c r="JI343" s="5"/>
      <c r="JJ343" s="5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</row>
    <row r="344">
      <c r="A344" s="3" t="s">
        <v>136</v>
      </c>
      <c r="B344" s="3" t="s">
        <v>210</v>
      </c>
      <c r="C344" s="3" t="s">
        <v>138</v>
      </c>
      <c r="D344" s="3" t="s">
        <v>139</v>
      </c>
      <c r="E344" s="3" t="s">
        <v>212</v>
      </c>
      <c r="F344" s="3" t="s">
        <v>212</v>
      </c>
      <c r="G344" s="3" t="s">
        <v>212</v>
      </c>
      <c r="H344" s="3" t="s">
        <v>183</v>
      </c>
      <c r="I344" s="3" t="s">
        <v>232</v>
      </c>
      <c r="J344" s="3" t="s">
        <v>241</v>
      </c>
      <c r="K344" s="4"/>
      <c r="L344" s="4">
        <f>=ROUNDDOWN({0},0)</f>
      </c>
      <c r="M344" s="4"/>
      <c r="N344" s="5"/>
      <c r="O344" s="4"/>
      <c r="P344" s="4">
        <f>=ROUNDDOWN({0},0)</f>
      </c>
      <c r="Q344" s="4"/>
      <c r="R344" s="5"/>
      <c r="S344" s="4"/>
      <c r="T344" s="6"/>
      <c r="U344" s="4">
        <v>27</v>
      </c>
      <c r="V344" s="6">
        <v>420.08</v>
      </c>
      <c r="W344" s="5"/>
      <c r="X344" s="5"/>
      <c r="Y344" s="4"/>
      <c r="Z344" s="6"/>
      <c r="AA344" s="4"/>
      <c r="AB344" s="6"/>
      <c r="AC344" s="5"/>
      <c r="AD344" s="5"/>
      <c r="AE344" s="4"/>
      <c r="AF344" s="6"/>
      <c r="AG344" s="4"/>
      <c r="AH344" s="6"/>
      <c r="AI344" s="5"/>
      <c r="AJ344" s="5"/>
      <c r="AK344" s="4"/>
      <c r="AL344" s="6"/>
      <c r="AM344" s="4"/>
      <c r="AN344" s="6"/>
      <c r="AO344" s="5"/>
      <c r="AP344" s="5"/>
      <c r="AQ344" s="4"/>
      <c r="AR344" s="6"/>
      <c r="AS344" s="4">
        <v>1</v>
      </c>
      <c r="AT344" s="6">
        <v>22.6</v>
      </c>
      <c r="AU344" s="5"/>
      <c r="AV344" s="5"/>
      <c r="AW344" s="4"/>
      <c r="AX344" s="6"/>
      <c r="AY344" s="4"/>
      <c r="AZ344" s="6"/>
      <c r="BA344" s="5"/>
      <c r="BB344" s="5"/>
      <c r="BC344" s="4"/>
      <c r="BD344" s="6"/>
      <c r="BE344" s="4"/>
      <c r="BF344" s="6"/>
      <c r="BG344" s="5"/>
      <c r="BH344" s="5"/>
      <c r="BI344" s="4"/>
      <c r="BJ344" s="6"/>
      <c r="BK344" s="4">
        <v>25</v>
      </c>
      <c r="BL344" s="6">
        <v>375.75</v>
      </c>
      <c r="BM344" s="5"/>
      <c r="BN344" s="5"/>
      <c r="BO344" s="4"/>
      <c r="BP344" s="6"/>
      <c r="BQ344" s="4"/>
      <c r="BR344" s="6"/>
      <c r="BS344" s="5"/>
      <c r="BT344" s="5"/>
      <c r="BU344" s="4"/>
      <c r="BV344" s="6"/>
      <c r="BW344" s="4"/>
      <c r="BX344" s="6"/>
      <c r="BY344" s="5"/>
      <c r="BZ344" s="5"/>
      <c r="CA344" s="4"/>
      <c r="CB344" s="6"/>
      <c r="CC344" s="4">
        <v>1</v>
      </c>
      <c r="CD344" s="6">
        <v>21.73</v>
      </c>
      <c r="CE344" s="5"/>
      <c r="CF344" s="5"/>
      <c r="CG344" s="4"/>
      <c r="CH344" s="6"/>
      <c r="CI344" s="4"/>
      <c r="CJ344" s="6"/>
      <c r="CK344" s="5"/>
      <c r="CL344" s="5"/>
      <c r="CM344" s="4"/>
      <c r="CN344" s="6"/>
      <c r="CO344" s="4"/>
      <c r="CP344" s="6"/>
      <c r="CQ344" s="5"/>
      <c r="CR344" s="5"/>
      <c r="CS344" s="4"/>
      <c r="CT344" s="6"/>
      <c r="CU344" s="4"/>
      <c r="CV344" s="6"/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/>
      <c r="ED344" s="6"/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/>
      <c r="FV344" s="6"/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  <c r="IA344" s="4"/>
      <c r="IB344" s="6"/>
      <c r="IC344" s="4"/>
      <c r="ID344" s="6"/>
      <c r="IE344" s="5"/>
      <c r="IF344" s="5"/>
      <c r="IG344" s="4"/>
      <c r="IH344" s="6"/>
      <c r="II344" s="4"/>
      <c r="IJ344" s="6"/>
      <c r="IK344" s="5"/>
      <c r="IL344" s="5"/>
      <c r="IM344" s="4"/>
      <c r="IN344" s="6"/>
      <c r="IO344" s="4"/>
      <c r="IP344" s="6"/>
      <c r="IQ344" s="5"/>
      <c r="IR344" s="5"/>
      <c r="IS344" s="4"/>
      <c r="IT344" s="6"/>
      <c r="IU344" s="4"/>
      <c r="IV344" s="6"/>
      <c r="IW344" s="5"/>
      <c r="IX344" s="5"/>
      <c r="IY344" s="4"/>
      <c r="IZ344" s="6"/>
      <c r="JA344" s="4"/>
      <c r="JB344" s="6"/>
      <c r="JC344" s="5"/>
      <c r="JD344" s="5"/>
      <c r="JE344" s="4"/>
      <c r="JF344" s="6"/>
      <c r="JG344" s="4"/>
      <c r="JH344" s="6"/>
      <c r="JI344" s="5"/>
      <c r="JJ344" s="5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</row>
    <row r="345">
      <c r="A345" s="3" t="s">
        <v>136</v>
      </c>
      <c r="B345" s="3" t="s">
        <v>210</v>
      </c>
      <c r="C345" s="3" t="s">
        <v>214</v>
      </c>
      <c r="D345" s="3" t="s">
        <v>215</v>
      </c>
      <c r="E345" s="3" t="s">
        <v>213</v>
      </c>
      <c r="F345" s="3" t="s">
        <v>213</v>
      </c>
      <c r="G345" s="3" t="s">
        <v>213</v>
      </c>
      <c r="H345" s="3" t="s">
        <v>183</v>
      </c>
      <c r="I345" s="3" t="s">
        <v>240</v>
      </c>
      <c r="J345" s="3" t="s">
        <v>241</v>
      </c>
      <c r="K345" s="4"/>
      <c r="L345" s="4">
        <f>=ROUNDDOWN({0},0)</f>
      </c>
      <c r="M345" s="4"/>
      <c r="N345" s="5"/>
      <c r="O345" s="4"/>
      <c r="P345" s="4">
        <f>=ROUNDDOWN({0},0)</f>
      </c>
      <c r="Q345" s="4"/>
      <c r="R345" s="5"/>
      <c r="S345" s="4"/>
      <c r="T345" s="6"/>
      <c r="U345" s="4">
        <v>21</v>
      </c>
      <c r="V345" s="6">
        <v>846.28</v>
      </c>
      <c r="W345" s="5"/>
      <c r="X345" s="5"/>
      <c r="Y345" s="4"/>
      <c r="Z345" s="6"/>
      <c r="AA345" s="4">
        <v>1</v>
      </c>
      <c r="AB345" s="6">
        <v>35.25</v>
      </c>
      <c r="AC345" s="5"/>
      <c r="AD345" s="5"/>
      <c r="AE345" s="4"/>
      <c r="AF345" s="6"/>
      <c r="AG345" s="4">
        <v>2</v>
      </c>
      <c r="AH345" s="6">
        <v>80.38</v>
      </c>
      <c r="AI345" s="5"/>
      <c r="AJ345" s="5"/>
      <c r="AK345" s="4"/>
      <c r="AL345" s="6"/>
      <c r="AM345" s="4"/>
      <c r="AN345" s="6"/>
      <c r="AO345" s="5"/>
      <c r="AP345" s="5"/>
      <c r="AQ345" s="4"/>
      <c r="AR345" s="6"/>
      <c r="AS345" s="4"/>
      <c r="AT345" s="6"/>
      <c r="AU345" s="5"/>
      <c r="AV345" s="5"/>
      <c r="AW345" s="4"/>
      <c r="AX345" s="6"/>
      <c r="AY345" s="4"/>
      <c r="AZ345" s="6"/>
      <c r="BA345" s="5"/>
      <c r="BB345" s="5"/>
      <c r="BC345" s="4"/>
      <c r="BD345" s="6"/>
      <c r="BE345" s="4">
        <v>1</v>
      </c>
      <c r="BF345" s="6">
        <v>57.95</v>
      </c>
      <c r="BG345" s="5"/>
      <c r="BH345" s="5"/>
      <c r="BI345" s="4"/>
      <c r="BJ345" s="6"/>
      <c r="BK345" s="4">
        <v>1</v>
      </c>
      <c r="BL345" s="6">
        <v>54.68</v>
      </c>
      <c r="BM345" s="5"/>
      <c r="BN345" s="5"/>
      <c r="BO345" s="4"/>
      <c r="BP345" s="6"/>
      <c r="BQ345" s="4">
        <v>1</v>
      </c>
      <c r="BR345" s="6">
        <v>43.63</v>
      </c>
      <c r="BS345" s="5"/>
      <c r="BT345" s="5"/>
      <c r="BU345" s="4"/>
      <c r="BV345" s="6"/>
      <c r="BW345" s="4"/>
      <c r="BX345" s="6"/>
      <c r="BY345" s="5"/>
      <c r="BZ345" s="5"/>
      <c r="CA345" s="4"/>
      <c r="CB345" s="6"/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/>
      <c r="CN345" s="6"/>
      <c r="CO345" s="4"/>
      <c r="CP345" s="6"/>
      <c r="CQ345" s="5"/>
      <c r="CR345" s="5"/>
      <c r="CS345" s="4"/>
      <c r="CT345" s="6"/>
      <c r="CU345" s="4"/>
      <c r="CV345" s="6"/>
      <c r="CW345" s="5"/>
      <c r="CX345" s="5"/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/>
      <c r="DX345" s="6"/>
      <c r="DY345" s="4"/>
      <c r="DZ345" s="6"/>
      <c r="EA345" s="5"/>
      <c r="EB345" s="5"/>
      <c r="EC345" s="4"/>
      <c r="ED345" s="6"/>
      <c r="EE345" s="4"/>
      <c r="EF345" s="6"/>
      <c r="EG345" s="5"/>
      <c r="EH345" s="5"/>
      <c r="EI345" s="4"/>
      <c r="EJ345" s="6"/>
      <c r="EK345" s="4">
        <v>1</v>
      </c>
      <c r="EL345" s="6">
        <v>55.83</v>
      </c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>
        <v>14</v>
      </c>
      <c r="FV345" s="6">
        <v>518.56</v>
      </c>
      <c r="FW345" s="5"/>
      <c r="FX345" s="5"/>
      <c r="FY345" s="4"/>
      <c r="FZ345" s="6"/>
      <c r="GA345" s="4"/>
      <c r="GB345" s="6"/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  <c r="IA345" s="4"/>
      <c r="IB345" s="6"/>
      <c r="IC345" s="4"/>
      <c r="ID345" s="6"/>
      <c r="IE345" s="5"/>
      <c r="IF345" s="5"/>
      <c r="IG345" s="4"/>
      <c r="IH345" s="6"/>
      <c r="II345" s="4"/>
      <c r="IJ345" s="6"/>
      <c r="IK345" s="5"/>
      <c r="IL345" s="5"/>
      <c r="IM345" s="4"/>
      <c r="IN345" s="6"/>
      <c r="IO345" s="4"/>
      <c r="IP345" s="6"/>
      <c r="IQ345" s="5"/>
      <c r="IR345" s="5"/>
      <c r="IS345" s="4"/>
      <c r="IT345" s="6"/>
      <c r="IU345" s="4"/>
      <c r="IV345" s="6"/>
      <c r="IW345" s="5"/>
      <c r="IX345" s="5"/>
      <c r="IY345" s="4"/>
      <c r="IZ345" s="6"/>
      <c r="JA345" s="4"/>
      <c r="JB345" s="6"/>
      <c r="JC345" s="5"/>
      <c r="JD345" s="5"/>
      <c r="JE345" s="4"/>
      <c r="JF345" s="6"/>
      <c r="JG345" s="4"/>
      <c r="JH345" s="6"/>
      <c r="JI345" s="5"/>
      <c r="JJ345" s="5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</row>
    <row r="346">
      <c r="A346" s="3" t="s">
        <v>136</v>
      </c>
      <c r="B346" s="3" t="s">
        <v>210</v>
      </c>
      <c r="C346" s="3" t="s">
        <v>178</v>
      </c>
      <c r="D346" s="3" t="s">
        <v>179</v>
      </c>
      <c r="E346" s="3" t="s">
        <v>213</v>
      </c>
      <c r="F346" s="3" t="s">
        <v>213</v>
      </c>
      <c r="G346" s="3" t="s">
        <v>213</v>
      </c>
      <c r="H346" s="3" t="s">
        <v>183</v>
      </c>
      <c r="I346" s="3" t="s">
        <v>240</v>
      </c>
      <c r="J346" s="3" t="s">
        <v>241</v>
      </c>
      <c r="K346" s="4"/>
      <c r="L346" s="4">
        <f>=ROUNDDOWN({0},0)</f>
      </c>
      <c r="M346" s="4"/>
      <c r="N346" s="5"/>
      <c r="O346" s="4"/>
      <c r="P346" s="4">
        <f>=ROUNDDOWN({0},0)</f>
      </c>
      <c r="Q346" s="4"/>
      <c r="R346" s="5"/>
      <c r="S346" s="4"/>
      <c r="T346" s="6"/>
      <c r="U346" s="4">
        <v>2</v>
      </c>
      <c r="V346" s="6">
        <v>43.18</v>
      </c>
      <c r="W346" s="5"/>
      <c r="X346" s="5"/>
      <c r="Y346" s="4"/>
      <c r="Z346" s="6"/>
      <c r="AA346" s="4">
        <v>1</v>
      </c>
      <c r="AB346" s="6">
        <v>17.13</v>
      </c>
      <c r="AC346" s="5"/>
      <c r="AD346" s="5"/>
      <c r="AE346" s="4"/>
      <c r="AF346" s="6"/>
      <c r="AG346" s="4"/>
      <c r="AH346" s="6"/>
      <c r="AI346" s="5"/>
      <c r="AJ346" s="5"/>
      <c r="AK346" s="4"/>
      <c r="AL346" s="6"/>
      <c r="AM346" s="4"/>
      <c r="AN346" s="6"/>
      <c r="AO346" s="5"/>
      <c r="AP346" s="5"/>
      <c r="AQ346" s="4"/>
      <c r="AR346" s="6"/>
      <c r="AS346" s="4"/>
      <c r="AT346" s="6"/>
      <c r="AU346" s="5"/>
      <c r="AV346" s="5"/>
      <c r="AW346" s="4"/>
      <c r="AX346" s="6"/>
      <c r="AY346" s="4"/>
      <c r="AZ346" s="6"/>
      <c r="BA346" s="5"/>
      <c r="BB346" s="5"/>
      <c r="BC346" s="4"/>
      <c r="BD346" s="6"/>
      <c r="BE346" s="4"/>
      <c r="BF346" s="6"/>
      <c r="BG346" s="5"/>
      <c r="BH346" s="5"/>
      <c r="BI346" s="4"/>
      <c r="BJ346" s="6"/>
      <c r="BK346" s="4"/>
      <c r="BL346" s="6"/>
      <c r="BM346" s="5"/>
      <c r="BN346" s="5"/>
      <c r="BO346" s="4"/>
      <c r="BP346" s="6"/>
      <c r="BQ346" s="4"/>
      <c r="BR346" s="6"/>
      <c r="BS346" s="5"/>
      <c r="BT346" s="5"/>
      <c r="BU346" s="4"/>
      <c r="BV346" s="6"/>
      <c r="BW346" s="4"/>
      <c r="BX346" s="6"/>
      <c r="BY346" s="5"/>
      <c r="BZ346" s="5"/>
      <c r="CA346" s="4"/>
      <c r="CB346" s="6"/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/>
      <c r="CN346" s="6"/>
      <c r="CO346" s="4"/>
      <c r="CP346" s="6"/>
      <c r="CQ346" s="5"/>
      <c r="CR346" s="5"/>
      <c r="CS346" s="4"/>
      <c r="CT346" s="6"/>
      <c r="CU346" s="4"/>
      <c r="CV346" s="6"/>
      <c r="CW346" s="5"/>
      <c r="CX346" s="5"/>
      <c r="CY346" s="4"/>
      <c r="CZ346" s="6"/>
      <c r="DA346" s="4"/>
      <c r="DB346" s="6"/>
      <c r="DC346" s="5"/>
      <c r="DD346" s="5"/>
      <c r="DE346" s="4"/>
      <c r="DF346" s="6"/>
      <c r="DG346" s="4"/>
      <c r="DH346" s="6"/>
      <c r="DI346" s="5"/>
      <c r="DJ346" s="5"/>
      <c r="DK346" s="4"/>
      <c r="DL346" s="6"/>
      <c r="DM346" s="4">
        <v>1</v>
      </c>
      <c r="DN346" s="6">
        <v>26.05</v>
      </c>
      <c r="DO346" s="5"/>
      <c r="DP346" s="5"/>
      <c r="DQ346" s="4"/>
      <c r="DR346" s="6"/>
      <c r="DS346" s="4"/>
      <c r="DT346" s="6"/>
      <c r="DU346" s="5"/>
      <c r="DV346" s="5"/>
      <c r="DW346" s="4"/>
      <c r="DX346" s="6"/>
      <c r="DY346" s="4"/>
      <c r="DZ346" s="6"/>
      <c r="EA346" s="5"/>
      <c r="EB346" s="5"/>
      <c r="EC346" s="4"/>
      <c r="ED346" s="6"/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/>
      <c r="FH346" s="6"/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/>
      <c r="FV346" s="6"/>
      <c r="FW346" s="5"/>
      <c r="FX346" s="5"/>
      <c r="FY346" s="4"/>
      <c r="FZ346" s="6"/>
      <c r="GA346" s="4"/>
      <c r="GB346" s="6"/>
      <c r="GC346" s="5"/>
      <c r="GD346" s="5"/>
      <c r="GE346" s="4"/>
      <c r="GF346" s="6"/>
      <c r="GG346" s="4"/>
      <c r="GH346" s="6"/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  <c r="IA346" s="4"/>
      <c r="IB346" s="6"/>
      <c r="IC346" s="4"/>
      <c r="ID346" s="6"/>
      <c r="IE346" s="5"/>
      <c r="IF346" s="5"/>
      <c r="IG346" s="4"/>
      <c r="IH346" s="6"/>
      <c r="II346" s="4"/>
      <c r="IJ346" s="6"/>
      <c r="IK346" s="5"/>
      <c r="IL346" s="5"/>
      <c r="IM346" s="4"/>
      <c r="IN346" s="6"/>
      <c r="IO346" s="4"/>
      <c r="IP346" s="6"/>
      <c r="IQ346" s="5"/>
      <c r="IR346" s="5"/>
      <c r="IS346" s="4"/>
      <c r="IT346" s="6"/>
      <c r="IU346" s="4"/>
      <c r="IV346" s="6"/>
      <c r="IW346" s="5"/>
      <c r="IX346" s="5"/>
      <c r="IY346" s="4"/>
      <c r="IZ346" s="6"/>
      <c r="JA346" s="4"/>
      <c r="JB346" s="6"/>
      <c r="JC346" s="5"/>
      <c r="JD346" s="5"/>
      <c r="JE346" s="4"/>
      <c r="JF346" s="6"/>
      <c r="JG346" s="4"/>
      <c r="JH346" s="6"/>
      <c r="JI346" s="5"/>
      <c r="JJ346" s="5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</row>
    <row r="347">
      <c r="A347" s="3" t="s">
        <v>136</v>
      </c>
      <c r="B347" s="3" t="s">
        <v>210</v>
      </c>
      <c r="C347" s="3" t="s">
        <v>178</v>
      </c>
      <c r="D347" s="3" t="s">
        <v>179</v>
      </c>
      <c r="E347" s="3" t="s">
        <v>213</v>
      </c>
      <c r="F347" s="3" t="s">
        <v>213</v>
      </c>
      <c r="G347" s="3" t="s">
        <v>213</v>
      </c>
      <c r="H347" s="3" t="s">
        <v>183</v>
      </c>
      <c r="I347" s="3" t="s">
        <v>230</v>
      </c>
      <c r="J347" s="3" t="s">
        <v>241</v>
      </c>
      <c r="K347" s="4"/>
      <c r="L347" s="4">
        <f>=ROUNDDOWN({0},0)</f>
      </c>
      <c r="M347" s="4"/>
      <c r="N347" s="5"/>
      <c r="O347" s="4"/>
      <c r="P347" s="4">
        <f>=ROUNDDOWN({0},0)</f>
      </c>
      <c r="Q347" s="4"/>
      <c r="R347" s="5"/>
      <c r="S347" s="4"/>
      <c r="T347" s="6"/>
      <c r="U347" s="4">
        <v>119</v>
      </c>
      <c r="V347" s="6">
        <v>2549.37</v>
      </c>
      <c r="W347" s="5"/>
      <c r="X347" s="5"/>
      <c r="Y347" s="4"/>
      <c r="Z347" s="6"/>
      <c r="AA347" s="4">
        <v>21</v>
      </c>
      <c r="AB347" s="6">
        <v>449.61</v>
      </c>
      <c r="AC347" s="5"/>
      <c r="AD347" s="5"/>
      <c r="AE347" s="4"/>
      <c r="AF347" s="6"/>
      <c r="AG347" s="4">
        <v>5</v>
      </c>
      <c r="AH347" s="6">
        <v>103.7</v>
      </c>
      <c r="AI347" s="5"/>
      <c r="AJ347" s="5"/>
      <c r="AK347" s="4"/>
      <c r="AL347" s="6"/>
      <c r="AM347" s="4"/>
      <c r="AN347" s="6"/>
      <c r="AO347" s="5"/>
      <c r="AP347" s="5"/>
      <c r="AQ347" s="4"/>
      <c r="AR347" s="6"/>
      <c r="AS347" s="4"/>
      <c r="AT347" s="6"/>
      <c r="AU347" s="5"/>
      <c r="AV347" s="5"/>
      <c r="AW347" s="4"/>
      <c r="AX347" s="6"/>
      <c r="AY347" s="4"/>
      <c r="AZ347" s="6"/>
      <c r="BA347" s="5"/>
      <c r="BB347" s="5"/>
      <c r="BC347" s="4"/>
      <c r="BD347" s="6"/>
      <c r="BE347" s="4">
        <v>11</v>
      </c>
      <c r="BF347" s="6">
        <v>325.93</v>
      </c>
      <c r="BG347" s="5"/>
      <c r="BH347" s="5"/>
      <c r="BI347" s="4"/>
      <c r="BJ347" s="6"/>
      <c r="BK347" s="4">
        <v>69</v>
      </c>
      <c r="BL347" s="6">
        <v>1350.33</v>
      </c>
      <c r="BM347" s="5"/>
      <c r="BN347" s="5"/>
      <c r="BO347" s="4"/>
      <c r="BP347" s="6"/>
      <c r="BQ347" s="4">
        <v>5</v>
      </c>
      <c r="BR347" s="6">
        <v>117.08</v>
      </c>
      <c r="BS347" s="5"/>
      <c r="BT347" s="5"/>
      <c r="BU347" s="4"/>
      <c r="BV347" s="6"/>
      <c r="BW347" s="4"/>
      <c r="BX347" s="6"/>
      <c r="BY347" s="5"/>
      <c r="BZ347" s="5"/>
      <c r="CA347" s="4"/>
      <c r="CB347" s="6"/>
      <c r="CC347" s="4">
        <v>5</v>
      </c>
      <c r="CD347" s="6">
        <v>144.85</v>
      </c>
      <c r="CE347" s="5"/>
      <c r="CF347" s="5"/>
      <c r="CG347" s="4"/>
      <c r="CH347" s="6"/>
      <c r="CI347" s="4"/>
      <c r="CJ347" s="6"/>
      <c r="CK347" s="5"/>
      <c r="CL347" s="5"/>
      <c r="CM347" s="4"/>
      <c r="CN347" s="6"/>
      <c r="CO347" s="4"/>
      <c r="CP347" s="6"/>
      <c r="CQ347" s="5"/>
      <c r="CR347" s="5"/>
      <c r="CS347" s="4"/>
      <c r="CT347" s="6"/>
      <c r="CU347" s="4"/>
      <c r="CV347" s="6"/>
      <c r="CW347" s="5"/>
      <c r="CX347" s="5"/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/>
      <c r="DX347" s="6"/>
      <c r="DY347" s="4"/>
      <c r="DZ347" s="6"/>
      <c r="EA347" s="5"/>
      <c r="EB347" s="5"/>
      <c r="EC347" s="4"/>
      <c r="ED347" s="6"/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/>
      <c r="FH347" s="6"/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>
        <v>3</v>
      </c>
      <c r="FV347" s="6">
        <v>57.87</v>
      </c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  <c r="IA347" s="4"/>
      <c r="IB347" s="6"/>
      <c r="IC347" s="4"/>
      <c r="ID347" s="6"/>
      <c r="IE347" s="5"/>
      <c r="IF347" s="5"/>
      <c r="IG347" s="4"/>
      <c r="IH347" s="6"/>
      <c r="II347" s="4"/>
      <c r="IJ347" s="6"/>
      <c r="IK347" s="5"/>
      <c r="IL347" s="5"/>
      <c r="IM347" s="4"/>
      <c r="IN347" s="6"/>
      <c r="IO347" s="4"/>
      <c r="IP347" s="6"/>
      <c r="IQ347" s="5"/>
      <c r="IR347" s="5"/>
      <c r="IS347" s="4"/>
      <c r="IT347" s="6"/>
      <c r="IU347" s="4"/>
      <c r="IV347" s="6"/>
      <c r="IW347" s="5"/>
      <c r="IX347" s="5"/>
      <c r="IY347" s="4"/>
      <c r="IZ347" s="6"/>
      <c r="JA347" s="4"/>
      <c r="JB347" s="6"/>
      <c r="JC347" s="5"/>
      <c r="JD347" s="5"/>
      <c r="JE347" s="4"/>
      <c r="JF347" s="6"/>
      <c r="JG347" s="4"/>
      <c r="JH347" s="6"/>
      <c r="JI347" s="5"/>
      <c r="JJ347" s="5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</row>
    <row r="348">
      <c r="A348" s="3" t="s">
        <v>136</v>
      </c>
      <c r="B348" s="3" t="s">
        <v>216</v>
      </c>
      <c r="C348" s="3" t="s">
        <v>138</v>
      </c>
      <c r="D348" s="3" t="s">
        <v>139</v>
      </c>
      <c r="E348" s="3" t="s">
        <v>217</v>
      </c>
      <c r="F348" s="3" t="s">
        <v>217</v>
      </c>
      <c r="G348" s="3" t="s">
        <v>217</v>
      </c>
      <c r="H348" s="3" t="s">
        <v>143</v>
      </c>
      <c r="I348" s="3" t="s">
        <v>227</v>
      </c>
      <c r="J348" s="3" t="s">
        <v>241</v>
      </c>
      <c r="K348" s="4">
        <v>226</v>
      </c>
      <c r="L348" s="4">
        <f>=ROUNDDOWN(56.5,0)</f>
      </c>
      <c r="M348" s="4"/>
      <c r="N348" s="5"/>
      <c r="O348" s="4"/>
      <c r="P348" s="4">
        <f>=ROUNDDOWN({0},0)</f>
      </c>
      <c r="Q348" s="4"/>
      <c r="R348" s="5"/>
      <c r="S348" s="4">
        <v>38</v>
      </c>
      <c r="T348" s="6">
        <v>1320.43</v>
      </c>
      <c r="U348" s="4">
        <v>74</v>
      </c>
      <c r="V348" s="6">
        <v>2549.7</v>
      </c>
      <c r="W348" s="5">
        <v>-0.4865</v>
      </c>
      <c r="X348" s="5">
        <v>-0.4821</v>
      </c>
      <c r="Y348" s="4">
        <v>6</v>
      </c>
      <c r="Z348" s="6">
        <v>161.3</v>
      </c>
      <c r="AA348" s="4">
        <v>22</v>
      </c>
      <c r="AB348" s="6">
        <v>813.69</v>
      </c>
      <c r="AC348" s="5">
        <v>-0.7273</v>
      </c>
      <c r="AD348" s="5">
        <v>-0.8018</v>
      </c>
      <c r="AE348" s="4">
        <v>1</v>
      </c>
      <c r="AF348" s="6">
        <v>38.59</v>
      </c>
      <c r="AG348" s="4"/>
      <c r="AH348" s="6"/>
      <c r="AI348" s="5"/>
      <c r="AJ348" s="5"/>
      <c r="AK348" s="4"/>
      <c r="AL348" s="6"/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4</v>
      </c>
      <c r="AX348" s="6">
        <v>147.74</v>
      </c>
      <c r="AY348" s="4">
        <v>9</v>
      </c>
      <c r="AZ348" s="6">
        <v>345.1</v>
      </c>
      <c r="BA348" s="5">
        <v>-0.5556</v>
      </c>
      <c r="BB348" s="5">
        <v>-0.5719</v>
      </c>
      <c r="BC348" s="4">
        <v>10</v>
      </c>
      <c r="BD348" s="6">
        <v>358.08</v>
      </c>
      <c r="BE348" s="4">
        <v>15</v>
      </c>
      <c r="BF348" s="6">
        <v>479.12</v>
      </c>
      <c r="BG348" s="5">
        <v>-0.3333</v>
      </c>
      <c r="BH348" s="5">
        <v>-0.2526</v>
      </c>
      <c r="BI348" s="4">
        <v>3</v>
      </c>
      <c r="BJ348" s="6">
        <v>123.89</v>
      </c>
      <c r="BK348" s="4">
        <v>1</v>
      </c>
      <c r="BL348" s="6">
        <v>39.69</v>
      </c>
      <c r="BM348" s="5">
        <v>2</v>
      </c>
      <c r="BN348" s="5">
        <v>2.1214</v>
      </c>
      <c r="BO348" s="4">
        <v>7</v>
      </c>
      <c r="BP348" s="6">
        <v>165.17</v>
      </c>
      <c r="BQ348" s="4">
        <v>3</v>
      </c>
      <c r="BR348" s="6">
        <v>95.55</v>
      </c>
      <c r="BS348" s="5">
        <v>1.3333</v>
      </c>
      <c r="BT348" s="5">
        <v>0.7286</v>
      </c>
      <c r="BU348" s="4"/>
      <c r="BV348" s="6"/>
      <c r="BW348" s="4"/>
      <c r="BX348" s="6"/>
      <c r="BY348" s="5"/>
      <c r="BZ348" s="5"/>
      <c r="CA348" s="4">
        <v>6</v>
      </c>
      <c r="CB348" s="6">
        <v>265.67</v>
      </c>
      <c r="CC348" s="4">
        <v>23</v>
      </c>
      <c r="CD348" s="6">
        <v>732.45</v>
      </c>
      <c r="CE348" s="5">
        <v>-0.7391</v>
      </c>
      <c r="CF348" s="5">
        <v>-0.6373</v>
      </c>
      <c r="CG348" s="4"/>
      <c r="CH348" s="6"/>
      <c r="CI348" s="4"/>
      <c r="CJ348" s="6"/>
      <c r="CK348" s="5"/>
      <c r="CL348" s="5"/>
      <c r="CM348" s="4"/>
      <c r="CN348" s="6"/>
      <c r="CO348" s="4"/>
      <c r="CP348" s="6"/>
      <c r="CQ348" s="5"/>
      <c r="CR348" s="5"/>
      <c r="CS348" s="4"/>
      <c r="CT348" s="6"/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>
        <v>1</v>
      </c>
      <c r="DL348" s="6">
        <v>59.99</v>
      </c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/>
      <c r="DX348" s="6"/>
      <c r="DY348" s="4"/>
      <c r="DZ348" s="6"/>
      <c r="EA348" s="5"/>
      <c r="EB348" s="5"/>
      <c r="EC348" s="4"/>
      <c r="ED348" s="6"/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>
        <v>1</v>
      </c>
      <c r="FV348" s="6">
        <v>44.1</v>
      </c>
      <c r="FW348" s="5"/>
      <c r="FX348" s="5"/>
      <c r="FY348" s="4"/>
      <c r="FZ348" s="6"/>
      <c r="GA348" s="4"/>
      <c r="GB348" s="6"/>
      <c r="GC348" s="5"/>
      <c r="GD348" s="5"/>
      <c r="GE348" s="4"/>
      <c r="GF348" s="6"/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  <c r="IA348" s="4"/>
      <c r="IB348" s="6"/>
      <c r="IC348" s="4"/>
      <c r="ID348" s="6"/>
      <c r="IE348" s="5"/>
      <c r="IF348" s="5"/>
      <c r="IG348" s="4"/>
      <c r="IH348" s="6"/>
      <c r="II348" s="4"/>
      <c r="IJ348" s="6"/>
      <c r="IK348" s="5"/>
      <c r="IL348" s="5"/>
      <c r="IM348" s="4"/>
      <c r="IN348" s="6"/>
      <c r="IO348" s="4"/>
      <c r="IP348" s="6"/>
      <c r="IQ348" s="5"/>
      <c r="IR348" s="5"/>
      <c r="IS348" s="4"/>
      <c r="IT348" s="6"/>
      <c r="IU348" s="4"/>
      <c r="IV348" s="6"/>
      <c r="IW348" s="5"/>
      <c r="IX348" s="5"/>
      <c r="IY348" s="4"/>
      <c r="IZ348" s="6"/>
      <c r="JA348" s="4"/>
      <c r="JB348" s="6"/>
      <c r="JC348" s="5"/>
      <c r="JD348" s="5"/>
      <c r="JE348" s="4"/>
      <c r="JF348" s="6"/>
      <c r="JG348" s="4"/>
      <c r="JH348" s="6"/>
      <c r="JI348" s="5"/>
      <c r="JJ348" s="5"/>
      <c r="JK348" s="4">
        <v>226</v>
      </c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</row>
    <row r="349">
      <c r="A349" s="3" t="s">
        <v>136</v>
      </c>
      <c r="B349" s="3" t="s">
        <v>216</v>
      </c>
      <c r="C349" s="3" t="s">
        <v>138</v>
      </c>
      <c r="D349" s="3" t="s">
        <v>139</v>
      </c>
      <c r="E349" s="3" t="s">
        <v>217</v>
      </c>
      <c r="F349" s="3" t="s">
        <v>217</v>
      </c>
      <c r="G349" s="3" t="s">
        <v>217</v>
      </c>
      <c r="H349" s="3" t="s">
        <v>143</v>
      </c>
      <c r="I349" s="3" t="s">
        <v>244</v>
      </c>
      <c r="J349" s="3" t="s">
        <v>241</v>
      </c>
      <c r="K349" s="4">
        <v>231</v>
      </c>
      <c r="L349" s="4">
        <f>=ROUNDDOWN(46.2,0)</f>
      </c>
      <c r="M349" s="4"/>
      <c r="N349" s="5"/>
      <c r="O349" s="4"/>
      <c r="P349" s="4">
        <f>=ROUNDDOWN({0},0)</f>
      </c>
      <c r="Q349" s="4"/>
      <c r="R349" s="5"/>
      <c r="S349" s="4">
        <v>27</v>
      </c>
      <c r="T349" s="6">
        <v>970.71</v>
      </c>
      <c r="U349" s="4">
        <v>61</v>
      </c>
      <c r="V349" s="6">
        <v>2330.1</v>
      </c>
      <c r="W349" s="5">
        <v>-0.5574</v>
      </c>
      <c r="X349" s="5">
        <v>-0.5834</v>
      </c>
      <c r="Y349" s="4">
        <v>6</v>
      </c>
      <c r="Z349" s="6">
        <v>169.02</v>
      </c>
      <c r="AA349" s="4">
        <v>23</v>
      </c>
      <c r="AB349" s="6">
        <v>892.52</v>
      </c>
      <c r="AC349" s="5">
        <v>-0.7391</v>
      </c>
      <c r="AD349" s="5">
        <v>-0.8106</v>
      </c>
      <c r="AE349" s="4">
        <v>2</v>
      </c>
      <c r="AF349" s="6">
        <v>73.87</v>
      </c>
      <c r="AG349" s="4"/>
      <c r="AH349" s="6"/>
      <c r="AI349" s="5"/>
      <c r="AJ349" s="5"/>
      <c r="AK349" s="4"/>
      <c r="AL349" s="6"/>
      <c r="AM349" s="4"/>
      <c r="AN349" s="6"/>
      <c r="AO349" s="5"/>
      <c r="AP349" s="5"/>
      <c r="AQ349" s="4"/>
      <c r="AR349" s="6"/>
      <c r="AS349" s="4"/>
      <c r="AT349" s="6"/>
      <c r="AU349" s="5"/>
      <c r="AV349" s="5"/>
      <c r="AW349" s="4">
        <v>3</v>
      </c>
      <c r="AX349" s="6">
        <v>109.15</v>
      </c>
      <c r="AY349" s="4">
        <v>13</v>
      </c>
      <c r="AZ349" s="6">
        <v>505.52</v>
      </c>
      <c r="BA349" s="5">
        <v>-0.7692</v>
      </c>
      <c r="BB349" s="5">
        <v>-0.7841</v>
      </c>
      <c r="BC349" s="4">
        <v>11</v>
      </c>
      <c r="BD349" s="6">
        <v>380.1</v>
      </c>
      <c r="BE349" s="4">
        <v>10</v>
      </c>
      <c r="BF349" s="6">
        <v>347.1</v>
      </c>
      <c r="BG349" s="5">
        <v>0.1</v>
      </c>
      <c r="BH349" s="5">
        <v>0.0951</v>
      </c>
      <c r="BI349" s="4">
        <v>2</v>
      </c>
      <c r="BJ349" s="6">
        <v>75.42</v>
      </c>
      <c r="BK349" s="4">
        <v>9</v>
      </c>
      <c r="BL349" s="6">
        <v>348.71</v>
      </c>
      <c r="BM349" s="5">
        <v>-0.7778</v>
      </c>
      <c r="BN349" s="5">
        <v>-0.7837</v>
      </c>
      <c r="BO349" s="4"/>
      <c r="BP349" s="6"/>
      <c r="BQ349" s="4"/>
      <c r="BR349" s="6"/>
      <c r="BS349" s="5"/>
      <c r="BT349" s="5"/>
      <c r="BU349" s="4">
        <v>1</v>
      </c>
      <c r="BV349" s="6">
        <v>44.1</v>
      </c>
      <c r="BW349" s="4"/>
      <c r="BX349" s="6"/>
      <c r="BY349" s="5"/>
      <c r="BZ349" s="5"/>
      <c r="CA349" s="4">
        <v>1</v>
      </c>
      <c r="CB349" s="6">
        <v>49.06</v>
      </c>
      <c r="CC349" s="4">
        <v>4</v>
      </c>
      <c r="CD349" s="6">
        <v>157.5</v>
      </c>
      <c r="CE349" s="5">
        <v>-0.75</v>
      </c>
      <c r="CF349" s="5">
        <v>-0.6885</v>
      </c>
      <c r="CG349" s="4"/>
      <c r="CH349" s="6"/>
      <c r="CI349" s="4"/>
      <c r="CJ349" s="6"/>
      <c r="CK349" s="5"/>
      <c r="CL349" s="5"/>
      <c r="CM349" s="4"/>
      <c r="CN349" s="6"/>
      <c r="CO349" s="4"/>
      <c r="CP349" s="6"/>
      <c r="CQ349" s="5"/>
      <c r="CR349" s="5"/>
      <c r="CS349" s="4"/>
      <c r="CT349" s="6"/>
      <c r="CU349" s="4"/>
      <c r="CV349" s="6"/>
      <c r="CW349" s="5"/>
      <c r="CX349" s="5"/>
      <c r="CY349" s="4"/>
      <c r="CZ349" s="6"/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>
        <v>1</v>
      </c>
      <c r="DL349" s="6">
        <v>69.99</v>
      </c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/>
      <c r="DX349" s="6"/>
      <c r="DY349" s="4"/>
      <c r="DZ349" s="6"/>
      <c r="EA349" s="5"/>
      <c r="EB349" s="5"/>
      <c r="EC349" s="4"/>
      <c r="ED349" s="6"/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/>
      <c r="EP349" s="6"/>
      <c r="EQ349" s="4"/>
      <c r="ER349" s="6"/>
      <c r="ES349" s="5"/>
      <c r="ET349" s="5"/>
      <c r="EU349" s="4"/>
      <c r="EV349" s="6"/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/>
      <c r="FV349" s="6"/>
      <c r="FW349" s="5"/>
      <c r="FX349" s="5"/>
      <c r="FY349" s="4"/>
      <c r="FZ349" s="6"/>
      <c r="GA349" s="4">
        <v>2</v>
      </c>
      <c r="GB349" s="6">
        <v>78.75</v>
      </c>
      <c r="GC349" s="5"/>
      <c r="GD349" s="5"/>
      <c r="GE349" s="4"/>
      <c r="GF349" s="6"/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/>
      <c r="GR349" s="6"/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  <c r="IA349" s="4"/>
      <c r="IB349" s="6"/>
      <c r="IC349" s="4"/>
      <c r="ID349" s="6"/>
      <c r="IE349" s="5"/>
      <c r="IF349" s="5"/>
      <c r="IG349" s="4"/>
      <c r="IH349" s="6"/>
      <c r="II349" s="4"/>
      <c r="IJ349" s="6"/>
      <c r="IK349" s="5"/>
      <c r="IL349" s="5"/>
      <c r="IM349" s="4"/>
      <c r="IN349" s="6"/>
      <c r="IO349" s="4"/>
      <c r="IP349" s="6"/>
      <c r="IQ349" s="5"/>
      <c r="IR349" s="5"/>
      <c r="IS349" s="4"/>
      <c r="IT349" s="6"/>
      <c r="IU349" s="4"/>
      <c r="IV349" s="6"/>
      <c r="IW349" s="5"/>
      <c r="IX349" s="5"/>
      <c r="IY349" s="4"/>
      <c r="IZ349" s="6"/>
      <c r="JA349" s="4"/>
      <c r="JB349" s="6"/>
      <c r="JC349" s="5"/>
      <c r="JD349" s="5"/>
      <c r="JE349" s="4"/>
      <c r="JF349" s="6"/>
      <c r="JG349" s="4"/>
      <c r="JH349" s="6"/>
      <c r="JI349" s="5"/>
      <c r="JJ349" s="5"/>
      <c r="JK349" s="4">
        <v>231</v>
      </c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</row>
    <row r="350">
      <c r="A350" s="3" t="s">
        <v>136</v>
      </c>
      <c r="B350" s="3" t="s">
        <v>216</v>
      </c>
      <c r="C350" s="3" t="s">
        <v>138</v>
      </c>
      <c r="D350" s="3" t="s">
        <v>139</v>
      </c>
      <c r="E350" s="3" t="s">
        <v>217</v>
      </c>
      <c r="F350" s="3" t="s">
        <v>217</v>
      </c>
      <c r="G350" s="3" t="s">
        <v>217</v>
      </c>
      <c r="H350" s="3" t="s">
        <v>143</v>
      </c>
      <c r="I350" s="3" t="s">
        <v>230</v>
      </c>
      <c r="J350" s="3" t="s">
        <v>241</v>
      </c>
      <c r="K350" s="4">
        <v>596</v>
      </c>
      <c r="L350" s="4">
        <f>=ROUNDDOWN(149,0)</f>
      </c>
      <c r="M350" s="4"/>
      <c r="N350" s="5"/>
      <c r="O350" s="4"/>
      <c r="P350" s="4">
        <f>=ROUNDDOWN({0},0)</f>
      </c>
      <c r="Q350" s="4"/>
      <c r="R350" s="5"/>
      <c r="S350" s="4">
        <v>25</v>
      </c>
      <c r="T350" s="6">
        <v>820.16</v>
      </c>
      <c r="U350" s="4">
        <v>48</v>
      </c>
      <c r="V350" s="6">
        <v>1595.11</v>
      </c>
      <c r="W350" s="5">
        <v>-0.4792</v>
      </c>
      <c r="X350" s="5">
        <v>-0.4858</v>
      </c>
      <c r="Y350" s="4">
        <v>5</v>
      </c>
      <c r="Z350" s="6">
        <v>128.12</v>
      </c>
      <c r="AA350" s="4">
        <v>12</v>
      </c>
      <c r="AB350" s="6">
        <v>455.35</v>
      </c>
      <c r="AC350" s="5">
        <v>-0.5833</v>
      </c>
      <c r="AD350" s="5">
        <v>-0.7186</v>
      </c>
      <c r="AE350" s="4">
        <v>1</v>
      </c>
      <c r="AF350" s="6">
        <v>38.59</v>
      </c>
      <c r="AG350" s="4"/>
      <c r="AH350" s="6"/>
      <c r="AI350" s="5"/>
      <c r="AJ350" s="5"/>
      <c r="AK350" s="4"/>
      <c r="AL350" s="6"/>
      <c r="AM350" s="4"/>
      <c r="AN350" s="6"/>
      <c r="AO350" s="5"/>
      <c r="AP350" s="5"/>
      <c r="AQ350" s="4"/>
      <c r="AR350" s="6"/>
      <c r="AS350" s="4"/>
      <c r="AT350" s="6"/>
      <c r="AU350" s="5"/>
      <c r="AV350" s="5"/>
      <c r="AW350" s="4">
        <v>2</v>
      </c>
      <c r="AX350" s="6">
        <v>82.69</v>
      </c>
      <c r="AY350" s="4">
        <v>5</v>
      </c>
      <c r="AZ350" s="6">
        <v>194.6</v>
      </c>
      <c r="BA350" s="5">
        <v>-0.6</v>
      </c>
      <c r="BB350" s="5">
        <v>-0.5751</v>
      </c>
      <c r="BC350" s="4">
        <v>6</v>
      </c>
      <c r="BD350" s="6">
        <v>198.25</v>
      </c>
      <c r="BE350" s="4">
        <v>28</v>
      </c>
      <c r="BF350" s="6">
        <v>831.11</v>
      </c>
      <c r="BG350" s="5">
        <v>-0.7857</v>
      </c>
      <c r="BH350" s="5">
        <v>-0.7615</v>
      </c>
      <c r="BI350" s="4">
        <v>1</v>
      </c>
      <c r="BJ350" s="6">
        <v>37.71</v>
      </c>
      <c r="BK350" s="4">
        <v>1</v>
      </c>
      <c r="BL350" s="6">
        <v>30.05</v>
      </c>
      <c r="BM350" s="5"/>
      <c r="BN350" s="5">
        <v>0.2549</v>
      </c>
      <c r="BO350" s="4">
        <v>7</v>
      </c>
      <c r="BP350" s="6">
        <v>172</v>
      </c>
      <c r="BQ350" s="4"/>
      <c r="BR350" s="6"/>
      <c r="BS350" s="5"/>
      <c r="BT350" s="5"/>
      <c r="BU350" s="4"/>
      <c r="BV350" s="6"/>
      <c r="BW350" s="4"/>
      <c r="BX350" s="6"/>
      <c r="BY350" s="5"/>
      <c r="BZ350" s="5"/>
      <c r="CA350" s="4">
        <v>2</v>
      </c>
      <c r="CB350" s="6">
        <v>92.81</v>
      </c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/>
      <c r="CN350" s="6"/>
      <c r="CO350" s="4"/>
      <c r="CP350" s="6"/>
      <c r="CQ350" s="5"/>
      <c r="CR350" s="5"/>
      <c r="CS350" s="4"/>
      <c r="CT350" s="6"/>
      <c r="CU350" s="4"/>
      <c r="CV350" s="6"/>
      <c r="CW350" s="5"/>
      <c r="CX350" s="5"/>
      <c r="CY350" s="4"/>
      <c r="CZ350" s="6"/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>
        <v>1</v>
      </c>
      <c r="DL350" s="6">
        <v>69.99</v>
      </c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/>
      <c r="DX350" s="6"/>
      <c r="DY350" s="4"/>
      <c r="DZ350" s="6"/>
      <c r="EA350" s="5"/>
      <c r="EB350" s="5"/>
      <c r="EC350" s="4"/>
      <c r="ED350" s="6"/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/>
      <c r="EP350" s="6"/>
      <c r="EQ350" s="4"/>
      <c r="ER350" s="6"/>
      <c r="ES350" s="5"/>
      <c r="ET350" s="5"/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/>
      <c r="FH350" s="6"/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/>
      <c r="FV350" s="6"/>
      <c r="FW350" s="5"/>
      <c r="FX350" s="5"/>
      <c r="FY350" s="4"/>
      <c r="FZ350" s="6"/>
      <c r="GA350" s="4">
        <v>2</v>
      </c>
      <c r="GB350" s="6">
        <v>84</v>
      </c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  <c r="IA350" s="4"/>
      <c r="IB350" s="6"/>
      <c r="IC350" s="4"/>
      <c r="ID350" s="6"/>
      <c r="IE350" s="5"/>
      <c r="IF350" s="5"/>
      <c r="IG350" s="4"/>
      <c r="IH350" s="6"/>
      <c r="II350" s="4"/>
      <c r="IJ350" s="6"/>
      <c r="IK350" s="5"/>
      <c r="IL350" s="5"/>
      <c r="IM350" s="4"/>
      <c r="IN350" s="6"/>
      <c r="IO350" s="4"/>
      <c r="IP350" s="6"/>
      <c r="IQ350" s="5"/>
      <c r="IR350" s="5"/>
      <c r="IS350" s="4"/>
      <c r="IT350" s="6"/>
      <c r="IU350" s="4"/>
      <c r="IV350" s="6"/>
      <c r="IW350" s="5"/>
      <c r="IX350" s="5"/>
      <c r="IY350" s="4"/>
      <c r="IZ350" s="6"/>
      <c r="JA350" s="4"/>
      <c r="JB350" s="6"/>
      <c r="JC350" s="5"/>
      <c r="JD350" s="5"/>
      <c r="JE350" s="4"/>
      <c r="JF350" s="6"/>
      <c r="JG350" s="4"/>
      <c r="JH350" s="6"/>
      <c r="JI350" s="5"/>
      <c r="JJ350" s="5"/>
      <c r="JK350" s="4">
        <v>596</v>
      </c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</row>
    <row r="351">
      <c r="A351" s="3" t="s">
        <v>136</v>
      </c>
      <c r="B351" s="3" t="s">
        <v>216</v>
      </c>
      <c r="C351" s="3" t="s">
        <v>138</v>
      </c>
      <c r="D351" s="3" t="s">
        <v>139</v>
      </c>
      <c r="E351" s="3" t="s">
        <v>217</v>
      </c>
      <c r="F351" s="3" t="s">
        <v>217</v>
      </c>
      <c r="G351" s="3" t="s">
        <v>217</v>
      </c>
      <c r="H351" s="3" t="s">
        <v>143</v>
      </c>
      <c r="I351" s="3" t="s">
        <v>240</v>
      </c>
      <c r="J351" s="3" t="s">
        <v>241</v>
      </c>
      <c r="K351" s="4">
        <v>70</v>
      </c>
      <c r="L351" s="4">
        <f>=ROUNDDOWN(23.3333333333333,0)</f>
      </c>
      <c r="M351" s="4"/>
      <c r="N351" s="5"/>
      <c r="O351" s="4"/>
      <c r="P351" s="4">
        <f>=ROUNDDOWN({0},0)</f>
      </c>
      <c r="Q351" s="4"/>
      <c r="R351" s="5"/>
      <c r="S351" s="4">
        <v>20</v>
      </c>
      <c r="T351" s="6">
        <v>697.31</v>
      </c>
      <c r="U351" s="4">
        <v>58</v>
      </c>
      <c r="V351" s="6">
        <v>2188.87</v>
      </c>
      <c r="W351" s="5">
        <v>-0.6552</v>
      </c>
      <c r="X351" s="5">
        <v>-0.6814</v>
      </c>
      <c r="Y351" s="4">
        <v>4</v>
      </c>
      <c r="Z351" s="6">
        <v>107.28</v>
      </c>
      <c r="AA351" s="4">
        <v>27</v>
      </c>
      <c r="AB351" s="6">
        <v>1036.95</v>
      </c>
      <c r="AC351" s="5">
        <v>-0.8519</v>
      </c>
      <c r="AD351" s="5">
        <v>-0.8965</v>
      </c>
      <c r="AE351" s="4">
        <v>2</v>
      </c>
      <c r="AF351" s="6">
        <v>77.18</v>
      </c>
      <c r="AG351" s="4"/>
      <c r="AH351" s="6"/>
      <c r="AI351" s="5"/>
      <c r="AJ351" s="5"/>
      <c r="AK351" s="4"/>
      <c r="AL351" s="6"/>
      <c r="AM351" s="4"/>
      <c r="AN351" s="6"/>
      <c r="AO351" s="5"/>
      <c r="AP351" s="5"/>
      <c r="AQ351" s="4"/>
      <c r="AR351" s="6"/>
      <c r="AS351" s="4"/>
      <c r="AT351" s="6"/>
      <c r="AU351" s="5"/>
      <c r="AV351" s="5"/>
      <c r="AW351" s="4">
        <v>4</v>
      </c>
      <c r="AX351" s="6">
        <v>147.74</v>
      </c>
      <c r="AY351" s="4">
        <v>15</v>
      </c>
      <c r="AZ351" s="6">
        <v>537.51</v>
      </c>
      <c r="BA351" s="5">
        <v>-0.7333</v>
      </c>
      <c r="BB351" s="5">
        <v>-0.7251</v>
      </c>
      <c r="BC351" s="4">
        <v>5</v>
      </c>
      <c r="BD351" s="6">
        <v>181.74</v>
      </c>
      <c r="BE351" s="4">
        <v>5</v>
      </c>
      <c r="BF351" s="6">
        <v>159.68</v>
      </c>
      <c r="BG351" s="5"/>
      <c r="BH351" s="5">
        <v>0.1382</v>
      </c>
      <c r="BI351" s="4">
        <v>2</v>
      </c>
      <c r="BJ351" s="6">
        <v>72.19</v>
      </c>
      <c r="BK351" s="4">
        <v>7</v>
      </c>
      <c r="BL351" s="6">
        <v>291.44</v>
      </c>
      <c r="BM351" s="5">
        <v>-0.7143</v>
      </c>
      <c r="BN351" s="5">
        <v>-0.7523</v>
      </c>
      <c r="BO351" s="4">
        <v>2</v>
      </c>
      <c r="BP351" s="6">
        <v>51.19</v>
      </c>
      <c r="BQ351" s="4"/>
      <c r="BR351" s="6"/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>
        <v>1</v>
      </c>
      <c r="CD351" s="6">
        <v>54.51</v>
      </c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>
        <v>1</v>
      </c>
      <c r="DL351" s="6">
        <v>59.99</v>
      </c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/>
      <c r="DX351" s="6"/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>
        <v>1</v>
      </c>
      <c r="FV351" s="6">
        <v>35.28</v>
      </c>
      <c r="FW351" s="5"/>
      <c r="FX351" s="5"/>
      <c r="FY351" s="4"/>
      <c r="FZ351" s="6"/>
      <c r="GA351" s="4">
        <v>2</v>
      </c>
      <c r="GB351" s="6">
        <v>73.5</v>
      </c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  <c r="IA351" s="4"/>
      <c r="IB351" s="6"/>
      <c r="IC351" s="4"/>
      <c r="ID351" s="6"/>
      <c r="IE351" s="5"/>
      <c r="IF351" s="5"/>
      <c r="IG351" s="4"/>
      <c r="IH351" s="6"/>
      <c r="II351" s="4"/>
      <c r="IJ351" s="6"/>
      <c r="IK351" s="5"/>
      <c r="IL351" s="5"/>
      <c r="IM351" s="4"/>
      <c r="IN351" s="6"/>
      <c r="IO351" s="4"/>
      <c r="IP351" s="6"/>
      <c r="IQ351" s="5"/>
      <c r="IR351" s="5"/>
      <c r="IS351" s="4"/>
      <c r="IT351" s="6"/>
      <c r="IU351" s="4"/>
      <c r="IV351" s="6"/>
      <c r="IW351" s="5"/>
      <c r="IX351" s="5"/>
      <c r="IY351" s="4"/>
      <c r="IZ351" s="6"/>
      <c r="JA351" s="4"/>
      <c r="JB351" s="6"/>
      <c r="JC351" s="5"/>
      <c r="JD351" s="5"/>
      <c r="JE351" s="4"/>
      <c r="JF351" s="6"/>
      <c r="JG351" s="4"/>
      <c r="JH351" s="6"/>
      <c r="JI351" s="5"/>
      <c r="JJ351" s="5"/>
      <c r="JK351" s="4">
        <v>70</v>
      </c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</row>
    <row r="352">
      <c r="A352" s="3" t="s">
        <v>136</v>
      </c>
      <c r="B352" s="3" t="s">
        <v>216</v>
      </c>
      <c r="C352" s="3" t="s">
        <v>138</v>
      </c>
      <c r="D352" s="3" t="s">
        <v>139</v>
      </c>
      <c r="E352" s="3" t="s">
        <v>219</v>
      </c>
      <c r="F352" s="3" t="s">
        <v>219</v>
      </c>
      <c r="G352" s="3" t="s">
        <v>219</v>
      </c>
      <c r="H352" s="3" t="s">
        <v>146</v>
      </c>
      <c r="I352" s="3" t="s">
        <v>231</v>
      </c>
      <c r="J352" s="3" t="s">
        <v>241</v>
      </c>
      <c r="K352" s="4"/>
      <c r="L352" s="4">
        <f>=ROUNDDOWN({0},0)</f>
      </c>
      <c r="M352" s="4"/>
      <c r="N352" s="5"/>
      <c r="O352" s="4"/>
      <c r="P352" s="4">
        <f>=ROUNDDOWN({0},0)</f>
      </c>
      <c r="Q352" s="4"/>
      <c r="R352" s="5"/>
      <c r="S352" s="4"/>
      <c r="T352" s="6"/>
      <c r="U352" s="4">
        <v>129</v>
      </c>
      <c r="V352" s="6">
        <v>2335.61</v>
      </c>
      <c r="W352" s="5"/>
      <c r="X352" s="5"/>
      <c r="Y352" s="4"/>
      <c r="Z352" s="6"/>
      <c r="AA352" s="4">
        <v>9</v>
      </c>
      <c r="AB352" s="6">
        <v>156.42</v>
      </c>
      <c r="AC352" s="5"/>
      <c r="AD352" s="5"/>
      <c r="AE352" s="4"/>
      <c r="AF352" s="6"/>
      <c r="AG352" s="4"/>
      <c r="AH352" s="6"/>
      <c r="AI352" s="5"/>
      <c r="AJ352" s="5"/>
      <c r="AK352" s="4"/>
      <c r="AL352" s="6"/>
      <c r="AM352" s="4"/>
      <c r="AN352" s="6"/>
      <c r="AO352" s="5"/>
      <c r="AP352" s="5"/>
      <c r="AQ352" s="4"/>
      <c r="AR352" s="6"/>
      <c r="AS352" s="4"/>
      <c r="AT352" s="6"/>
      <c r="AU352" s="5"/>
      <c r="AV352" s="5"/>
      <c r="AW352" s="4"/>
      <c r="AX352" s="6"/>
      <c r="AY352" s="4">
        <v>5</v>
      </c>
      <c r="AZ352" s="6">
        <v>100.42</v>
      </c>
      <c r="BA352" s="5"/>
      <c r="BB352" s="5"/>
      <c r="BC352" s="4"/>
      <c r="BD352" s="6"/>
      <c r="BE352" s="4">
        <v>4</v>
      </c>
      <c r="BF352" s="6">
        <v>93.88</v>
      </c>
      <c r="BG352" s="5"/>
      <c r="BH352" s="5"/>
      <c r="BI352" s="4"/>
      <c r="BJ352" s="6"/>
      <c r="BK352" s="4">
        <v>106</v>
      </c>
      <c r="BL352" s="6">
        <v>1872.12</v>
      </c>
      <c r="BM352" s="5"/>
      <c r="BN352" s="5"/>
      <c r="BO352" s="4"/>
      <c r="BP352" s="6"/>
      <c r="BQ352" s="4"/>
      <c r="BR352" s="6"/>
      <c r="BS352" s="5"/>
      <c r="BT352" s="5"/>
      <c r="BU352" s="4"/>
      <c r="BV352" s="6"/>
      <c r="BW352" s="4"/>
      <c r="BX352" s="6"/>
      <c r="BY352" s="5"/>
      <c r="BZ352" s="5"/>
      <c r="CA352" s="4"/>
      <c r="CB352" s="6"/>
      <c r="CC352" s="4">
        <v>1</v>
      </c>
      <c r="CD352" s="6">
        <v>19.31</v>
      </c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/>
      <c r="CT352" s="6"/>
      <c r="CU352" s="4"/>
      <c r="CV352" s="6"/>
      <c r="CW352" s="5"/>
      <c r="CX352" s="5"/>
      <c r="CY352" s="4"/>
      <c r="CZ352" s="6"/>
      <c r="DA352" s="4"/>
      <c r="DB352" s="6"/>
      <c r="DC352" s="5"/>
      <c r="DD352" s="5"/>
      <c r="DE352" s="4"/>
      <c r="DF352" s="6"/>
      <c r="DG352" s="4"/>
      <c r="DH352" s="6"/>
      <c r="DI352" s="5"/>
      <c r="DJ352" s="5"/>
      <c r="DK352" s="4"/>
      <c r="DL352" s="6"/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>
        <v>2</v>
      </c>
      <c r="DZ352" s="6">
        <v>46.94</v>
      </c>
      <c r="EA352" s="5"/>
      <c r="EB352" s="5"/>
      <c r="EC352" s="4"/>
      <c r="ED352" s="6"/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/>
      <c r="ER352" s="6"/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>
        <v>2</v>
      </c>
      <c r="FV352" s="6">
        <v>46.52</v>
      </c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  <c r="IA352" s="4"/>
      <c r="IB352" s="6"/>
      <c r="IC352" s="4"/>
      <c r="ID352" s="6"/>
      <c r="IE352" s="5"/>
      <c r="IF352" s="5"/>
      <c r="IG352" s="4"/>
      <c r="IH352" s="6"/>
      <c r="II352" s="4"/>
      <c r="IJ352" s="6"/>
      <c r="IK352" s="5"/>
      <c r="IL352" s="5"/>
      <c r="IM352" s="4"/>
      <c r="IN352" s="6"/>
      <c r="IO352" s="4"/>
      <c r="IP352" s="6"/>
      <c r="IQ352" s="5"/>
      <c r="IR352" s="5"/>
      <c r="IS352" s="4"/>
      <c r="IT352" s="6"/>
      <c r="IU352" s="4"/>
      <c r="IV352" s="6"/>
      <c r="IW352" s="5"/>
      <c r="IX352" s="5"/>
      <c r="IY352" s="4"/>
      <c r="IZ352" s="6"/>
      <c r="JA352" s="4"/>
      <c r="JB352" s="6"/>
      <c r="JC352" s="5"/>
      <c r="JD352" s="5"/>
      <c r="JE352" s="4"/>
      <c r="JF352" s="6"/>
      <c r="JG352" s="4"/>
      <c r="JH352" s="6"/>
      <c r="JI352" s="5"/>
      <c r="JJ352" s="5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</row>
    <row r="353">
      <c r="A353" s="3" t="s">
        <v>136</v>
      </c>
      <c r="B353" s="3" t="s">
        <v>216</v>
      </c>
      <c r="C353" s="3" t="s">
        <v>138</v>
      </c>
      <c r="D353" s="3" t="s">
        <v>139</v>
      </c>
      <c r="E353" s="3" t="s">
        <v>219</v>
      </c>
      <c r="F353" s="3" t="s">
        <v>219</v>
      </c>
      <c r="G353" s="3" t="s">
        <v>219</v>
      </c>
      <c r="H353" s="3" t="s">
        <v>146</v>
      </c>
      <c r="I353" s="3" t="s">
        <v>372</v>
      </c>
      <c r="J353" s="3" t="s">
        <v>241</v>
      </c>
      <c r="K353" s="4"/>
      <c r="L353" s="4">
        <f>=ROUNDDOWN({0},0)</f>
      </c>
      <c r="M353" s="4"/>
      <c r="N353" s="5"/>
      <c r="O353" s="4"/>
      <c r="P353" s="4">
        <f>=ROUNDDOWN({0},0)</f>
      </c>
      <c r="Q353" s="4"/>
      <c r="R353" s="5"/>
      <c r="S353" s="4"/>
      <c r="T353" s="6"/>
      <c r="U353" s="4">
        <v>28</v>
      </c>
      <c r="V353" s="6">
        <v>489.27</v>
      </c>
      <c r="W353" s="5"/>
      <c r="X353" s="5"/>
      <c r="Y353" s="4"/>
      <c r="Z353" s="6"/>
      <c r="AA353" s="4">
        <v>13</v>
      </c>
      <c r="AB353" s="6">
        <v>198.66</v>
      </c>
      <c r="AC353" s="5"/>
      <c r="AD353" s="5"/>
      <c r="AE353" s="4"/>
      <c r="AF353" s="6"/>
      <c r="AG353" s="4"/>
      <c r="AH353" s="6"/>
      <c r="AI353" s="5"/>
      <c r="AJ353" s="5"/>
      <c r="AK353" s="4"/>
      <c r="AL353" s="6"/>
      <c r="AM353" s="4"/>
      <c r="AN353" s="6"/>
      <c r="AO353" s="5"/>
      <c r="AP353" s="5"/>
      <c r="AQ353" s="4"/>
      <c r="AR353" s="6"/>
      <c r="AS353" s="4"/>
      <c r="AT353" s="6"/>
      <c r="AU353" s="5"/>
      <c r="AV353" s="5"/>
      <c r="AW353" s="4"/>
      <c r="AX353" s="6"/>
      <c r="AY353" s="4"/>
      <c r="AZ353" s="6"/>
      <c r="BA353" s="5"/>
      <c r="BB353" s="5"/>
      <c r="BC353" s="4"/>
      <c r="BD353" s="6"/>
      <c r="BE353" s="4"/>
      <c r="BF353" s="6"/>
      <c r="BG353" s="5"/>
      <c r="BH353" s="5"/>
      <c r="BI353" s="4"/>
      <c r="BJ353" s="6"/>
      <c r="BK353" s="4">
        <v>3</v>
      </c>
      <c r="BL353" s="6">
        <v>47.22</v>
      </c>
      <c r="BM353" s="5"/>
      <c r="BN353" s="5"/>
      <c r="BO353" s="4"/>
      <c r="BP353" s="6"/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/>
      <c r="CN353" s="6"/>
      <c r="CO353" s="4"/>
      <c r="CP353" s="6"/>
      <c r="CQ353" s="5"/>
      <c r="CR353" s="5"/>
      <c r="CS353" s="4"/>
      <c r="CT353" s="6"/>
      <c r="CU353" s="4"/>
      <c r="CV353" s="6"/>
      <c r="CW353" s="5"/>
      <c r="CX353" s="5"/>
      <c r="CY353" s="4"/>
      <c r="CZ353" s="6"/>
      <c r="DA353" s="4"/>
      <c r="DB353" s="6"/>
      <c r="DC353" s="5"/>
      <c r="DD353" s="5"/>
      <c r="DE353" s="4"/>
      <c r="DF353" s="6"/>
      <c r="DG353" s="4"/>
      <c r="DH353" s="6"/>
      <c r="DI353" s="5"/>
      <c r="DJ353" s="5"/>
      <c r="DK353" s="4"/>
      <c r="DL353" s="6"/>
      <c r="DM353" s="4"/>
      <c r="DN353" s="6"/>
      <c r="DO353" s="5"/>
      <c r="DP353" s="5"/>
      <c r="DQ353" s="4"/>
      <c r="DR353" s="6"/>
      <c r="DS353" s="4"/>
      <c r="DT353" s="6"/>
      <c r="DU353" s="5"/>
      <c r="DV353" s="5"/>
      <c r="DW353" s="4"/>
      <c r="DX353" s="6"/>
      <c r="DY353" s="4"/>
      <c r="DZ353" s="6"/>
      <c r="EA353" s="5"/>
      <c r="EB353" s="5"/>
      <c r="EC353" s="4"/>
      <c r="ED353" s="6"/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/>
      <c r="EP353" s="6"/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>
        <v>12</v>
      </c>
      <c r="FV353" s="6">
        <v>243.39</v>
      </c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  <c r="IA353" s="4"/>
      <c r="IB353" s="6"/>
      <c r="IC353" s="4"/>
      <c r="ID353" s="6"/>
      <c r="IE353" s="5"/>
      <c r="IF353" s="5"/>
      <c r="IG353" s="4"/>
      <c r="IH353" s="6"/>
      <c r="II353" s="4"/>
      <c r="IJ353" s="6"/>
      <c r="IK353" s="5"/>
      <c r="IL353" s="5"/>
      <c r="IM353" s="4"/>
      <c r="IN353" s="6"/>
      <c r="IO353" s="4"/>
      <c r="IP353" s="6"/>
      <c r="IQ353" s="5"/>
      <c r="IR353" s="5"/>
      <c r="IS353" s="4"/>
      <c r="IT353" s="6"/>
      <c r="IU353" s="4"/>
      <c r="IV353" s="6"/>
      <c r="IW353" s="5"/>
      <c r="IX353" s="5"/>
      <c r="IY353" s="4"/>
      <c r="IZ353" s="6"/>
      <c r="JA353" s="4"/>
      <c r="JB353" s="6"/>
      <c r="JC353" s="5"/>
      <c r="JD353" s="5"/>
      <c r="JE353" s="4"/>
      <c r="JF353" s="6"/>
      <c r="JG353" s="4"/>
      <c r="JH353" s="6"/>
      <c r="JI353" s="5"/>
      <c r="JJ353" s="5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</row>
    <row r="354">
      <c r="A354" s="3" t="s">
        <v>136</v>
      </c>
      <c r="B354" s="3" t="s">
        <v>216</v>
      </c>
      <c r="C354" s="3" t="s">
        <v>138</v>
      </c>
      <c r="D354" s="3" t="s">
        <v>139</v>
      </c>
      <c r="E354" s="3" t="s">
        <v>219</v>
      </c>
      <c r="F354" s="3" t="s">
        <v>219</v>
      </c>
      <c r="G354" s="3" t="s">
        <v>219</v>
      </c>
      <c r="H354" s="3" t="s">
        <v>146</v>
      </c>
      <c r="I354" s="3" t="s">
        <v>373</v>
      </c>
      <c r="J354" s="3" t="s">
        <v>241</v>
      </c>
      <c r="K354" s="4"/>
      <c r="L354" s="4">
        <f>=ROUNDDOWN({0},0)</f>
      </c>
      <c r="M354" s="4"/>
      <c r="N354" s="5"/>
      <c r="O354" s="4"/>
      <c r="P354" s="4">
        <f>=ROUNDDOWN({0},0)</f>
      </c>
      <c r="Q354" s="4"/>
      <c r="R354" s="5"/>
      <c r="S354" s="4"/>
      <c r="T354" s="6"/>
      <c r="U354" s="4">
        <v>40</v>
      </c>
      <c r="V354" s="6">
        <v>650.9</v>
      </c>
      <c r="W354" s="5"/>
      <c r="X354" s="5"/>
      <c r="Y354" s="4"/>
      <c r="Z354" s="6"/>
      <c r="AA354" s="4"/>
      <c r="AB354" s="6"/>
      <c r="AC354" s="5"/>
      <c r="AD354" s="5"/>
      <c r="AE354" s="4"/>
      <c r="AF354" s="6"/>
      <c r="AG354" s="4"/>
      <c r="AH354" s="6"/>
      <c r="AI354" s="5"/>
      <c r="AJ354" s="5"/>
      <c r="AK354" s="4"/>
      <c r="AL354" s="6"/>
      <c r="AM354" s="4"/>
      <c r="AN354" s="6"/>
      <c r="AO354" s="5"/>
      <c r="AP354" s="5"/>
      <c r="AQ354" s="4"/>
      <c r="AR354" s="6"/>
      <c r="AS354" s="4"/>
      <c r="AT354" s="6"/>
      <c r="AU354" s="5"/>
      <c r="AV354" s="5"/>
      <c r="AW354" s="4"/>
      <c r="AX354" s="6"/>
      <c r="AY354" s="4">
        <v>2</v>
      </c>
      <c r="AZ354" s="6">
        <v>32.46</v>
      </c>
      <c r="BA354" s="5"/>
      <c r="BB354" s="5"/>
      <c r="BC354" s="4"/>
      <c r="BD354" s="6"/>
      <c r="BE354" s="4"/>
      <c r="BF354" s="6"/>
      <c r="BG354" s="5"/>
      <c r="BH354" s="5"/>
      <c r="BI354" s="4"/>
      <c r="BJ354" s="6"/>
      <c r="BK354" s="4">
        <v>34</v>
      </c>
      <c r="BL354" s="6">
        <v>535.16</v>
      </c>
      <c r="BM354" s="5"/>
      <c r="BN354" s="5"/>
      <c r="BO354" s="4"/>
      <c r="BP354" s="6"/>
      <c r="BQ354" s="4"/>
      <c r="BR354" s="6"/>
      <c r="BS354" s="5"/>
      <c r="BT354" s="5"/>
      <c r="BU354" s="4"/>
      <c r="BV354" s="6"/>
      <c r="BW354" s="4"/>
      <c r="BX354" s="6"/>
      <c r="BY354" s="5"/>
      <c r="BZ354" s="5"/>
      <c r="CA354" s="4"/>
      <c r="CB354" s="6"/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/>
      <c r="CT354" s="6"/>
      <c r="CU354" s="4"/>
      <c r="CV354" s="6"/>
      <c r="CW354" s="5"/>
      <c r="CX354" s="5"/>
      <c r="CY354" s="4"/>
      <c r="CZ354" s="6"/>
      <c r="DA354" s="4"/>
      <c r="DB354" s="6"/>
      <c r="DC354" s="5"/>
      <c r="DD354" s="5"/>
      <c r="DE354" s="4"/>
      <c r="DF354" s="6"/>
      <c r="DG354" s="4"/>
      <c r="DH354" s="6"/>
      <c r="DI354" s="5"/>
      <c r="DJ354" s="5"/>
      <c r="DK354" s="4"/>
      <c r="DL354" s="6"/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>
        <v>3</v>
      </c>
      <c r="DZ354" s="6">
        <v>62.61</v>
      </c>
      <c r="EA354" s="5"/>
      <c r="EB354" s="5"/>
      <c r="EC354" s="4"/>
      <c r="ED354" s="6"/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/>
      <c r="FP354" s="6"/>
      <c r="FQ354" s="5"/>
      <c r="FR354" s="5"/>
      <c r="FS354" s="4"/>
      <c r="FT354" s="6"/>
      <c r="FU354" s="4">
        <v>1</v>
      </c>
      <c r="FV354" s="6">
        <v>20.67</v>
      </c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  <c r="IA354" s="4"/>
      <c r="IB354" s="6"/>
      <c r="IC354" s="4"/>
      <c r="ID354" s="6"/>
      <c r="IE354" s="5"/>
      <c r="IF354" s="5"/>
      <c r="IG354" s="4"/>
      <c r="IH354" s="6"/>
      <c r="II354" s="4"/>
      <c r="IJ354" s="6"/>
      <c r="IK354" s="5"/>
      <c r="IL354" s="5"/>
      <c r="IM354" s="4"/>
      <c r="IN354" s="6"/>
      <c r="IO354" s="4"/>
      <c r="IP354" s="6"/>
      <c r="IQ354" s="5"/>
      <c r="IR354" s="5"/>
      <c r="IS354" s="4"/>
      <c r="IT354" s="6"/>
      <c r="IU354" s="4"/>
      <c r="IV354" s="6"/>
      <c r="IW354" s="5"/>
      <c r="IX354" s="5"/>
      <c r="IY354" s="4"/>
      <c r="IZ354" s="6"/>
      <c r="JA354" s="4"/>
      <c r="JB354" s="6"/>
      <c r="JC354" s="5"/>
      <c r="JD354" s="5"/>
      <c r="JE354" s="4"/>
      <c r="JF354" s="6"/>
      <c r="JG354" s="4"/>
      <c r="JH354" s="6"/>
      <c r="JI354" s="5"/>
      <c r="JJ354" s="5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</row>
    <row r="355">
      <c r="A355" s="3" t="s">
        <v>136</v>
      </c>
      <c r="B355" s="3" t="s">
        <v>216</v>
      </c>
      <c r="C355" s="3" t="s">
        <v>138</v>
      </c>
      <c r="D355" s="3" t="s">
        <v>139</v>
      </c>
      <c r="E355" s="3" t="s">
        <v>218</v>
      </c>
      <c r="F355" s="3" t="s">
        <v>218</v>
      </c>
      <c r="G355" s="3" t="s">
        <v>218</v>
      </c>
      <c r="H355" s="3" t="s">
        <v>143</v>
      </c>
      <c r="I355" s="3" t="s">
        <v>244</v>
      </c>
      <c r="J355" s="3" t="s">
        <v>241</v>
      </c>
      <c r="K355" s="4"/>
      <c r="L355" s="4">
        <f>=ROUNDDOWN({0},0)</f>
      </c>
      <c r="M355" s="4"/>
      <c r="N355" s="5"/>
      <c r="O355" s="4"/>
      <c r="P355" s="4">
        <f>=ROUNDDOWN({0},0)</f>
      </c>
      <c r="Q355" s="4"/>
      <c r="R355" s="5"/>
      <c r="S355" s="4"/>
      <c r="T355" s="6"/>
      <c r="U355" s="4">
        <v>1</v>
      </c>
      <c r="V355" s="6">
        <v>67.99</v>
      </c>
      <c r="W355" s="5"/>
      <c r="X355" s="5"/>
      <c r="Y355" s="4"/>
      <c r="Z355" s="6"/>
      <c r="AA355" s="4"/>
      <c r="AB355" s="6"/>
      <c r="AC355" s="5"/>
      <c r="AD355" s="5"/>
      <c r="AE355" s="4"/>
      <c r="AF355" s="6"/>
      <c r="AG355" s="4"/>
      <c r="AH355" s="6"/>
      <c r="AI355" s="5"/>
      <c r="AJ355" s="5"/>
      <c r="AK355" s="4"/>
      <c r="AL355" s="6"/>
      <c r="AM355" s="4"/>
      <c r="AN355" s="6"/>
      <c r="AO355" s="5"/>
      <c r="AP355" s="5"/>
      <c r="AQ355" s="4"/>
      <c r="AR355" s="6"/>
      <c r="AS355" s="4"/>
      <c r="AT355" s="6"/>
      <c r="AU355" s="5"/>
      <c r="AV355" s="5"/>
      <c r="AW355" s="4"/>
      <c r="AX355" s="6"/>
      <c r="AY355" s="4"/>
      <c r="AZ355" s="6"/>
      <c r="BA355" s="5"/>
      <c r="BB355" s="5"/>
      <c r="BC355" s="4"/>
      <c r="BD355" s="6"/>
      <c r="BE355" s="4"/>
      <c r="BF355" s="6"/>
      <c r="BG355" s="5"/>
      <c r="BH355" s="5"/>
      <c r="BI355" s="4"/>
      <c r="BJ355" s="6"/>
      <c r="BK355" s="4"/>
      <c r="BL355" s="6"/>
      <c r="BM355" s="5"/>
      <c r="BN355" s="5"/>
      <c r="BO355" s="4"/>
      <c r="BP355" s="6"/>
      <c r="BQ355" s="4"/>
      <c r="BR355" s="6"/>
      <c r="BS355" s="5"/>
      <c r="BT355" s="5"/>
      <c r="BU355" s="4"/>
      <c r="BV355" s="6"/>
      <c r="BW355" s="4"/>
      <c r="BX355" s="6"/>
      <c r="BY355" s="5"/>
      <c r="BZ355" s="5"/>
      <c r="CA355" s="4"/>
      <c r="CB355" s="6"/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/>
      <c r="CT355" s="6"/>
      <c r="CU355" s="4"/>
      <c r="CV355" s="6"/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/>
      <c r="DL355" s="6"/>
      <c r="DM355" s="4">
        <v>1</v>
      </c>
      <c r="DN355" s="6">
        <v>67.99</v>
      </c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/>
      <c r="ED355" s="6"/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/>
      <c r="FB355" s="6"/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/>
      <c r="FV355" s="6"/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  <c r="IA355" s="4"/>
      <c r="IB355" s="6"/>
      <c r="IC355" s="4"/>
      <c r="ID355" s="6"/>
      <c r="IE355" s="5"/>
      <c r="IF355" s="5"/>
      <c r="IG355" s="4"/>
      <c r="IH355" s="6"/>
      <c r="II355" s="4"/>
      <c r="IJ355" s="6"/>
      <c r="IK355" s="5"/>
      <c r="IL355" s="5"/>
      <c r="IM355" s="4"/>
      <c r="IN355" s="6"/>
      <c r="IO355" s="4"/>
      <c r="IP355" s="6"/>
      <c r="IQ355" s="5"/>
      <c r="IR355" s="5"/>
      <c r="IS355" s="4"/>
      <c r="IT355" s="6"/>
      <c r="IU355" s="4"/>
      <c r="IV355" s="6"/>
      <c r="IW355" s="5"/>
      <c r="IX355" s="5"/>
      <c r="IY355" s="4"/>
      <c r="IZ355" s="6"/>
      <c r="JA355" s="4"/>
      <c r="JB355" s="6"/>
      <c r="JC355" s="5"/>
      <c r="JD355" s="5"/>
      <c r="JE355" s="4"/>
      <c r="JF355" s="6"/>
      <c r="JG355" s="4"/>
      <c r="JH355" s="6"/>
      <c r="JI355" s="5"/>
      <c r="JJ355" s="5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  <c r="LM355" s="4"/>
    </row>
    <row r="356">
      <c r="A356" s="3" t="s">
        <v>136</v>
      </c>
      <c r="B356" s="3" t="s">
        <v>216</v>
      </c>
      <c r="C356" s="3" t="s">
        <v>138</v>
      </c>
      <c r="D356" s="3" t="s">
        <v>139</v>
      </c>
      <c r="E356" s="3" t="s">
        <v>219</v>
      </c>
      <c r="F356" s="3" t="s">
        <v>219</v>
      </c>
      <c r="G356" s="3" t="s">
        <v>219</v>
      </c>
      <c r="H356" s="3" t="s">
        <v>146</v>
      </c>
      <c r="I356" s="3" t="s">
        <v>227</v>
      </c>
      <c r="J356" s="3" t="s">
        <v>241</v>
      </c>
      <c r="K356" s="4"/>
      <c r="L356" s="4">
        <f>=ROUNDDOWN({0},0)</f>
      </c>
      <c r="M356" s="4"/>
      <c r="N356" s="5"/>
      <c r="O356" s="4"/>
      <c r="P356" s="4">
        <f>=ROUNDDOWN({0},0)</f>
      </c>
      <c r="Q356" s="4"/>
      <c r="R356" s="5"/>
      <c r="S356" s="4"/>
      <c r="T356" s="6"/>
      <c r="U356" s="4">
        <v>111</v>
      </c>
      <c r="V356" s="6">
        <v>1864.52</v>
      </c>
      <c r="W356" s="5"/>
      <c r="X356" s="5"/>
      <c r="Y356" s="4"/>
      <c r="Z356" s="6"/>
      <c r="AA356" s="4">
        <v>25</v>
      </c>
      <c r="AB356" s="6">
        <v>397.54</v>
      </c>
      <c r="AC356" s="5"/>
      <c r="AD356" s="5"/>
      <c r="AE356" s="4"/>
      <c r="AF356" s="6"/>
      <c r="AG356" s="4"/>
      <c r="AH356" s="6"/>
      <c r="AI356" s="5"/>
      <c r="AJ356" s="5"/>
      <c r="AK356" s="4"/>
      <c r="AL356" s="6"/>
      <c r="AM356" s="4"/>
      <c r="AN356" s="6"/>
      <c r="AO356" s="5"/>
      <c r="AP356" s="5"/>
      <c r="AQ356" s="4"/>
      <c r="AR356" s="6"/>
      <c r="AS356" s="4"/>
      <c r="AT356" s="6"/>
      <c r="AU356" s="5"/>
      <c r="AV356" s="5"/>
      <c r="AW356" s="4"/>
      <c r="AX356" s="6"/>
      <c r="AY356" s="4">
        <v>2</v>
      </c>
      <c r="AZ356" s="6">
        <v>30.02</v>
      </c>
      <c r="BA356" s="5"/>
      <c r="BB356" s="5"/>
      <c r="BC356" s="4"/>
      <c r="BD356" s="6"/>
      <c r="BE356" s="4">
        <v>4</v>
      </c>
      <c r="BF356" s="6">
        <v>93.88</v>
      </c>
      <c r="BG356" s="5"/>
      <c r="BH356" s="5"/>
      <c r="BI356" s="4"/>
      <c r="BJ356" s="6"/>
      <c r="BK356" s="4">
        <v>63</v>
      </c>
      <c r="BL356" s="6">
        <v>969.7</v>
      </c>
      <c r="BM356" s="5"/>
      <c r="BN356" s="5"/>
      <c r="BO356" s="4"/>
      <c r="BP356" s="6"/>
      <c r="BQ356" s="4"/>
      <c r="BR356" s="6"/>
      <c r="BS356" s="5"/>
      <c r="BT356" s="5"/>
      <c r="BU356" s="4"/>
      <c r="BV356" s="6"/>
      <c r="BW356" s="4"/>
      <c r="BX356" s="6"/>
      <c r="BY356" s="5"/>
      <c r="BZ356" s="5"/>
      <c r="CA356" s="4"/>
      <c r="CB356" s="6"/>
      <c r="CC356" s="4">
        <v>1</v>
      </c>
      <c r="CD356" s="6">
        <v>19.31</v>
      </c>
      <c r="CE356" s="5"/>
      <c r="CF356" s="5"/>
      <c r="CG356" s="4"/>
      <c r="CH356" s="6"/>
      <c r="CI356" s="4"/>
      <c r="CJ356" s="6"/>
      <c r="CK356" s="5"/>
      <c r="CL356" s="5"/>
      <c r="CM356" s="4"/>
      <c r="CN356" s="6"/>
      <c r="CO356" s="4"/>
      <c r="CP356" s="6"/>
      <c r="CQ356" s="5"/>
      <c r="CR356" s="5"/>
      <c r="CS356" s="4"/>
      <c r="CT356" s="6"/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>
        <v>13</v>
      </c>
      <c r="DZ356" s="6">
        <v>288.43</v>
      </c>
      <c r="EA356" s="5"/>
      <c r="EB356" s="5"/>
      <c r="EC356" s="4"/>
      <c r="ED356" s="6"/>
      <c r="EE356" s="4"/>
      <c r="EF356" s="6"/>
      <c r="EG356" s="5"/>
      <c r="EH356" s="5"/>
      <c r="EI356" s="4"/>
      <c r="EJ356" s="6"/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/>
      <c r="FB356" s="6"/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>
        <v>3</v>
      </c>
      <c r="FV356" s="6">
        <v>65.64</v>
      </c>
      <c r="FW356" s="5"/>
      <c r="FX356" s="5"/>
      <c r="FY356" s="4"/>
      <c r="FZ356" s="6"/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  <c r="IA356" s="4"/>
      <c r="IB356" s="6"/>
      <c r="IC356" s="4"/>
      <c r="ID356" s="6"/>
      <c r="IE356" s="5"/>
      <c r="IF356" s="5"/>
      <c r="IG356" s="4"/>
      <c r="IH356" s="6"/>
      <c r="II356" s="4"/>
      <c r="IJ356" s="6"/>
      <c r="IK356" s="5"/>
      <c r="IL356" s="5"/>
      <c r="IM356" s="4"/>
      <c r="IN356" s="6"/>
      <c r="IO356" s="4"/>
      <c r="IP356" s="6"/>
      <c r="IQ356" s="5"/>
      <c r="IR356" s="5"/>
      <c r="IS356" s="4"/>
      <c r="IT356" s="6"/>
      <c r="IU356" s="4"/>
      <c r="IV356" s="6"/>
      <c r="IW356" s="5"/>
      <c r="IX356" s="5"/>
      <c r="IY356" s="4"/>
      <c r="IZ356" s="6"/>
      <c r="JA356" s="4"/>
      <c r="JB356" s="6"/>
      <c r="JC356" s="5"/>
      <c r="JD356" s="5"/>
      <c r="JE356" s="4"/>
      <c r="JF356" s="6"/>
      <c r="JG356" s="4"/>
      <c r="JH356" s="6"/>
      <c r="JI356" s="5"/>
      <c r="JJ356" s="5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  <c r="LM356" s="4"/>
    </row>
    <row r="357">
      <c r="A357" s="3" t="s">
        <v>136</v>
      </c>
      <c r="B357" s="3" t="s">
        <v>216</v>
      </c>
      <c r="C357" s="3" t="s">
        <v>155</v>
      </c>
      <c r="D357" s="3" t="s">
        <v>156</v>
      </c>
      <c r="E357" s="3" t="s">
        <v>217</v>
      </c>
      <c r="F357" s="3" t="s">
        <v>217</v>
      </c>
      <c r="G357" s="3" t="s">
        <v>217</v>
      </c>
      <c r="H357" s="3" t="s">
        <v>143</v>
      </c>
      <c r="I357" s="3" t="s">
        <v>230</v>
      </c>
      <c r="J357" s="3" t="s">
        <v>241</v>
      </c>
      <c r="K357" s="4">
        <v>58</v>
      </c>
      <c r="L357" s="4">
        <f>=ROUNDDOWN(29,0)</f>
      </c>
      <c r="M357" s="4"/>
      <c r="N357" s="5"/>
      <c r="O357" s="4"/>
      <c r="P357" s="4">
        <f>=ROUNDDOWN({0},0)</f>
      </c>
      <c r="Q357" s="4"/>
      <c r="R357" s="5"/>
      <c r="S357" s="4">
        <v>10</v>
      </c>
      <c r="T357" s="6">
        <v>138.17</v>
      </c>
      <c r="U357" s="4">
        <v>27</v>
      </c>
      <c r="V357" s="6">
        <v>317.42</v>
      </c>
      <c r="W357" s="5">
        <v>-0.6296</v>
      </c>
      <c r="X357" s="5">
        <v>-0.5647</v>
      </c>
      <c r="Y357" s="4"/>
      <c r="Z357" s="6"/>
      <c r="AA357" s="4">
        <v>21</v>
      </c>
      <c r="AB357" s="6">
        <v>249.1</v>
      </c>
      <c r="AC357" s="5"/>
      <c r="AD357" s="5"/>
      <c r="AE357" s="4"/>
      <c r="AF357" s="6"/>
      <c r="AG357" s="4"/>
      <c r="AH357" s="6"/>
      <c r="AI357" s="5"/>
      <c r="AJ357" s="5"/>
      <c r="AK357" s="4"/>
      <c r="AL357" s="6"/>
      <c r="AM357" s="4"/>
      <c r="AN357" s="6"/>
      <c r="AO357" s="5"/>
      <c r="AP357" s="5"/>
      <c r="AQ357" s="4"/>
      <c r="AR357" s="6"/>
      <c r="AS357" s="4"/>
      <c r="AT357" s="6"/>
      <c r="AU357" s="5"/>
      <c r="AV357" s="5"/>
      <c r="AW357" s="4">
        <v>8</v>
      </c>
      <c r="AX357" s="6">
        <v>99.24</v>
      </c>
      <c r="AY357" s="4">
        <v>1</v>
      </c>
      <c r="AZ357" s="6">
        <v>11.03</v>
      </c>
      <c r="BA357" s="5">
        <v>7</v>
      </c>
      <c r="BB357" s="5">
        <v>7.9973</v>
      </c>
      <c r="BC357" s="4"/>
      <c r="BD357" s="6"/>
      <c r="BE357" s="4"/>
      <c r="BF357" s="6"/>
      <c r="BG357" s="5"/>
      <c r="BH357" s="5"/>
      <c r="BI357" s="4">
        <v>1</v>
      </c>
      <c r="BJ357" s="6">
        <v>11.34</v>
      </c>
      <c r="BK357" s="4">
        <v>3</v>
      </c>
      <c r="BL357" s="6">
        <v>36.29</v>
      </c>
      <c r="BM357" s="5">
        <v>-0.6667</v>
      </c>
      <c r="BN357" s="5">
        <v>-0.6875</v>
      </c>
      <c r="BO357" s="4"/>
      <c r="BP357" s="6"/>
      <c r="BQ357" s="4"/>
      <c r="BR357" s="6"/>
      <c r="BS357" s="5"/>
      <c r="BT357" s="5"/>
      <c r="BU357" s="4"/>
      <c r="BV357" s="6"/>
      <c r="BW357" s="4"/>
      <c r="BX357" s="6"/>
      <c r="BY357" s="5"/>
      <c r="BZ357" s="5"/>
      <c r="CA357" s="4"/>
      <c r="CB357" s="6"/>
      <c r="CC357" s="4">
        <v>2</v>
      </c>
      <c r="CD357" s="6">
        <v>21</v>
      </c>
      <c r="CE357" s="5"/>
      <c r="CF357" s="5"/>
      <c r="CG357" s="4"/>
      <c r="CH357" s="6"/>
      <c r="CI357" s="4"/>
      <c r="CJ357" s="6"/>
      <c r="CK357" s="5"/>
      <c r="CL357" s="5"/>
      <c r="CM357" s="4"/>
      <c r="CN357" s="6"/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/>
      <c r="CZ357" s="6"/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>
        <v>1</v>
      </c>
      <c r="DL357" s="6">
        <v>27.59</v>
      </c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/>
      <c r="ED357" s="6"/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/>
      <c r="FT357" s="6"/>
      <c r="FU357" s="4"/>
      <c r="FV357" s="6"/>
      <c r="FW357" s="5"/>
      <c r="FX357" s="5"/>
      <c r="FY357" s="4"/>
      <c r="FZ357" s="6"/>
      <c r="GA357" s="4"/>
      <c r="GB357" s="6"/>
      <c r="GC357" s="5"/>
      <c r="GD357" s="5"/>
      <c r="GE357" s="4"/>
      <c r="GF357" s="6"/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  <c r="IA357" s="4"/>
      <c r="IB357" s="6"/>
      <c r="IC357" s="4"/>
      <c r="ID357" s="6"/>
      <c r="IE357" s="5"/>
      <c r="IF357" s="5"/>
      <c r="IG357" s="4"/>
      <c r="IH357" s="6"/>
      <c r="II357" s="4"/>
      <c r="IJ357" s="6"/>
      <c r="IK357" s="5"/>
      <c r="IL357" s="5"/>
      <c r="IM357" s="4"/>
      <c r="IN357" s="6"/>
      <c r="IO357" s="4"/>
      <c r="IP357" s="6"/>
      <c r="IQ357" s="5"/>
      <c r="IR357" s="5"/>
      <c r="IS357" s="4"/>
      <c r="IT357" s="6"/>
      <c r="IU357" s="4"/>
      <c r="IV357" s="6"/>
      <c r="IW357" s="5"/>
      <c r="IX357" s="5"/>
      <c r="IY357" s="4"/>
      <c r="IZ357" s="6"/>
      <c r="JA357" s="4"/>
      <c r="JB357" s="6"/>
      <c r="JC357" s="5"/>
      <c r="JD357" s="5"/>
      <c r="JE357" s="4"/>
      <c r="JF357" s="6"/>
      <c r="JG357" s="4"/>
      <c r="JH357" s="6"/>
      <c r="JI357" s="5"/>
      <c r="JJ357" s="5"/>
      <c r="JK357" s="4">
        <v>58</v>
      </c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  <c r="LM357" s="4"/>
    </row>
    <row r="358">
      <c r="A358" s="3" t="s">
        <v>136</v>
      </c>
      <c r="B358" s="3" t="s">
        <v>216</v>
      </c>
      <c r="C358" s="3" t="s">
        <v>155</v>
      </c>
      <c r="D358" s="3" t="s">
        <v>156</v>
      </c>
      <c r="E358" s="3" t="s">
        <v>217</v>
      </c>
      <c r="F358" s="3" t="s">
        <v>217</v>
      </c>
      <c r="G358" s="3" t="s">
        <v>217</v>
      </c>
      <c r="H358" s="3" t="s">
        <v>143</v>
      </c>
      <c r="I358" s="3" t="s">
        <v>240</v>
      </c>
      <c r="J358" s="3" t="s">
        <v>241</v>
      </c>
      <c r="K358" s="4"/>
      <c r="L358" s="4">
        <f>=ROUNDDOWN({0},0)</f>
      </c>
      <c r="M358" s="4"/>
      <c r="N358" s="5"/>
      <c r="O358" s="4"/>
      <c r="P358" s="4">
        <f>=ROUNDDOWN({0},0)</f>
      </c>
      <c r="Q358" s="4"/>
      <c r="R358" s="5"/>
      <c r="S358" s="4"/>
      <c r="T358" s="6"/>
      <c r="U358" s="4">
        <v>42</v>
      </c>
      <c r="V358" s="6">
        <v>492.33</v>
      </c>
      <c r="W358" s="5"/>
      <c r="X358" s="5"/>
      <c r="Y358" s="4"/>
      <c r="Z358" s="6"/>
      <c r="AA358" s="4">
        <v>28</v>
      </c>
      <c r="AB358" s="6">
        <v>321.82</v>
      </c>
      <c r="AC358" s="5"/>
      <c r="AD358" s="5"/>
      <c r="AE358" s="4"/>
      <c r="AF358" s="6"/>
      <c r="AG358" s="4">
        <v>1</v>
      </c>
      <c r="AH358" s="6">
        <v>11.03</v>
      </c>
      <c r="AI358" s="5"/>
      <c r="AJ358" s="5"/>
      <c r="AK358" s="4"/>
      <c r="AL358" s="6"/>
      <c r="AM358" s="4"/>
      <c r="AN358" s="6"/>
      <c r="AO358" s="5"/>
      <c r="AP358" s="5"/>
      <c r="AQ358" s="4"/>
      <c r="AR358" s="6"/>
      <c r="AS358" s="4"/>
      <c r="AT358" s="6"/>
      <c r="AU358" s="5"/>
      <c r="AV358" s="5"/>
      <c r="AW358" s="4"/>
      <c r="AX358" s="6"/>
      <c r="AY358" s="4">
        <v>9</v>
      </c>
      <c r="AZ358" s="6">
        <v>108.07</v>
      </c>
      <c r="BA358" s="5"/>
      <c r="BB358" s="5"/>
      <c r="BC358" s="4"/>
      <c r="BD358" s="6"/>
      <c r="BE358" s="4"/>
      <c r="BF358" s="6"/>
      <c r="BG358" s="5"/>
      <c r="BH358" s="5"/>
      <c r="BI358" s="4"/>
      <c r="BJ358" s="6"/>
      <c r="BK358" s="4">
        <v>2</v>
      </c>
      <c r="BL358" s="6">
        <v>24.95</v>
      </c>
      <c r="BM358" s="5"/>
      <c r="BN358" s="5"/>
      <c r="BO358" s="4"/>
      <c r="BP358" s="6"/>
      <c r="BQ358" s="4"/>
      <c r="BR358" s="6"/>
      <c r="BS358" s="5"/>
      <c r="BT358" s="5"/>
      <c r="BU358" s="4"/>
      <c r="BV358" s="6"/>
      <c r="BW358" s="4"/>
      <c r="BX358" s="6"/>
      <c r="BY358" s="5"/>
      <c r="BZ358" s="5"/>
      <c r="CA358" s="4"/>
      <c r="CB358" s="6"/>
      <c r="CC358" s="4"/>
      <c r="CD358" s="6"/>
      <c r="CE358" s="5"/>
      <c r="CF358" s="5"/>
      <c r="CG358" s="4"/>
      <c r="CH358" s="6"/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/>
      <c r="ED358" s="6"/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/>
      <c r="EP358" s="6"/>
      <c r="EQ358" s="4"/>
      <c r="ER358" s="6"/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/>
      <c r="FT358" s="6"/>
      <c r="FU358" s="4">
        <v>2</v>
      </c>
      <c r="FV358" s="6">
        <v>26.46</v>
      </c>
      <c r="FW358" s="5"/>
      <c r="FX358" s="5"/>
      <c r="FY358" s="4"/>
      <c r="FZ358" s="6"/>
      <c r="GA358" s="4"/>
      <c r="GB358" s="6"/>
      <c r="GC358" s="5"/>
      <c r="GD358" s="5"/>
      <c r="GE358" s="4"/>
      <c r="GF358" s="6"/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  <c r="IA358" s="4"/>
      <c r="IB358" s="6"/>
      <c r="IC358" s="4"/>
      <c r="ID358" s="6"/>
      <c r="IE358" s="5"/>
      <c r="IF358" s="5"/>
      <c r="IG358" s="4"/>
      <c r="IH358" s="6"/>
      <c r="II358" s="4"/>
      <c r="IJ358" s="6"/>
      <c r="IK358" s="5"/>
      <c r="IL358" s="5"/>
      <c r="IM358" s="4"/>
      <c r="IN358" s="6"/>
      <c r="IO358" s="4"/>
      <c r="IP358" s="6"/>
      <c r="IQ358" s="5"/>
      <c r="IR358" s="5"/>
      <c r="IS358" s="4"/>
      <c r="IT358" s="6"/>
      <c r="IU358" s="4"/>
      <c r="IV358" s="6"/>
      <c r="IW358" s="5"/>
      <c r="IX358" s="5"/>
      <c r="IY358" s="4"/>
      <c r="IZ358" s="6"/>
      <c r="JA358" s="4"/>
      <c r="JB358" s="6"/>
      <c r="JC358" s="5"/>
      <c r="JD358" s="5"/>
      <c r="JE358" s="4"/>
      <c r="JF358" s="6"/>
      <c r="JG358" s="4"/>
      <c r="JH358" s="6"/>
      <c r="JI358" s="5"/>
      <c r="JJ358" s="5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  <c r="LM358" s="4"/>
    </row>
    <row r="359">
      <c r="A359" s="3" t="s">
        <v>136</v>
      </c>
      <c r="B359" s="3" t="s">
        <v>216</v>
      </c>
      <c r="C359" s="3" t="s">
        <v>155</v>
      </c>
      <c r="D359" s="3" t="s">
        <v>156</v>
      </c>
      <c r="E359" s="3" t="s">
        <v>217</v>
      </c>
      <c r="F359" s="3" t="s">
        <v>217</v>
      </c>
      <c r="G359" s="3" t="s">
        <v>217</v>
      </c>
      <c r="H359" s="3" t="s">
        <v>143</v>
      </c>
      <c r="I359" s="3" t="s">
        <v>244</v>
      </c>
      <c r="J359" s="3" t="s">
        <v>241</v>
      </c>
      <c r="K359" s="4"/>
      <c r="L359" s="4">
        <f>=ROUNDDOWN({0},0)</f>
      </c>
      <c r="M359" s="4"/>
      <c r="N359" s="5"/>
      <c r="O359" s="4"/>
      <c r="P359" s="4">
        <f>=ROUNDDOWN({0},0)</f>
      </c>
      <c r="Q359" s="4"/>
      <c r="R359" s="5"/>
      <c r="S359" s="4"/>
      <c r="T359" s="6"/>
      <c r="U359" s="4">
        <v>51</v>
      </c>
      <c r="V359" s="6">
        <v>603.51</v>
      </c>
      <c r="W359" s="5"/>
      <c r="X359" s="5"/>
      <c r="Y359" s="4"/>
      <c r="Z359" s="6"/>
      <c r="AA359" s="4">
        <v>31</v>
      </c>
      <c r="AB359" s="6">
        <v>372.56</v>
      </c>
      <c r="AC359" s="5"/>
      <c r="AD359" s="5"/>
      <c r="AE359" s="4"/>
      <c r="AF359" s="6"/>
      <c r="AG359" s="4"/>
      <c r="AH359" s="6"/>
      <c r="AI359" s="5"/>
      <c r="AJ359" s="5"/>
      <c r="AK359" s="4"/>
      <c r="AL359" s="6"/>
      <c r="AM359" s="4"/>
      <c r="AN359" s="6"/>
      <c r="AO359" s="5"/>
      <c r="AP359" s="5"/>
      <c r="AQ359" s="4"/>
      <c r="AR359" s="6"/>
      <c r="AS359" s="4"/>
      <c r="AT359" s="6"/>
      <c r="AU359" s="5"/>
      <c r="AV359" s="5"/>
      <c r="AW359" s="4"/>
      <c r="AX359" s="6"/>
      <c r="AY359" s="4">
        <v>15</v>
      </c>
      <c r="AZ359" s="6">
        <v>174.25</v>
      </c>
      <c r="BA359" s="5"/>
      <c r="BB359" s="5"/>
      <c r="BC359" s="4"/>
      <c r="BD359" s="6"/>
      <c r="BE359" s="4"/>
      <c r="BF359" s="6"/>
      <c r="BG359" s="5"/>
      <c r="BH359" s="5"/>
      <c r="BI359" s="4"/>
      <c r="BJ359" s="6"/>
      <c r="BK359" s="4">
        <v>5</v>
      </c>
      <c r="BL359" s="6">
        <v>56.7</v>
      </c>
      <c r="BM359" s="5"/>
      <c r="BN359" s="5"/>
      <c r="BO359" s="4"/>
      <c r="BP359" s="6"/>
      <c r="BQ359" s="4"/>
      <c r="BR359" s="6"/>
      <c r="BS359" s="5"/>
      <c r="BT359" s="5"/>
      <c r="BU359" s="4"/>
      <c r="BV359" s="6"/>
      <c r="BW359" s="4"/>
      <c r="BX359" s="6"/>
      <c r="BY359" s="5"/>
      <c r="BZ359" s="5"/>
      <c r="CA359" s="4"/>
      <c r="CB359" s="6"/>
      <c r="CC359" s="4"/>
      <c r="CD359" s="6"/>
      <c r="CE359" s="5"/>
      <c r="CF359" s="5"/>
      <c r="CG359" s="4"/>
      <c r="CH359" s="6"/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/>
      <c r="CZ359" s="6"/>
      <c r="DA359" s="4"/>
      <c r="DB359" s="6"/>
      <c r="DC359" s="5"/>
      <c r="DD359" s="5"/>
      <c r="DE359" s="4"/>
      <c r="DF359" s="6"/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/>
      <c r="DX359" s="6"/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/>
      <c r="EP359" s="6"/>
      <c r="EQ359" s="4"/>
      <c r="ER359" s="6"/>
      <c r="ES359" s="5"/>
      <c r="ET359" s="5"/>
      <c r="EU359" s="4"/>
      <c r="EV359" s="6"/>
      <c r="EW359" s="4"/>
      <c r="EX359" s="6"/>
      <c r="EY359" s="5"/>
      <c r="EZ359" s="5"/>
      <c r="FA359" s="4"/>
      <c r="FB359" s="6"/>
      <c r="FC359" s="4"/>
      <c r="FD359" s="6"/>
      <c r="FE359" s="5"/>
      <c r="FF359" s="5"/>
      <c r="FG359" s="4"/>
      <c r="FH359" s="6"/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/>
      <c r="GB359" s="6"/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  <c r="IA359" s="4"/>
      <c r="IB359" s="6"/>
      <c r="IC359" s="4"/>
      <c r="ID359" s="6"/>
      <c r="IE359" s="5"/>
      <c r="IF359" s="5"/>
      <c r="IG359" s="4"/>
      <c r="IH359" s="6"/>
      <c r="II359" s="4"/>
      <c r="IJ359" s="6"/>
      <c r="IK359" s="5"/>
      <c r="IL359" s="5"/>
      <c r="IM359" s="4"/>
      <c r="IN359" s="6"/>
      <c r="IO359" s="4"/>
      <c r="IP359" s="6"/>
      <c r="IQ359" s="5"/>
      <c r="IR359" s="5"/>
      <c r="IS359" s="4"/>
      <c r="IT359" s="6"/>
      <c r="IU359" s="4"/>
      <c r="IV359" s="6"/>
      <c r="IW359" s="5"/>
      <c r="IX359" s="5"/>
      <c r="IY359" s="4"/>
      <c r="IZ359" s="6"/>
      <c r="JA359" s="4"/>
      <c r="JB359" s="6"/>
      <c r="JC359" s="5"/>
      <c r="JD359" s="5"/>
      <c r="JE359" s="4"/>
      <c r="JF359" s="6"/>
      <c r="JG359" s="4"/>
      <c r="JH359" s="6"/>
      <c r="JI359" s="5"/>
      <c r="JJ359" s="5"/>
      <c r="JK359" s="4"/>
      <c r="JL359" s="4"/>
      <c r="JM359" s="4"/>
      <c r="JN359" s="4"/>
      <c r="JO359" s="4"/>
      <c r="JP359" s="4"/>
      <c r="JQ359" s="4"/>
      <c r="JR359" s="4"/>
      <c r="JS359" s="4"/>
      <c r="JT359" s="4"/>
      <c r="JU359" s="4"/>
      <c r="JV359" s="4"/>
      <c r="JW359" s="4"/>
      <c r="JX359" s="4"/>
      <c r="JY359" s="4"/>
      <c r="JZ359" s="4"/>
      <c r="KA359" s="4"/>
      <c r="KB359" s="4"/>
      <c r="KC359" s="4"/>
      <c r="KD359" s="4"/>
      <c r="KE359" s="4"/>
      <c r="KF359" s="4"/>
      <c r="KG359" s="4"/>
      <c r="KH359" s="4"/>
      <c r="KI359" s="4"/>
      <c r="KJ359" s="4"/>
      <c r="KK359" s="4"/>
      <c r="KL359" s="4"/>
      <c r="KM359" s="4"/>
      <c r="KN359" s="4"/>
      <c r="KO359" s="4"/>
      <c r="KP359" s="4"/>
      <c r="KQ359" s="4"/>
      <c r="KR359" s="4"/>
      <c r="KS359" s="4"/>
      <c r="KT359" s="4"/>
      <c r="KU359" s="4"/>
      <c r="KV359" s="4"/>
      <c r="KW359" s="4"/>
      <c r="KX359" s="4"/>
      <c r="KY359" s="4"/>
      <c r="KZ359" s="4"/>
      <c r="LA359" s="4"/>
      <c r="LB359" s="4"/>
      <c r="LC359" s="4"/>
      <c r="LD359" s="4"/>
      <c r="LE359" s="4"/>
      <c r="LF359" s="4"/>
      <c r="LG359" s="4"/>
      <c r="LH359" s="4"/>
      <c r="LI359" s="4"/>
      <c r="LJ359" s="4"/>
      <c r="LK359" s="4"/>
      <c r="LL359" s="4"/>
      <c r="LM359" s="4"/>
    </row>
    <row r="360">
      <c r="A360" s="3" t="s">
        <v>136</v>
      </c>
      <c r="B360" s="3" t="s">
        <v>216</v>
      </c>
      <c r="C360" s="3" t="s">
        <v>155</v>
      </c>
      <c r="D360" s="3" t="s">
        <v>156</v>
      </c>
      <c r="E360" s="3" t="s">
        <v>217</v>
      </c>
      <c r="F360" s="3" t="s">
        <v>217</v>
      </c>
      <c r="G360" s="3" t="s">
        <v>217</v>
      </c>
      <c r="H360" s="3" t="s">
        <v>143</v>
      </c>
      <c r="I360" s="3" t="s">
        <v>227</v>
      </c>
      <c r="J360" s="3" t="s">
        <v>241</v>
      </c>
      <c r="K360" s="4"/>
      <c r="L360" s="4">
        <f>=ROUNDDOWN({0},0)</f>
      </c>
      <c r="M360" s="4"/>
      <c r="N360" s="5"/>
      <c r="O360" s="4"/>
      <c r="P360" s="4">
        <f>=ROUNDDOWN({0},0)</f>
      </c>
      <c r="Q360" s="4"/>
      <c r="R360" s="5"/>
      <c r="S360" s="4"/>
      <c r="T360" s="6"/>
      <c r="U360" s="4">
        <v>37</v>
      </c>
      <c r="V360" s="6">
        <v>488.31</v>
      </c>
      <c r="W360" s="5"/>
      <c r="X360" s="5"/>
      <c r="Y360" s="4"/>
      <c r="Z360" s="6"/>
      <c r="AA360" s="4">
        <v>19</v>
      </c>
      <c r="AB360" s="6">
        <v>251.37</v>
      </c>
      <c r="AC360" s="5"/>
      <c r="AD360" s="5"/>
      <c r="AE360" s="4"/>
      <c r="AF360" s="6"/>
      <c r="AG360" s="4"/>
      <c r="AH360" s="6"/>
      <c r="AI360" s="5"/>
      <c r="AJ360" s="5"/>
      <c r="AK360" s="4"/>
      <c r="AL360" s="6"/>
      <c r="AM360" s="4"/>
      <c r="AN360" s="6"/>
      <c r="AO360" s="5"/>
      <c r="AP360" s="5"/>
      <c r="AQ360" s="4"/>
      <c r="AR360" s="6"/>
      <c r="AS360" s="4"/>
      <c r="AT360" s="6"/>
      <c r="AU360" s="5"/>
      <c r="AV360" s="5"/>
      <c r="AW360" s="4"/>
      <c r="AX360" s="6"/>
      <c r="AY360" s="4"/>
      <c r="AZ360" s="6"/>
      <c r="BA360" s="5"/>
      <c r="BB360" s="5"/>
      <c r="BC360" s="4"/>
      <c r="BD360" s="6"/>
      <c r="BE360" s="4"/>
      <c r="BF360" s="6"/>
      <c r="BG360" s="5"/>
      <c r="BH360" s="5"/>
      <c r="BI360" s="4"/>
      <c r="BJ360" s="6"/>
      <c r="BK360" s="4"/>
      <c r="BL360" s="6"/>
      <c r="BM360" s="5"/>
      <c r="BN360" s="5"/>
      <c r="BO360" s="4"/>
      <c r="BP360" s="6"/>
      <c r="BQ360" s="4"/>
      <c r="BR360" s="6"/>
      <c r="BS360" s="5"/>
      <c r="BT360" s="5"/>
      <c r="BU360" s="4"/>
      <c r="BV360" s="6"/>
      <c r="BW360" s="4"/>
      <c r="BX360" s="6"/>
      <c r="BY360" s="5"/>
      <c r="BZ360" s="5"/>
      <c r="CA360" s="4"/>
      <c r="CB360" s="6"/>
      <c r="CC360" s="4">
        <v>17</v>
      </c>
      <c r="CD360" s="6">
        <v>224.34</v>
      </c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/>
      <c r="CZ360" s="6"/>
      <c r="DA360" s="4"/>
      <c r="DB360" s="6"/>
      <c r="DC360" s="5"/>
      <c r="DD360" s="5"/>
      <c r="DE360" s="4"/>
      <c r="DF360" s="6"/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/>
      <c r="FB360" s="6"/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/>
      <c r="FV360" s="6"/>
      <c r="FW360" s="5"/>
      <c r="FX360" s="5"/>
      <c r="FY360" s="4"/>
      <c r="FZ360" s="6"/>
      <c r="GA360" s="4">
        <v>1</v>
      </c>
      <c r="GB360" s="6">
        <v>12.6</v>
      </c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  <c r="IA360" s="4"/>
      <c r="IB360" s="6"/>
      <c r="IC360" s="4"/>
      <c r="ID360" s="6"/>
      <c r="IE360" s="5"/>
      <c r="IF360" s="5"/>
      <c r="IG360" s="4"/>
      <c r="IH360" s="6"/>
      <c r="II360" s="4"/>
      <c r="IJ360" s="6"/>
      <c r="IK360" s="5"/>
      <c r="IL360" s="5"/>
      <c r="IM360" s="4"/>
      <c r="IN360" s="6"/>
      <c r="IO360" s="4"/>
      <c r="IP360" s="6"/>
      <c r="IQ360" s="5"/>
      <c r="IR360" s="5"/>
      <c r="IS360" s="4"/>
      <c r="IT360" s="6"/>
      <c r="IU360" s="4"/>
      <c r="IV360" s="6"/>
      <c r="IW360" s="5"/>
      <c r="IX360" s="5"/>
      <c r="IY360" s="4"/>
      <c r="IZ360" s="6"/>
      <c r="JA360" s="4"/>
      <c r="JB360" s="6"/>
      <c r="JC360" s="5"/>
      <c r="JD360" s="5"/>
      <c r="JE360" s="4"/>
      <c r="JF360" s="6"/>
      <c r="JG360" s="4"/>
      <c r="JH360" s="6"/>
      <c r="JI360" s="5"/>
      <c r="JJ360" s="5"/>
      <c r="JK360" s="4"/>
      <c r="JL360" s="4"/>
      <c r="JM360" s="4"/>
      <c r="JN360" s="4"/>
      <c r="JO360" s="4"/>
      <c r="JP360" s="4"/>
      <c r="JQ360" s="4"/>
      <c r="JR360" s="4"/>
      <c r="JS360" s="4"/>
      <c r="JT360" s="4"/>
      <c r="JU360" s="4"/>
      <c r="JV360" s="4"/>
      <c r="JW360" s="4"/>
      <c r="JX360" s="4"/>
      <c r="JY360" s="4"/>
      <c r="JZ360" s="4"/>
      <c r="KA360" s="4"/>
      <c r="KB360" s="4"/>
      <c r="KC360" s="4"/>
      <c r="KD360" s="4"/>
      <c r="KE360" s="4"/>
      <c r="KF360" s="4"/>
      <c r="KG360" s="4"/>
      <c r="KH360" s="4"/>
      <c r="KI360" s="4"/>
      <c r="KJ360" s="4"/>
      <c r="KK360" s="4"/>
      <c r="KL360" s="4"/>
      <c r="KM360" s="4"/>
      <c r="KN360" s="4"/>
      <c r="KO360" s="4"/>
      <c r="KP360" s="4"/>
      <c r="KQ360" s="4"/>
      <c r="KR360" s="4"/>
      <c r="KS360" s="4"/>
      <c r="KT360" s="4"/>
      <c r="KU360" s="4"/>
      <c r="KV360" s="4"/>
      <c r="KW360" s="4"/>
      <c r="KX360" s="4"/>
      <c r="KY360" s="4"/>
      <c r="KZ360" s="4"/>
      <c r="LA360" s="4"/>
      <c r="LB360" s="4"/>
      <c r="LC360" s="4"/>
      <c r="LD360" s="4"/>
      <c r="LE360" s="4"/>
      <c r="LF360" s="4"/>
      <c r="LG360" s="4"/>
      <c r="LH360" s="4"/>
      <c r="LI360" s="4"/>
      <c r="LJ360" s="4"/>
      <c r="LK360" s="4"/>
      <c r="LL360" s="4"/>
      <c r="LM360" s="4"/>
    </row>
    <row r="361">
      <c r="A361" s="3" t="s">
        <v>136</v>
      </c>
      <c r="B361" s="3" t="s">
        <v>220</v>
      </c>
      <c r="C361" s="3" t="s">
        <v>138</v>
      </c>
      <c r="D361" s="3" t="s">
        <v>139</v>
      </c>
      <c r="E361" s="3" t="s">
        <v>221</v>
      </c>
      <c r="F361" s="3" t="s">
        <v>221</v>
      </c>
      <c r="G361" s="3" t="s">
        <v>221</v>
      </c>
      <c r="H361" s="3" t="s">
        <v>183</v>
      </c>
      <c r="I361" s="3" t="s">
        <v>240</v>
      </c>
      <c r="J361" s="3" t="s">
        <v>241</v>
      </c>
      <c r="K361" s="4"/>
      <c r="L361" s="4">
        <f>=ROUNDDOWN({0},0)</f>
      </c>
      <c r="M361" s="4"/>
      <c r="N361" s="5"/>
      <c r="O361" s="4"/>
      <c r="P361" s="4">
        <f>=ROUNDDOWN({0},0)</f>
      </c>
      <c r="Q361" s="4"/>
      <c r="R361" s="5"/>
      <c r="S361" s="4"/>
      <c r="T361" s="6"/>
      <c r="U361" s="4">
        <v>1</v>
      </c>
      <c r="V361" s="6">
        <v>40.21</v>
      </c>
      <c r="W361" s="5"/>
      <c r="X361" s="5"/>
      <c r="Y361" s="4"/>
      <c r="Z361" s="6"/>
      <c r="AA361" s="4"/>
      <c r="AB361" s="6"/>
      <c r="AC361" s="5"/>
      <c r="AD361" s="5"/>
      <c r="AE361" s="4"/>
      <c r="AF361" s="6"/>
      <c r="AG361" s="4"/>
      <c r="AH361" s="6"/>
      <c r="AI361" s="5"/>
      <c r="AJ361" s="5"/>
      <c r="AK361" s="4"/>
      <c r="AL361" s="6"/>
      <c r="AM361" s="4"/>
      <c r="AN361" s="6"/>
      <c r="AO361" s="5"/>
      <c r="AP361" s="5"/>
      <c r="AQ361" s="4"/>
      <c r="AR361" s="6"/>
      <c r="AS361" s="4"/>
      <c r="AT361" s="6"/>
      <c r="AU361" s="5"/>
      <c r="AV361" s="5"/>
      <c r="AW361" s="4"/>
      <c r="AX361" s="6"/>
      <c r="AY361" s="4"/>
      <c r="AZ361" s="6"/>
      <c r="BA361" s="5"/>
      <c r="BB361" s="5"/>
      <c r="BC361" s="4"/>
      <c r="BD361" s="6"/>
      <c r="BE361" s="4"/>
      <c r="BF361" s="6"/>
      <c r="BG361" s="5"/>
      <c r="BH361" s="5"/>
      <c r="BI361" s="4"/>
      <c r="BJ361" s="6"/>
      <c r="BK361" s="4"/>
      <c r="BL361" s="6"/>
      <c r="BM361" s="5"/>
      <c r="BN361" s="5"/>
      <c r="BO361" s="4"/>
      <c r="BP361" s="6"/>
      <c r="BQ361" s="4"/>
      <c r="BR361" s="6"/>
      <c r="BS361" s="5"/>
      <c r="BT361" s="5"/>
      <c r="BU361" s="4"/>
      <c r="BV361" s="6"/>
      <c r="BW361" s="4"/>
      <c r="BX361" s="6"/>
      <c r="BY361" s="5"/>
      <c r="BZ361" s="5"/>
      <c r="CA361" s="4"/>
      <c r="CB361" s="6"/>
      <c r="CC361" s="4"/>
      <c r="CD361" s="6"/>
      <c r="CE361" s="5"/>
      <c r="CF361" s="5"/>
      <c r="CG361" s="4"/>
      <c r="CH361" s="6"/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/>
      <c r="CZ361" s="6"/>
      <c r="DA361" s="4"/>
      <c r="DB361" s="6"/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>
        <v>1</v>
      </c>
      <c r="DN361" s="6">
        <v>40.21</v>
      </c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/>
      <c r="ED361" s="6"/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/>
      <c r="FV361" s="6"/>
      <c r="FW361" s="5"/>
      <c r="FX361" s="5"/>
      <c r="FY361" s="4"/>
      <c r="FZ361" s="6"/>
      <c r="GA361" s="4"/>
      <c r="GB361" s="6"/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  <c r="IA361" s="4"/>
      <c r="IB361" s="6"/>
      <c r="IC361" s="4"/>
      <c r="ID361" s="6"/>
      <c r="IE361" s="5"/>
      <c r="IF361" s="5"/>
      <c r="IG361" s="4"/>
      <c r="IH361" s="6"/>
      <c r="II361" s="4"/>
      <c r="IJ361" s="6"/>
      <c r="IK361" s="5"/>
      <c r="IL361" s="5"/>
      <c r="IM361" s="4"/>
      <c r="IN361" s="6"/>
      <c r="IO361" s="4"/>
      <c r="IP361" s="6"/>
      <c r="IQ361" s="5"/>
      <c r="IR361" s="5"/>
      <c r="IS361" s="4"/>
      <c r="IT361" s="6"/>
      <c r="IU361" s="4"/>
      <c r="IV361" s="6"/>
      <c r="IW361" s="5"/>
      <c r="IX361" s="5"/>
      <c r="IY361" s="4"/>
      <c r="IZ361" s="6"/>
      <c r="JA361" s="4"/>
      <c r="JB361" s="6"/>
      <c r="JC361" s="5"/>
      <c r="JD361" s="5"/>
      <c r="JE361" s="4"/>
      <c r="JF361" s="6"/>
      <c r="JG361" s="4"/>
      <c r="JH361" s="6"/>
      <c r="JI361" s="5"/>
      <c r="JJ361" s="5"/>
      <c r="JK361" s="4"/>
      <c r="JL361" s="4"/>
      <c r="JM361" s="4"/>
      <c r="JN361" s="4"/>
      <c r="JO361" s="4"/>
      <c r="JP361" s="4"/>
      <c r="JQ361" s="4"/>
      <c r="JR361" s="4"/>
      <c r="JS361" s="4"/>
      <c r="JT361" s="4"/>
      <c r="JU361" s="4"/>
      <c r="JV361" s="4"/>
      <c r="JW361" s="4"/>
      <c r="JX361" s="4"/>
      <c r="JY361" s="4"/>
      <c r="JZ361" s="4"/>
      <c r="KA361" s="4"/>
      <c r="KB361" s="4"/>
      <c r="KC361" s="4"/>
      <c r="KD361" s="4"/>
      <c r="KE361" s="4"/>
      <c r="KF361" s="4"/>
      <c r="KG361" s="4"/>
      <c r="KH361" s="4"/>
      <c r="KI361" s="4"/>
      <c r="KJ361" s="4"/>
      <c r="KK361" s="4"/>
      <c r="KL361" s="4"/>
      <c r="KM361" s="4"/>
      <c r="KN361" s="4"/>
      <c r="KO361" s="4"/>
      <c r="KP361" s="4"/>
      <c r="KQ361" s="4"/>
      <c r="KR361" s="4"/>
      <c r="KS361" s="4"/>
      <c r="KT361" s="4"/>
      <c r="KU361" s="4"/>
      <c r="KV361" s="4"/>
      <c r="KW361" s="4"/>
      <c r="KX361" s="4"/>
      <c r="KY361" s="4"/>
      <c r="KZ361" s="4"/>
      <c r="LA361" s="4"/>
      <c r="LB361" s="4"/>
      <c r="LC361" s="4"/>
      <c r="LD361" s="4"/>
      <c r="LE361" s="4"/>
      <c r="LF361" s="4"/>
      <c r="LG361" s="4"/>
      <c r="LH361" s="4"/>
      <c r="LI361" s="4"/>
      <c r="LJ361" s="4"/>
      <c r="LK361" s="4"/>
      <c r="LL361" s="4"/>
      <c r="LM361" s="4"/>
    </row>
    <row r="362">
      <c r="A362" s="3" t="s">
        <v>136</v>
      </c>
      <c r="B362" s="3" t="s">
        <v>220</v>
      </c>
      <c r="C362" s="3" t="s">
        <v>138</v>
      </c>
      <c r="D362" s="3" t="s">
        <v>139</v>
      </c>
      <c r="E362" s="3" t="s">
        <v>221</v>
      </c>
      <c r="F362" s="3" t="s">
        <v>221</v>
      </c>
      <c r="G362" s="3" t="s">
        <v>221</v>
      </c>
      <c r="H362" s="3" t="s">
        <v>183</v>
      </c>
      <c r="I362" s="3" t="s">
        <v>374</v>
      </c>
      <c r="J362" s="3" t="s">
        <v>241</v>
      </c>
      <c r="K362" s="4"/>
      <c r="L362" s="4">
        <f>=ROUNDDOWN({0},0)</f>
      </c>
      <c r="M362" s="4"/>
      <c r="N362" s="5"/>
      <c r="O362" s="4"/>
      <c r="P362" s="4">
        <f>=ROUNDDOWN({0},0)</f>
      </c>
      <c r="Q362" s="4"/>
      <c r="R362" s="5"/>
      <c r="S362" s="4"/>
      <c r="T362" s="6"/>
      <c r="U362" s="4">
        <v>3</v>
      </c>
      <c r="V362" s="6">
        <v>103.97</v>
      </c>
      <c r="W362" s="5"/>
      <c r="X362" s="5"/>
      <c r="Y362" s="4"/>
      <c r="Z362" s="6"/>
      <c r="AA362" s="4"/>
      <c r="AB362" s="6"/>
      <c r="AC362" s="5"/>
      <c r="AD362" s="5"/>
      <c r="AE362" s="4"/>
      <c r="AF362" s="6"/>
      <c r="AG362" s="4"/>
      <c r="AH362" s="6"/>
      <c r="AI362" s="5"/>
      <c r="AJ362" s="5"/>
      <c r="AK362" s="4"/>
      <c r="AL362" s="6"/>
      <c r="AM362" s="4"/>
      <c r="AN362" s="6"/>
      <c r="AO362" s="5"/>
      <c r="AP362" s="5"/>
      <c r="AQ362" s="4"/>
      <c r="AR362" s="6"/>
      <c r="AS362" s="4"/>
      <c r="AT362" s="6"/>
      <c r="AU362" s="5"/>
      <c r="AV362" s="5"/>
      <c r="AW362" s="4"/>
      <c r="AX362" s="6"/>
      <c r="AY362" s="4"/>
      <c r="AZ362" s="6"/>
      <c r="BA362" s="5"/>
      <c r="BB362" s="5"/>
      <c r="BC362" s="4"/>
      <c r="BD362" s="6"/>
      <c r="BE362" s="4"/>
      <c r="BF362" s="6"/>
      <c r="BG362" s="5"/>
      <c r="BH362" s="5"/>
      <c r="BI362" s="4"/>
      <c r="BJ362" s="6"/>
      <c r="BK362" s="4"/>
      <c r="BL362" s="6"/>
      <c r="BM362" s="5"/>
      <c r="BN362" s="5"/>
      <c r="BO362" s="4"/>
      <c r="BP362" s="6"/>
      <c r="BQ362" s="4"/>
      <c r="BR362" s="6"/>
      <c r="BS362" s="5"/>
      <c r="BT362" s="5"/>
      <c r="BU362" s="4"/>
      <c r="BV362" s="6"/>
      <c r="BW362" s="4"/>
      <c r="BX362" s="6"/>
      <c r="BY362" s="5"/>
      <c r="BZ362" s="5"/>
      <c r="CA362" s="4"/>
      <c r="CB362" s="6"/>
      <c r="CC362" s="4">
        <v>1</v>
      </c>
      <c r="CD362" s="6">
        <v>20.77</v>
      </c>
      <c r="CE362" s="5"/>
      <c r="CF362" s="5"/>
      <c r="CG362" s="4"/>
      <c r="CH362" s="6"/>
      <c r="CI362" s="4"/>
      <c r="CJ362" s="6"/>
      <c r="CK362" s="5"/>
      <c r="CL362" s="5"/>
      <c r="CM362" s="4"/>
      <c r="CN362" s="6"/>
      <c r="CO362" s="4"/>
      <c r="CP362" s="6"/>
      <c r="CQ362" s="5"/>
      <c r="CR362" s="5"/>
      <c r="CS362" s="4"/>
      <c r="CT362" s="6"/>
      <c r="CU362" s="4"/>
      <c r="CV362" s="6"/>
      <c r="CW362" s="5"/>
      <c r="CX362" s="5"/>
      <c r="CY362" s="4"/>
      <c r="CZ362" s="6"/>
      <c r="DA362" s="4"/>
      <c r="DB362" s="6"/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>
        <v>2</v>
      </c>
      <c r="DN362" s="6">
        <v>83.2</v>
      </c>
      <c r="DO362" s="5"/>
      <c r="DP362" s="5"/>
      <c r="DQ362" s="4"/>
      <c r="DR362" s="6"/>
      <c r="DS362" s="4"/>
      <c r="DT362" s="6"/>
      <c r="DU362" s="5"/>
      <c r="DV362" s="5"/>
      <c r="DW362" s="4"/>
      <c r="DX362" s="6"/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/>
      <c r="FH362" s="6"/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/>
      <c r="FV362" s="6"/>
      <c r="FW362" s="5"/>
      <c r="FX362" s="5"/>
      <c r="FY362" s="4"/>
      <c r="FZ362" s="6"/>
      <c r="GA362" s="4"/>
      <c r="GB362" s="6"/>
      <c r="GC362" s="5"/>
      <c r="GD362" s="5"/>
      <c r="GE362" s="4"/>
      <c r="GF362" s="6"/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  <c r="IA362" s="4"/>
      <c r="IB362" s="6"/>
      <c r="IC362" s="4"/>
      <c r="ID362" s="6"/>
      <c r="IE362" s="5"/>
      <c r="IF362" s="5"/>
      <c r="IG362" s="4"/>
      <c r="IH362" s="6"/>
      <c r="II362" s="4"/>
      <c r="IJ362" s="6"/>
      <c r="IK362" s="5"/>
      <c r="IL362" s="5"/>
      <c r="IM362" s="4"/>
      <c r="IN362" s="6"/>
      <c r="IO362" s="4"/>
      <c r="IP362" s="6"/>
      <c r="IQ362" s="5"/>
      <c r="IR362" s="5"/>
      <c r="IS362" s="4"/>
      <c r="IT362" s="6"/>
      <c r="IU362" s="4"/>
      <c r="IV362" s="6"/>
      <c r="IW362" s="5"/>
      <c r="IX362" s="5"/>
      <c r="IY362" s="4"/>
      <c r="IZ362" s="6"/>
      <c r="JA362" s="4"/>
      <c r="JB362" s="6"/>
      <c r="JC362" s="5"/>
      <c r="JD362" s="5"/>
      <c r="JE362" s="4"/>
      <c r="JF362" s="6"/>
      <c r="JG362" s="4"/>
      <c r="JH362" s="6"/>
      <c r="JI362" s="5"/>
      <c r="JJ362" s="5"/>
      <c r="JK362" s="4"/>
      <c r="JL362" s="4"/>
      <c r="JM362" s="4"/>
      <c r="JN362" s="4"/>
      <c r="JO362" s="4"/>
      <c r="JP362" s="4"/>
      <c r="JQ362" s="4"/>
      <c r="JR362" s="4"/>
      <c r="JS362" s="4"/>
      <c r="JT362" s="4"/>
      <c r="JU362" s="4"/>
      <c r="JV362" s="4"/>
      <c r="JW362" s="4"/>
      <c r="JX362" s="4"/>
      <c r="JY362" s="4"/>
      <c r="JZ362" s="4"/>
      <c r="KA362" s="4"/>
      <c r="KB362" s="4"/>
      <c r="KC362" s="4"/>
      <c r="KD362" s="4"/>
      <c r="KE362" s="4"/>
      <c r="KF362" s="4"/>
      <c r="KG362" s="4"/>
      <c r="KH362" s="4"/>
      <c r="KI362" s="4"/>
      <c r="KJ362" s="4"/>
      <c r="KK362" s="4"/>
      <c r="KL362" s="4"/>
      <c r="KM362" s="4"/>
      <c r="KN362" s="4"/>
      <c r="KO362" s="4"/>
      <c r="KP362" s="4"/>
      <c r="KQ362" s="4"/>
      <c r="KR362" s="4"/>
      <c r="KS362" s="4"/>
      <c r="KT362" s="4"/>
      <c r="KU362" s="4"/>
      <c r="KV362" s="4"/>
      <c r="KW362" s="4"/>
      <c r="KX362" s="4"/>
      <c r="KY362" s="4"/>
      <c r="KZ362" s="4"/>
      <c r="LA362" s="4"/>
      <c r="LB362" s="4"/>
      <c r="LC362" s="4"/>
      <c r="LD362" s="4"/>
      <c r="LE362" s="4"/>
      <c r="LF362" s="4"/>
      <c r="LG362" s="4"/>
      <c r="LH362" s="4"/>
      <c r="LI362" s="4"/>
      <c r="LJ362" s="4"/>
      <c r="LK362" s="4"/>
      <c r="LL362" s="4"/>
      <c r="LM362" s="4"/>
    </row>
    <row r="363">
      <c r="A363" s="11" t="s">
        <v>222</v>
      </c>
      <c r="B363" s="7" t="s">
        <v>188</v>
      </c>
      <c r="C363" s="7" t="s">
        <v>188</v>
      </c>
      <c r="D363" s="7" t="s">
        <v>188</v>
      </c>
      <c r="E363" s="7" t="s">
        <v>188</v>
      </c>
      <c r="F363" s="7" t="s">
        <v>188</v>
      </c>
      <c r="G363" s="7" t="s">
        <v>188</v>
      </c>
      <c r="H363" s="7" t="s">
        <v>188</v>
      </c>
      <c r="I363" s="7" t="s">
        <v>188</v>
      </c>
      <c r="J363" s="7" t="s">
        <v>188</v>
      </c>
      <c r="K363" s="8">
        <v>151894</v>
      </c>
      <c r="L363" s="8">
        <f>=ROUNDDOWN({0},0)</f>
      </c>
      <c r="M363" s="8">
        <v>298554</v>
      </c>
      <c r="N363" s="9"/>
      <c r="O363" s="8"/>
      <c r="P363" s="8">
        <f>=ROUNDDOWN({0},0)</f>
      </c>
      <c r="Q363" s="8"/>
      <c r="R363" s="9"/>
      <c r="S363" s="8">
        <v>123771</v>
      </c>
      <c r="T363" s="10">
        <v>3111065.83</v>
      </c>
      <c r="U363" s="8">
        <v>113991</v>
      </c>
      <c r="V363" s="10">
        <v>2839880.7</v>
      </c>
      <c r="W363" s="9">
        <v>0.0858</v>
      </c>
      <c r="X363" s="9">
        <v>0.0955</v>
      </c>
      <c r="Y363" s="8">
        <v>19013</v>
      </c>
      <c r="Z363" s="10">
        <v>491774.39</v>
      </c>
      <c r="AA363" s="8">
        <v>23545</v>
      </c>
      <c r="AB363" s="10">
        <v>559335.95</v>
      </c>
      <c r="AC363" s="9">
        <v>-0.1925</v>
      </c>
      <c r="AD363" s="9">
        <v>-0.1208</v>
      </c>
      <c r="AE363" s="8">
        <v>13562</v>
      </c>
      <c r="AF363" s="10">
        <v>486537.34</v>
      </c>
      <c r="AG363" s="8">
        <v>1805</v>
      </c>
      <c r="AH363" s="10">
        <v>57151.38</v>
      </c>
      <c r="AI363" s="9">
        <v>6.5136</v>
      </c>
      <c r="AJ363" s="9">
        <v>7.5131</v>
      </c>
      <c r="AK363" s="8">
        <v>25419</v>
      </c>
      <c r="AL363" s="10">
        <v>469492.88</v>
      </c>
      <c r="AM363" s="8"/>
      <c r="AN363" s="10"/>
      <c r="AO363" s="9"/>
      <c r="AP363" s="9"/>
      <c r="AQ363" s="8">
        <v>14870</v>
      </c>
      <c r="AR363" s="10">
        <v>351577.5</v>
      </c>
      <c r="AS363" s="8">
        <v>20967</v>
      </c>
      <c r="AT363" s="10">
        <v>496539.83</v>
      </c>
      <c r="AU363" s="9">
        <v>-0.2908</v>
      </c>
      <c r="AV363" s="9">
        <v>-0.2919</v>
      </c>
      <c r="AW363" s="8">
        <v>12212</v>
      </c>
      <c r="AX363" s="10">
        <v>351325.77</v>
      </c>
      <c r="AY363" s="8">
        <v>10949</v>
      </c>
      <c r="AZ363" s="10">
        <v>311722.06</v>
      </c>
      <c r="BA363" s="9">
        <v>0.1154</v>
      </c>
      <c r="BB363" s="9">
        <v>0.127</v>
      </c>
      <c r="BC363" s="8">
        <v>10773</v>
      </c>
      <c r="BD363" s="10">
        <v>235543.74</v>
      </c>
      <c r="BE363" s="8">
        <v>13265</v>
      </c>
      <c r="BF363" s="10">
        <v>312929.13</v>
      </c>
      <c r="BG363" s="9">
        <v>-0.1879</v>
      </c>
      <c r="BH363" s="9">
        <v>-0.2473</v>
      </c>
      <c r="BI363" s="8">
        <v>9124</v>
      </c>
      <c r="BJ363" s="10">
        <v>219262.83</v>
      </c>
      <c r="BK363" s="8">
        <v>15097</v>
      </c>
      <c r="BL363" s="10">
        <v>326936.8</v>
      </c>
      <c r="BM363" s="9">
        <v>-0.3956</v>
      </c>
      <c r="BN363" s="9">
        <v>-0.3293</v>
      </c>
      <c r="BO363" s="8">
        <v>4375</v>
      </c>
      <c r="BP363" s="10">
        <v>108322.75</v>
      </c>
      <c r="BQ363" s="8">
        <v>4636</v>
      </c>
      <c r="BR363" s="10">
        <v>110723.78</v>
      </c>
      <c r="BS363" s="9">
        <v>-0.0563</v>
      </c>
      <c r="BT363" s="9">
        <v>-0.0217</v>
      </c>
      <c r="BU363" s="8">
        <v>3095</v>
      </c>
      <c r="BV363" s="10">
        <v>98663.11</v>
      </c>
      <c r="BW363" s="8">
        <v>5622</v>
      </c>
      <c r="BX363" s="10">
        <v>164922.27</v>
      </c>
      <c r="BY363" s="9">
        <v>-0.4495</v>
      </c>
      <c r="BZ363" s="9">
        <v>-0.4018</v>
      </c>
      <c r="CA363" s="8">
        <v>2650</v>
      </c>
      <c r="CB363" s="10">
        <v>76194.89</v>
      </c>
      <c r="CC363" s="8">
        <v>4629</v>
      </c>
      <c r="CD363" s="10">
        <v>141079.82</v>
      </c>
      <c r="CE363" s="9">
        <v>-0.4275</v>
      </c>
      <c r="CF363" s="9">
        <v>-0.4599</v>
      </c>
      <c r="CG363" s="8">
        <v>3210</v>
      </c>
      <c r="CH363" s="10">
        <v>74072.31</v>
      </c>
      <c r="CI363" s="8">
        <v>2686</v>
      </c>
      <c r="CJ363" s="10">
        <v>66484.5</v>
      </c>
      <c r="CK363" s="9">
        <v>0.1951</v>
      </c>
      <c r="CL363" s="9">
        <v>0.1141</v>
      </c>
      <c r="CM363" s="8">
        <v>985</v>
      </c>
      <c r="CN363" s="10">
        <v>33531.15</v>
      </c>
      <c r="CO363" s="8">
        <v>518</v>
      </c>
      <c r="CP363" s="10">
        <v>17749.79</v>
      </c>
      <c r="CQ363" s="9">
        <v>0.9015</v>
      </c>
      <c r="CR363" s="9">
        <v>0.8891</v>
      </c>
      <c r="CS363" s="8">
        <v>1457</v>
      </c>
      <c r="CT363" s="10">
        <v>33299.42</v>
      </c>
      <c r="CU363" s="8">
        <v>2789</v>
      </c>
      <c r="CV363" s="10">
        <v>74729.39</v>
      </c>
      <c r="CW363" s="9">
        <v>-0.4776</v>
      </c>
      <c r="CX363" s="9">
        <v>-0.5544</v>
      </c>
      <c r="CY363" s="8">
        <v>964</v>
      </c>
      <c r="CZ363" s="10">
        <v>21296.73</v>
      </c>
      <c r="DA363" s="8">
        <v>2639</v>
      </c>
      <c r="DB363" s="10">
        <v>56865.68</v>
      </c>
      <c r="DC363" s="9">
        <v>-0.6347</v>
      </c>
      <c r="DD363" s="9">
        <v>-0.6255</v>
      </c>
      <c r="DE363" s="8">
        <v>632</v>
      </c>
      <c r="DF363" s="10">
        <v>17133.34</v>
      </c>
      <c r="DG363" s="8">
        <v>505</v>
      </c>
      <c r="DH363" s="10">
        <v>13138.23</v>
      </c>
      <c r="DI363" s="9">
        <v>0.2515</v>
      </c>
      <c r="DJ363" s="9">
        <v>0.3041</v>
      </c>
      <c r="DK363" s="8">
        <v>230</v>
      </c>
      <c r="DL363" s="10">
        <v>10443.95</v>
      </c>
      <c r="DM363" s="8">
        <v>300</v>
      </c>
      <c r="DN363" s="10">
        <v>13451.3</v>
      </c>
      <c r="DO363" s="9">
        <v>-0.2333</v>
      </c>
      <c r="DP363" s="9">
        <v>-0.2236</v>
      </c>
      <c r="DQ363" s="8">
        <v>472</v>
      </c>
      <c r="DR363" s="10">
        <v>9653.15</v>
      </c>
      <c r="DS363" s="8">
        <v>658</v>
      </c>
      <c r="DT363" s="10">
        <v>13483.68</v>
      </c>
      <c r="DU363" s="9">
        <v>-0.2827</v>
      </c>
      <c r="DV363" s="9">
        <v>-0.2841</v>
      </c>
      <c r="DW363" s="8">
        <v>262</v>
      </c>
      <c r="DX363" s="10">
        <v>6912.54</v>
      </c>
      <c r="DY363" s="8">
        <v>318</v>
      </c>
      <c r="DZ363" s="10">
        <v>7562.81</v>
      </c>
      <c r="EA363" s="9">
        <v>-0.1761</v>
      </c>
      <c r="EB363" s="9">
        <v>-0.086</v>
      </c>
      <c r="EC363" s="8">
        <v>163</v>
      </c>
      <c r="ED363" s="10">
        <v>4954.6</v>
      </c>
      <c r="EE363" s="8">
        <v>160</v>
      </c>
      <c r="EF363" s="10">
        <v>4034.37</v>
      </c>
      <c r="EG363" s="9">
        <v>0.0188</v>
      </c>
      <c r="EH363" s="9">
        <v>0.2281</v>
      </c>
      <c r="EI363" s="8">
        <v>151</v>
      </c>
      <c r="EJ363" s="10">
        <v>4374.72</v>
      </c>
      <c r="EK363" s="8">
        <v>76</v>
      </c>
      <c r="EL363" s="10">
        <v>2900.71</v>
      </c>
      <c r="EM363" s="9">
        <v>0.9868</v>
      </c>
      <c r="EN363" s="9">
        <v>0.5082</v>
      </c>
      <c r="EO363" s="8">
        <v>26</v>
      </c>
      <c r="EP363" s="10">
        <v>1806.82</v>
      </c>
      <c r="EQ363" s="8"/>
      <c r="ER363" s="10"/>
      <c r="ES363" s="9"/>
      <c r="ET363" s="9"/>
      <c r="EU363" s="8">
        <v>53</v>
      </c>
      <c r="EV363" s="10">
        <v>1710.42</v>
      </c>
      <c r="EW363" s="8">
        <v>31</v>
      </c>
      <c r="EX363" s="10">
        <v>1095.69</v>
      </c>
      <c r="EY363" s="9">
        <v>0.7097</v>
      </c>
      <c r="EZ363" s="9">
        <v>0.561</v>
      </c>
      <c r="FA363" s="8">
        <v>24</v>
      </c>
      <c r="FB363" s="10">
        <v>1508.41</v>
      </c>
      <c r="FC363" s="8">
        <v>24</v>
      </c>
      <c r="FD363" s="10">
        <v>935.82</v>
      </c>
      <c r="FE363" s="9"/>
      <c r="FF363" s="9">
        <v>0.6119</v>
      </c>
      <c r="FG363" s="8">
        <v>42</v>
      </c>
      <c r="FH363" s="10">
        <v>1414.41</v>
      </c>
      <c r="FI363" s="8"/>
      <c r="FJ363" s="10"/>
      <c r="FK363" s="9"/>
      <c r="FL363" s="9"/>
      <c r="FM363" s="8">
        <v>7</v>
      </c>
      <c r="FN363" s="10">
        <v>258.66</v>
      </c>
      <c r="FO363" s="8">
        <v>5</v>
      </c>
      <c r="FP363" s="10">
        <v>171.77</v>
      </c>
      <c r="FQ363" s="9">
        <v>0.4</v>
      </c>
      <c r="FR363" s="9">
        <v>0.5059</v>
      </c>
      <c r="FS363" s="8"/>
      <c r="FT363" s="10"/>
      <c r="FU363" s="8">
        <v>2201</v>
      </c>
      <c r="FV363" s="10">
        <v>69763.03</v>
      </c>
      <c r="FW363" s="9">
        <v>-1</v>
      </c>
      <c r="FX363" s="9">
        <v>-1</v>
      </c>
      <c r="FY363" s="8"/>
      <c r="FZ363" s="10"/>
      <c r="GA363" s="8">
        <v>493</v>
      </c>
      <c r="GB363" s="10">
        <v>14046.5</v>
      </c>
      <c r="GC363" s="9">
        <v>-1</v>
      </c>
      <c r="GD363" s="9">
        <v>-1</v>
      </c>
      <c r="GE363" s="8"/>
      <c r="GF363" s="10"/>
      <c r="GG363" s="8">
        <v>73</v>
      </c>
      <c r="GH363" s="10">
        <v>2126.41</v>
      </c>
      <c r="GI363" s="9">
        <v>-1</v>
      </c>
      <c r="GJ363" s="9">
        <v>-1</v>
      </c>
      <c r="GK363" s="8"/>
      <c r="GL363" s="10"/>
      <c r="GM363" s="8"/>
      <c r="GN363" s="10"/>
      <c r="GO363" s="9"/>
      <c r="GP363" s="9"/>
      <c r="GQ363" s="8"/>
      <c r="GR363" s="10"/>
      <c r="GS363" s="8"/>
      <c r="GT363" s="10"/>
      <c r="GU363" s="9"/>
      <c r="GV363" s="9"/>
      <c r="GW363" s="8"/>
      <c r="GX363" s="10"/>
      <c r="GY363" s="8"/>
      <c r="GZ363" s="10"/>
      <c r="HA363" s="9"/>
      <c r="HB363" s="9"/>
      <c r="HC363" s="8"/>
      <c r="HD363" s="10"/>
      <c r="HE363" s="8"/>
      <c r="HF363" s="10"/>
      <c r="HG363" s="9"/>
      <c r="HH363" s="9"/>
      <c r="HI363" s="8"/>
      <c r="HJ363" s="10"/>
      <c r="HK363" s="8"/>
      <c r="HL363" s="10"/>
      <c r="HM363" s="9"/>
      <c r="HN363" s="9"/>
      <c r="HO363" s="8"/>
      <c r="HP363" s="10"/>
      <c r="HQ363" s="8"/>
      <c r="HR363" s="10"/>
      <c r="HS363" s="9"/>
      <c r="HT363" s="9"/>
      <c r="HU363" s="8"/>
      <c r="HV363" s="10"/>
      <c r="HW363" s="8"/>
      <c r="HX363" s="10"/>
      <c r="HY363" s="9"/>
      <c r="HZ363" s="9"/>
      <c r="IA363" s="8"/>
      <c r="IB363" s="10"/>
      <c r="IC363" s="8"/>
      <c r="ID363" s="10"/>
      <c r="IE363" s="9"/>
      <c r="IF363" s="9"/>
      <c r="IG363" s="8"/>
      <c r="IH363" s="10"/>
      <c r="II363" s="8"/>
      <c r="IJ363" s="10"/>
      <c r="IK363" s="9"/>
      <c r="IL363" s="9"/>
      <c r="IM363" s="8"/>
      <c r="IN363" s="10"/>
      <c r="IO363" s="8"/>
      <c r="IP363" s="10"/>
      <c r="IQ363" s="9"/>
      <c r="IR363" s="9"/>
      <c r="IS363" s="8"/>
      <c r="IT363" s="10"/>
      <c r="IU363" s="8"/>
      <c r="IV363" s="10"/>
      <c r="IW363" s="9"/>
      <c r="IX363" s="9"/>
      <c r="IY363" s="8"/>
      <c r="IZ363" s="10"/>
      <c r="JA363" s="8"/>
      <c r="JB363" s="10"/>
      <c r="JC363" s="9"/>
      <c r="JD363" s="9"/>
      <c r="JE363" s="8"/>
      <c r="JF363" s="10"/>
      <c r="JG363" s="8"/>
      <c r="JH363" s="10"/>
      <c r="JI363" s="9"/>
      <c r="JJ363" s="9"/>
      <c r="JK363" s="8">
        <v>142722</v>
      </c>
      <c r="JL363" s="8">
        <v>65</v>
      </c>
      <c r="JM363" s="8"/>
      <c r="JN363" s="8"/>
      <c r="JO363" s="8">
        <v>5925</v>
      </c>
      <c r="JP363" s="8"/>
      <c r="JQ363" s="8"/>
      <c r="JR363" s="8">
        <v>3182</v>
      </c>
      <c r="JS363" s="8"/>
      <c r="JT363" s="8"/>
      <c r="JU363" s="8"/>
      <c r="JV363" s="8"/>
      <c r="JW363" s="8"/>
      <c r="JX363" s="8"/>
      <c r="JY363" s="8"/>
      <c r="JZ363" s="8"/>
      <c r="KA363" s="8">
        <v>8223</v>
      </c>
      <c r="KB363" s="8">
        <v>1010</v>
      </c>
      <c r="KC363" s="8">
        <v>3602</v>
      </c>
      <c r="KD363" s="8">
        <v>4263</v>
      </c>
      <c r="KE363" s="8">
        <v>2781</v>
      </c>
      <c r="KF363" s="8">
        <v>4098</v>
      </c>
      <c r="KG363" s="8">
        <v>8520</v>
      </c>
      <c r="KH363" s="8">
        <v>6918</v>
      </c>
      <c r="KI363" s="8">
        <v>1730</v>
      </c>
      <c r="KJ363" s="8">
        <v>21205</v>
      </c>
      <c r="KK363" s="8">
        <v>580</v>
      </c>
      <c r="KL363" s="8">
        <v>1820</v>
      </c>
      <c r="KM363" s="8">
        <v>1010</v>
      </c>
      <c r="KN363" s="8">
        <v>1200</v>
      </c>
      <c r="KO363" s="8">
        <v>1124</v>
      </c>
      <c r="KP363" s="8">
        <v>4788</v>
      </c>
      <c r="KQ363" s="8">
        <v>1802</v>
      </c>
      <c r="KR363" s="8">
        <v>4477</v>
      </c>
      <c r="KS363" s="8">
        <v>21550</v>
      </c>
      <c r="KT363" s="8">
        <v>600</v>
      </c>
      <c r="KU363" s="8">
        <v>9218</v>
      </c>
      <c r="KV363" s="8">
        <v>1080</v>
      </c>
      <c r="KW363" s="8">
        <v>10240</v>
      </c>
      <c r="KX363" s="8">
        <v>2040</v>
      </c>
      <c r="KY363" s="8">
        <v>3550</v>
      </c>
      <c r="KZ363" s="8">
        <v>3122</v>
      </c>
      <c r="LA363" s="8">
        <v>3400</v>
      </c>
      <c r="LB363" s="8">
        <v>184</v>
      </c>
      <c r="LC363" s="8">
        <v>34620</v>
      </c>
      <c r="LD363" s="8">
        <v>7692</v>
      </c>
      <c r="LE363" s="8">
        <v>77404</v>
      </c>
      <c r="LF363" s="8">
        <v>2210</v>
      </c>
      <c r="LG363" s="8">
        <v>18071</v>
      </c>
      <c r="LH363" s="8">
        <v>2212</v>
      </c>
      <c r="LI363" s="8">
        <v>9590</v>
      </c>
      <c r="LJ363" s="8">
        <v>1040</v>
      </c>
      <c r="LK363" s="8">
        <v>670</v>
      </c>
      <c r="LL363" s="8">
        <v>2330</v>
      </c>
      <c r="LM363" s="8">
        <v>8580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F3"/>
    <mergeCell ref="IA4:IB4"/>
    <mergeCell ref="IC4:ID4"/>
    <mergeCell ref="IE4:IE5"/>
    <mergeCell ref="IF4:IF5"/>
    <mergeCell ref="IG3:IL3"/>
    <mergeCell ref="IG4:IH4"/>
    <mergeCell ref="II4:IJ4"/>
    <mergeCell ref="IK4:IK5"/>
    <mergeCell ref="IL4:IL5"/>
    <mergeCell ref="IM3:IR3"/>
    <mergeCell ref="IM4:IN4"/>
    <mergeCell ref="IO4:IP4"/>
    <mergeCell ref="IQ4:IQ5"/>
    <mergeCell ref="IR4:IR5"/>
    <mergeCell ref="IS3:IX3"/>
    <mergeCell ref="IS4:IT4"/>
    <mergeCell ref="IU4:IV4"/>
    <mergeCell ref="IW4:IW5"/>
    <mergeCell ref="IX4:IX5"/>
    <mergeCell ref="IY3:JD3"/>
    <mergeCell ref="IY4:IZ4"/>
    <mergeCell ref="JA4:JB4"/>
    <mergeCell ref="JC4:JC5"/>
    <mergeCell ref="JD4:JD5"/>
    <mergeCell ref="JE3:JJ3"/>
    <mergeCell ref="JE4:JF4"/>
    <mergeCell ref="JG4:JH4"/>
    <mergeCell ref="JI4:JI5"/>
    <mergeCell ref="JJ4:JJ5"/>
    <mergeCell ref="JK3:JZ4"/>
    <mergeCell ref="KA3:LM4"/>
  </mergeCells>
  <headerFooter/>
</worksheet>
</file>