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<sst xmlns="http://schemas.openxmlformats.org/spreadsheetml/2006/main" count="5156" uniqueCount="5156">
  <si>
    <t>Date Type:</t>
  </si>
  <si>
    <t>Shipped Date</t>
  </si>
  <si>
    <t>Start Date:</t>
  </si>
  <si>
    <t>02/05/2024</t>
  </si>
  <si>
    <t>End Date:</t>
  </si>
  <si>
    <t>02/11/2024</t>
  </si>
  <si>
    <t>Report Run Date:</t>
  </si>
  <si>
    <t>02/12/2024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</si>
  <si>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</si>
  <si>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</si>
  <si>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</si>
  <si>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</si>
  <si>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</si>
  <si>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</si>
  <si>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</si>
  <si>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</si>
  <si>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</si>
  <si>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</si>
  <si>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</si>
  <si>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</si>
  <si>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</si>
  <si>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</si>
  <si>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</si>
  <si>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</si>
  <si>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</si>
  <si>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</si>
  <si>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</si>
  <si>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</si>
  <si>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</si>
  <si>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</si>
  <si>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</si>
  <si>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</si>
  <si>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</si>
  <si>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</si>
  <si>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</si>
  <si>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</si>
  <si>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</si>
  <si>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</si>
  <si>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</si>
  <si>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</si>
  <si>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</si>
  <si>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</si>
  <si>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</si>
  <si>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</si>
  <si>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</si>
  <si>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</si>
  <si>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</si>
  <si>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</si>
  <si>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</si>
  <si>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</si>
  <si>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</si>
  <si>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</si>
  <si>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</si>
  <si>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</si>
  <si>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</si>
  <si>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</si>
  <si>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</si>
  <si>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</si>
  <si>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</si>
  <si>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</si>
  <si>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</si>
  <si>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</si>
  <si>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</si>
  <si>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</si>
  <si>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</si>
  <si>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</si>
  <si>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</si>
  <si>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</si>
  <si>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</si>
  <si>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</si>
  <si>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</si>
  <si>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</si>
  <si>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</si>
  <si>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</si>
  <si>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</si>
  <si>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</si>
  <si>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</si>
  <si>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</si>
  <si>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</si>
  <si>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</si>
  <si>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</si>
  <si>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</si>
  <si>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</si>
  <si>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</si>
  <si>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</si>
  <si>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</si>
  <si>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MP95B-0291</t>
  </si>
  <si>
    <t>ART</t>
  </si>
  <si>
    <t>Madison Park</t>
  </si>
  <si>
    <t>AWD</t>
  </si>
  <si>
    <t>WALL DECOR</t>
  </si>
  <si>
    <t>Florian</t>
  </si>
  <si>
    <t>Grey Laser Cut Wood 2-piece Panel Wall Decor Set</t>
  </si>
  <si>
    <t>See below</t>
  </si>
  <si>
    <t>Reclaimed Grey</t>
  </si>
  <si>
    <t>Active</t>
  </si>
  <si>
    <t>A</t>
  </si>
  <si>
    <t>NO</t>
  </si>
  <si>
    <t/>
  </si>
  <si>
    <t>PP001717</t>
  </si>
  <si>
    <t>2</t>
  </si>
  <si>
    <t>BOTANICAL / FOLIAGE 02</t>
  </si>
  <si>
    <t>Modern/Contemporary</t>
  </si>
  <si>
    <t>Transitional</t>
  </si>
  <si>
    <t>2/24/2022</t>
  </si>
  <si>
    <t>2/27/2024</t>
  </si>
  <si>
    <t>AMAZONDS,CSNSTORES,JCPENNEY01,MACY02,OVERSTOCK01</t>
  </si>
  <si>
    <t>Setup</t>
  </si>
  <si>
    <t>8/9/2022</t>
  </si>
  <si>
    <t>12/8/2022</t>
  </si>
  <si>
    <t>No</t>
  </si>
  <si>
    <t>MP95B-0276</t>
  </si>
  <si>
    <t>Exton</t>
  </si>
  <si>
    <t>Two-tone Overlapping Geometric Wood Panel Wall Decor</t>
  </si>
  <si>
    <t>Natural/White</t>
  </si>
  <si>
    <t>C</t>
  </si>
  <si>
    <t>PP001636</t>
  </si>
  <si>
    <t>1</t>
  </si>
  <si>
    <t>GEOMETRIC 08</t>
  </si>
  <si>
    <t>Casual</t>
  </si>
  <si>
    <t>9/18/2021</t>
  </si>
  <si>
    <t>MACY02,OVERSTOCK01</t>
  </si>
  <si>
    <t>3/3/2022</t>
  </si>
  <si>
    <t>3/30/2022</t>
  </si>
  <si>
    <t>MP95B-0275</t>
  </si>
  <si>
    <t>Laurel Branches</t>
  </si>
  <si>
    <t>Laser Cut Tree Framed Panel Wall Decor</t>
  </si>
  <si>
    <t>Natural</t>
  </si>
  <si>
    <t>PP001635</t>
  </si>
  <si>
    <t>AMAZONDS,AMERSIGNDS,KIRKLANDDS,MACY02,TGTDVS</t>
  </si>
  <si>
    <t>6/2/2022</t>
  </si>
  <si>
    <t>6/7/2022</t>
  </si>
  <si>
    <t>MP95B-0274</t>
  </si>
  <si>
    <t>Grey</t>
  </si>
  <si>
    <t>B</t>
  </si>
  <si>
    <t>PP001634</t>
  </si>
  <si>
    <t>3/26/2024</t>
  </si>
  <si>
    <t>AMAZON,AMAZONDS,CSNSTORES,JCPENNEY01,KIRKLANDDS,TGTDVS</t>
  </si>
  <si>
    <t>6/6/2022</t>
  </si>
  <si>
    <t>MP95B-0259</t>
  </si>
  <si>
    <t>Arwen</t>
  </si>
  <si>
    <t>Two-tone Medallion Carved Wood 4-piece Wall Decor Set</t>
  </si>
  <si>
    <t>B-</t>
  </si>
  <si>
    <t>PF005260</t>
  </si>
  <si>
    <t>4</t>
  </si>
  <si>
    <t>Medallion</t>
  </si>
  <si>
    <t>Global Inspired</t>
  </si>
  <si>
    <t>11/28/2020</t>
  </si>
  <si>
    <t>AMAZON,CSNSTORES,JCPENNEY01,ROOMECOM</t>
  </si>
  <si>
    <t>5/17/2021</t>
  </si>
  <si>
    <t>12/3/2021</t>
  </si>
  <si>
    <t>MP95B-0292</t>
  </si>
  <si>
    <t>Ash</t>
  </si>
  <si>
    <t>Carved Wood 3 Piece Set Wall Decor</t>
  </si>
  <si>
    <t>Grey/Silver</t>
  </si>
  <si>
    <t>Close-out</t>
  </si>
  <si>
    <t>PP001723</t>
  </si>
  <si>
    <t>3</t>
  </si>
  <si>
    <t>JCPENNEY01</t>
  </si>
  <si>
    <t>MP95B-0280</t>
  </si>
  <si>
    <t>Birch Palms</t>
  </si>
  <si>
    <t>Two-tone 2-piece Wood Panel Wall Decor Set</t>
  </si>
  <si>
    <t>Dark Brown</t>
  </si>
  <si>
    <t>A+</t>
  </si>
  <si>
    <t>PP001658</t>
  </si>
  <si>
    <t>Coastal</t>
  </si>
  <si>
    <t>9/15/2021</t>
  </si>
  <si>
    <t>3/19/2024</t>
  </si>
  <si>
    <t>AMAZON,AMERSIGNDS,BLK01,CSNSTORES,JCPENNEY01,KIRKLANDDS,OVERSTOCK01,TGTDVS,ZOLA</t>
  </si>
  <si>
    <t>5/18/2022</t>
  </si>
  <si>
    <t>6/8/2022</t>
  </si>
  <si>
    <t>MP95B-0252</t>
  </si>
  <si>
    <t>Boho Notion</t>
  </si>
  <si>
    <t>White Medallion Wood Wall Decor</t>
  </si>
  <si>
    <t>White</t>
  </si>
  <si>
    <t>PP001436;PF005003</t>
  </si>
  <si>
    <t>5/21/2020</t>
  </si>
  <si>
    <t>5/15/2024</t>
  </si>
  <si>
    <t>AMAZON,BLK01,JCPENNEY01,TGTDVS</t>
  </si>
  <si>
    <t>7/15/2021</t>
  </si>
  <si>
    <t>MP95B-0264</t>
  </si>
  <si>
    <t>Botanical Panel</t>
  </si>
  <si>
    <t>Distressed Carved Wood 2-piece Wall Decor Set</t>
  </si>
  <si>
    <t>Antique Blue</t>
  </si>
  <si>
    <t>PF005428</t>
  </si>
  <si>
    <t>5/12/2024</t>
  </si>
  <si>
    <t>AMAZON,BLK01,CSNSTORES,JCPENNEY01,KIRKLANDDS,KOHLDSN,LAMPDS,OVERSTOCK01</t>
  </si>
  <si>
    <t>MP95B-0263</t>
  </si>
  <si>
    <t>Bronze</t>
  </si>
  <si>
    <t>AMAZONDS,DESINC,TGTDVS</t>
  </si>
  <si>
    <t>4/27/2022</t>
  </si>
  <si>
    <t>MP95B-0230</t>
  </si>
  <si>
    <t>PP001413;PF004959</t>
  </si>
  <si>
    <t>10/2/2019</t>
  </si>
  <si>
    <t>5/1/2024</t>
  </si>
  <si>
    <t>AMAZON,AMAZONDS,CSNSTORES,JCPENNEY01,KIRKLANDDS,KOHLDSN,OVERSTOCK01,TGTDVS</t>
  </si>
  <si>
    <t>5/18/2021</t>
  </si>
  <si>
    <t>7/14/2021</t>
  </si>
  <si>
    <t>MP95B-0231</t>
  </si>
  <si>
    <t>Damask Wood Panel</t>
  </si>
  <si>
    <t>Two-tone Geometric Wall Decor</t>
  </si>
  <si>
    <t>Wood</t>
  </si>
  <si>
    <t>PP001412;PF004958</t>
  </si>
  <si>
    <t>Global</t>
  </si>
  <si>
    <t>Farm House</t>
  </si>
  <si>
    <t>AMAZON,JCPENNEY01,KIRKLANDDS</t>
  </si>
  <si>
    <t>1/12/2020</t>
  </si>
  <si>
    <t>6/14/2021</t>
  </si>
  <si>
    <t>MP95B-0241</t>
  </si>
  <si>
    <t>Ella</t>
  </si>
  <si>
    <t>Round Natural Fiber and Mirror 3-piece Wall Decor Set</t>
  </si>
  <si>
    <t>Neutral</t>
  </si>
  <si>
    <t>PP001424;PF004976</t>
  </si>
  <si>
    <t>11/4/2019</t>
  </si>
  <si>
    <t>5/8/2024</t>
  </si>
  <si>
    <t>CSNSTORES,HOUZZ,KIRKLANDDS,OVERSTOCK01</t>
  </si>
  <si>
    <t>MP95B-0250</t>
  </si>
  <si>
    <t>Golden Gingko Leaves</t>
  </si>
  <si>
    <t>3-piece Metal Wall Decor Set</t>
  </si>
  <si>
    <t>Black/Gold</t>
  </si>
  <si>
    <t>PP001434;PF005000</t>
  </si>
  <si>
    <t>12/30/2019</t>
  </si>
  <si>
    <t>4/6/2024</t>
  </si>
  <si>
    <t>CSNSTORES,KOHLDSN,OVERSTOCK01</t>
  </si>
  <si>
    <t>6/9/2021</t>
  </si>
  <si>
    <t>MP95B-0273</t>
  </si>
  <si>
    <t>Leah</t>
  </si>
  <si>
    <t xml:space="preserve">Leah </t>
  </si>
  <si>
    <t>Round Two-tone Medallion Wall Decor</t>
  </si>
  <si>
    <t>PP001633</t>
  </si>
  <si>
    <t>5/29/2024</t>
  </si>
  <si>
    <t>AMAZON,BLK01,JCPENNEY01,KIRKLANDDS,KOHLDSN</t>
  </si>
  <si>
    <t>3/24/2022</t>
  </si>
  <si>
    <t>MP95B-0244</t>
  </si>
  <si>
    <t>Legion</t>
  </si>
  <si>
    <t>Multi-colored Geometric Metal Discs Wall Decor</t>
  </si>
  <si>
    <t>Multi</t>
  </si>
  <si>
    <t>PP001427;PF004979</t>
  </si>
  <si>
    <t>AMERSIGNDS,CSNSTORES,OVERSTOCK01,ROOMECOM</t>
  </si>
  <si>
    <t>MP167-0357</t>
  </si>
  <si>
    <t>Lenzie</t>
  </si>
  <si>
    <t>Multi-colored Lily Pad Leaves 2-piece Metal Wall Decor Set</t>
  </si>
  <si>
    <t>AMAZON,CSNSTORES,HOUZZ,JCPENNEY01,KIRKLANDDS,OVERSTOCK01,ROOMECOM</t>
  </si>
  <si>
    <t>6/10/2021</t>
  </si>
  <si>
    <t>MP167-0098</t>
  </si>
  <si>
    <t>Mandal Panel</t>
  </si>
  <si>
    <t>Two-tone Geometric 3-piece Wood Wall Decor Set</t>
  </si>
  <si>
    <t>PF003106</t>
  </si>
  <si>
    <t>8/2/2017</t>
  </si>
  <si>
    <t>AMAZON,ASHFURNDS,CSNSTORES,KIRKLANDDS,OVERSTOCK01,TGTDVS</t>
  </si>
  <si>
    <t>6/12/2017</t>
  </si>
  <si>
    <t>9/20/2017</t>
  </si>
  <si>
    <t>MP95B-0257</t>
  </si>
  <si>
    <t>Medallion Trio</t>
  </si>
  <si>
    <t>Distressed White Floral 3-piece Carved Wood Wall Decor Set</t>
  </si>
  <si>
    <t>PF005258</t>
  </si>
  <si>
    <t>AMAZON,ASHFURNDS,CSNSTORES,HDDS,JCPENNEY01,KIRKLANDDS,KOHLDSN,OVERSTOCK01,TGTDVS</t>
  </si>
  <si>
    <t>9/16/2021</t>
  </si>
  <si>
    <t>10/5/2021</t>
  </si>
  <si>
    <t>MP95B-0224</t>
  </si>
  <si>
    <t>Paper Cloaked Leaves</t>
  </si>
  <si>
    <t>Metal Framed Decor Panel</t>
  </si>
  <si>
    <t>9/13/2019</t>
  </si>
  <si>
    <t>AMAZON,AMERSIGNDS,JCPENNEY01,KIRKLANDDS,OVERSTOCK01</t>
  </si>
  <si>
    <t>1/5/2022</t>
  </si>
  <si>
    <t>MP95B-0258</t>
  </si>
  <si>
    <t>Reed</t>
  </si>
  <si>
    <t>Round Bamboo Wall Decor Mirror</t>
  </si>
  <si>
    <t>PF005259</t>
  </si>
  <si>
    <t>OVERSTOCK01</t>
  </si>
  <si>
    <t>2/6/2022</t>
  </si>
  <si>
    <t>Yes</t>
  </si>
  <si>
    <t>MP167-0096</t>
  </si>
  <si>
    <t>Rossi</t>
  </si>
  <si>
    <t>Rosalie</t>
  </si>
  <si>
    <t>Jax</t>
  </si>
  <si>
    <t>Textured Feather 3-piece Metal Disc Wall Decor Set</t>
  </si>
  <si>
    <t>Blue</t>
  </si>
  <si>
    <t>PP001773</t>
  </si>
  <si>
    <t>AMAZON,ASHFURNDS,CSNSTORES,KIRKLANDDS,OVERSTOCK01,ROOMECOM</t>
  </si>
  <si>
    <t>3/5/2018</t>
  </si>
  <si>
    <t>4/11/2018</t>
  </si>
  <si>
    <t>MP95B-0277</t>
  </si>
  <si>
    <t>BLK01,CSNSTORES,OVERSTOCK01</t>
  </si>
  <si>
    <t>4/7/2022</t>
  </si>
  <si>
    <t>MP95B-0296</t>
  </si>
  <si>
    <t>Spice</t>
  </si>
  <si>
    <t>3/16/2024</t>
  </si>
  <si>
    <t>JCPENNEY01,TGTDVS</t>
  </si>
  <si>
    <t>6/23/2022</t>
  </si>
  <si>
    <t>10/31/2022</t>
  </si>
  <si>
    <t>MP95B-0319</t>
  </si>
  <si>
    <t>Radiant</t>
  </si>
  <si>
    <t>Half-moon 2-piece Metal Wall Decor Set</t>
  </si>
  <si>
    <t>Gold</t>
  </si>
  <si>
    <t>TBD</t>
  </si>
  <si>
    <t>Other 99</t>
  </si>
  <si>
    <t>Glam/Luxury</t>
  </si>
  <si>
    <t>10/31/2023</t>
  </si>
  <si>
    <t>CSNSTORES,MACY02,OVERSTOCK01</t>
  </si>
  <si>
    <t>12/28/2023</t>
  </si>
  <si>
    <t>1/17/2024</t>
  </si>
  <si>
    <t>MP95B-0305</t>
  </si>
  <si>
    <t>Olana</t>
  </si>
  <si>
    <t>Medallion MDF Wood Carved Wall Décor</t>
  </si>
  <si>
    <t>PP001832</t>
  </si>
  <si>
    <t>12/29/2022</t>
  </si>
  <si>
    <t>AMAZON</t>
  </si>
  <si>
    <t>2/2/2023</t>
  </si>
  <si>
    <t>MP95B-0217</t>
  </si>
  <si>
    <t>Perched Birds</t>
  </si>
  <si>
    <t>Hand Painted Wood Plank Panel Wall Decor</t>
  </si>
  <si>
    <t>White/Grey</t>
  </si>
  <si>
    <t>Animal</t>
  </si>
  <si>
    <t>Traditional</t>
  </si>
  <si>
    <t>7/5/2019</t>
  </si>
  <si>
    <t>AMAZON,BIGLOTSDS,BLK01,CSNSTORES,KIRKLANDDS,KOHLDSN,OVERSTOCK01,TGTDVS</t>
  </si>
  <si>
    <t>8/14/2019</t>
  </si>
  <si>
    <t>2/6/2020</t>
  </si>
  <si>
    <t>MP95B-0358</t>
  </si>
  <si>
    <t>Solana</t>
  </si>
  <si>
    <t>Framed Abstract Coastal Rice Shadowbox Wall Decor</t>
  </si>
  <si>
    <t>Off-White</t>
  </si>
  <si>
    <t>3/9/2024</t>
  </si>
  <si>
    <t>Open</t>
  </si>
  <si>
    <t>MP95B-0288</t>
  </si>
  <si>
    <t>FRAMED GRAPHICS</t>
  </si>
  <si>
    <t>Aurelian Emblem</t>
  </si>
  <si>
    <t>Natural Capiz with Gold Foil 2-piece Shadowbox Wall Decor Set</t>
  </si>
  <si>
    <t>Natural/Gold</t>
  </si>
  <si>
    <t>PP001709</t>
  </si>
  <si>
    <t>ABSTRACT 23</t>
  </si>
  <si>
    <t>6/19/2021</t>
  </si>
  <si>
    <t>CSNSTORES,OVERSTOCK01,TGTDVS</t>
  </si>
  <si>
    <t>5/2/2022</t>
  </si>
  <si>
    <t>MP95B-0262</t>
  </si>
  <si>
    <t>Avant Garden</t>
  </si>
  <si>
    <t>Dried Flower 2-piece Shadow Box Wall Decor Set</t>
  </si>
  <si>
    <t>PF005412</t>
  </si>
  <si>
    <t>Floral</t>
  </si>
  <si>
    <t>Cottage/Country</t>
  </si>
  <si>
    <t>2/9/2021</t>
  </si>
  <si>
    <t>5/9/2024</t>
  </si>
  <si>
    <t>AMAZON,AMERSIGNDS,JCPENNEY01,KIRKLANDDS,NEBFUR01,TGTDVS,ZOLA</t>
  </si>
  <si>
    <t>6/8/2021</t>
  </si>
  <si>
    <t>MP95B-0190</t>
  </si>
  <si>
    <t>Montage</t>
  </si>
  <si>
    <t>Distressed Black and White Medallion Tile 3-piece Wall Decor Set</t>
  </si>
  <si>
    <t>Black/White</t>
  </si>
  <si>
    <t>PP001181;PF004678</t>
  </si>
  <si>
    <t>1/31/2019</t>
  </si>
  <si>
    <t>AMAZON,BIGLOTSDS,BLK01,CSNSTORES,DESINC,KIRKLANDDS,ROOMECOM</t>
  </si>
  <si>
    <t>2/28/2019</t>
  </si>
  <si>
    <t>9/8/2022</t>
  </si>
  <si>
    <t>MP95B-0270</t>
  </si>
  <si>
    <t>Patterned Tiles</t>
  </si>
  <si>
    <t>Distressed Navy Blue Medallion 3-piece Wall Decor Set</t>
  </si>
  <si>
    <t>Navy</t>
  </si>
  <si>
    <t>PF005466</t>
  </si>
  <si>
    <t>4/27/2021</t>
  </si>
  <si>
    <t>3/8/2024</t>
  </si>
  <si>
    <t>AMAZON,DESINC,JCPENNEY01,KIRKLANDDS,LAMPDS,TGTDVS</t>
  </si>
  <si>
    <t>MP95B-0002</t>
  </si>
  <si>
    <t>Distressed Yellow Medallion 3-piece Wall Decor Set</t>
  </si>
  <si>
    <t>Yellow</t>
  </si>
  <si>
    <t>PF001903</t>
  </si>
  <si>
    <t>4/2/2017</t>
  </si>
  <si>
    <t>ASHFURNDS,BIGLOTSDS,KIRKLANDDS,ROOMECOM</t>
  </si>
  <si>
    <t>6/1/2017</t>
  </si>
  <si>
    <t>7/17/2017</t>
  </si>
  <si>
    <t>MP95B-0294</t>
  </si>
  <si>
    <t>Sabal</t>
  </si>
  <si>
    <t>Framed Rice Paper Palm Leaves 3-piece Shadowbox Wall Decor Set</t>
  </si>
  <si>
    <t>PP001737</t>
  </si>
  <si>
    <t>5/23/2022</t>
  </si>
  <si>
    <t>AMAZONDS,BEALLSDS,CSNSTORES,DESINC,OVERSTOCK01,TGTDVS</t>
  </si>
  <si>
    <t>4/25/2023</t>
  </si>
  <si>
    <t>MP95B-0295</t>
  </si>
  <si>
    <t>Framed Abstract Coastal Rice Paper 3-piece Shadowbox Wall Decor Set</t>
  </si>
  <si>
    <t>PP001738</t>
  </si>
  <si>
    <t>BLK01,CSNSTORES,JCPENNEY01,TGTDVS,ZOLA</t>
  </si>
  <si>
    <t>3/30/2023</t>
  </si>
  <si>
    <t>MP95G-0260</t>
  </si>
  <si>
    <t>Tala</t>
  </si>
  <si>
    <t>Framed Geometric Rice Paper Panel 2-piece Shadowbox Wall Decor Set</t>
  </si>
  <si>
    <t>PF005354</t>
  </si>
  <si>
    <t>5/6/2021</t>
  </si>
  <si>
    <t>AMAZONDS,CSNSTORES,KIRKLANDDS,TGTDVS</t>
  </si>
  <si>
    <t>Accepted</t>
  </si>
  <si>
    <t>5/20/2022</t>
  </si>
  <si>
    <t>5/31/2022</t>
  </si>
  <si>
    <t>MP95F-0320</t>
  </si>
  <si>
    <t>DEC. MIRROR</t>
  </si>
  <si>
    <t>DECOR MIRROR</t>
  </si>
  <si>
    <t>Lilbeth</t>
  </si>
  <si>
    <t>Beaded Arch Wall Decor Mirror</t>
  </si>
  <si>
    <t>DESINC,HOUZZ,MACY02,OVERSTOCK01</t>
  </si>
  <si>
    <t>1/15/2024</t>
  </si>
  <si>
    <t>MP95F-0315</t>
  </si>
  <si>
    <t>Adaline</t>
  </si>
  <si>
    <t>Arched Metal Floral Wall Mirror</t>
  </si>
  <si>
    <t>6/20/2023</t>
  </si>
  <si>
    <t>8/28/2023</t>
  </si>
  <si>
    <t>9/13/2023</t>
  </si>
  <si>
    <t>MP95F-0318</t>
  </si>
  <si>
    <t>Adelaide</t>
  </si>
  <si>
    <t>Gold Scalloped Wood Wall Mirror</t>
  </si>
  <si>
    <t>1/3/2024</t>
  </si>
  <si>
    <t>MP95F-0359</t>
  </si>
  <si>
    <t>Aurelia</t>
  </si>
  <si>
    <t>Rectangle Metal Frame Fluted Wall Mirror</t>
  </si>
  <si>
    <t>TBU</t>
  </si>
  <si>
    <t>3/14/2024</t>
  </si>
  <si>
    <t>MP95F-0327</t>
  </si>
  <si>
    <t>Mia</t>
  </si>
  <si>
    <t>Gold Metal Arch Wall Mirror</t>
  </si>
  <si>
    <t>MP95F-0265</t>
  </si>
  <si>
    <t>MIRRORS</t>
  </si>
  <si>
    <t>Fiore</t>
  </si>
  <si>
    <t>Sunburst Wall Decor Mirror 29.5"D</t>
  </si>
  <si>
    <t>29.5" Dia</t>
  </si>
  <si>
    <t>Silver</t>
  </si>
  <si>
    <t>PF005437</t>
  </si>
  <si>
    <t>AMAZON,JCPENNEY01,MACY02,ROOMECOM,TGTDVS</t>
  </si>
  <si>
    <t>2/25/2022</t>
  </si>
  <si>
    <t>4/26/2022</t>
  </si>
  <si>
    <t>MP160-0181</t>
  </si>
  <si>
    <t>10/18/2017</t>
  </si>
  <si>
    <t>AMAZON,CSNSTORES,OVERSTOCK01</t>
  </si>
  <si>
    <t>4/10/2018</t>
  </si>
  <si>
    <t>MP160-0230</t>
  </si>
  <si>
    <t>Sunburst Wall Decor Mirror 14.5"D</t>
  </si>
  <si>
    <t>14.5" Dia</t>
  </si>
  <si>
    <t>AMERSIGNDS,BLK01,CSNSTORES,DESINC,OVERSTOCK01</t>
  </si>
  <si>
    <t>6/13/2018</t>
  </si>
  <si>
    <t>MP95F-0267</t>
  </si>
  <si>
    <t>Cove</t>
  </si>
  <si>
    <t>Natural Jute Rope Round Wall Mirror 26"</t>
  </si>
  <si>
    <t>PF005440</t>
  </si>
  <si>
    <t>Solid</t>
  </si>
  <si>
    <t>AMAZONDS,CSNSTORES,JCPENNEY01,KIRKLANDDS,OVERSTOCK01</t>
  </si>
  <si>
    <t>5/17/2022</t>
  </si>
  <si>
    <t>7/11/2022</t>
  </si>
  <si>
    <t>MP95G-0006</t>
  </si>
  <si>
    <t>Natural Agate Trio</t>
  </si>
  <si>
    <t>Real Stone Framed Glass and Double Matted Wall Art</t>
  </si>
  <si>
    <t>PF001834</t>
  </si>
  <si>
    <t>4/1/2024</t>
  </si>
  <si>
    <t>AMAZON,KOHLDSN,MACY02,OVERSTOCK01</t>
  </si>
  <si>
    <t>9/5/2017</t>
  </si>
  <si>
    <t>MP95G-0005</t>
  </si>
  <si>
    <t>PF001833</t>
  </si>
  <si>
    <t>CSNSTORES,HOUZZ,NEBFUR01,TGTDVS</t>
  </si>
  <si>
    <t>4/3/2018</t>
  </si>
  <si>
    <t>5/8/2018</t>
  </si>
  <si>
    <t>MP95G-0253</t>
  </si>
  <si>
    <t>Feminine Figures</t>
  </si>
  <si>
    <t>Sketch 2-piece Framed Glass and Matted Wall Art Set</t>
  </si>
  <si>
    <t>PP001456;PF005028</t>
  </si>
  <si>
    <t>Figurative</t>
  </si>
  <si>
    <t>11/13/2019</t>
  </si>
  <si>
    <t>AMERSIGNDS,ASHFURNDS,BLK01,CSNSTORES,HDDS,KIRKLANDDS,MACY02,OVERSTOCK01,ROOMECOM,TGTDVS</t>
  </si>
  <si>
    <t>5/27/2021</t>
  </si>
  <si>
    <t>MP95G-0286</t>
  </si>
  <si>
    <t>Abstract Reveal</t>
  </si>
  <si>
    <t>Framed Glass and Gallery Matted Wall Art</t>
  </si>
  <si>
    <t>PP001665</t>
  </si>
  <si>
    <t>6/2/2021</t>
  </si>
  <si>
    <t>AMAZON,KIRKLANDDS,ROOMECOM,TGTDVS,ZOLA</t>
  </si>
  <si>
    <t>12/7/2022</t>
  </si>
  <si>
    <t>MP95G-0313</t>
  </si>
  <si>
    <t>Abstract Talon</t>
  </si>
  <si>
    <t>Framed Glass and Single Matted Foiled Deckle Edge Wall Art</t>
  </si>
  <si>
    <t>Black</t>
  </si>
  <si>
    <t>4/24/2023</t>
  </si>
  <si>
    <t>11/20/2023</t>
  </si>
  <si>
    <t>MP95G-0307</t>
  </si>
  <si>
    <t>Ashlar</t>
  </si>
  <si>
    <t>Hand Painted Abstract Framed Glass and Matted Wall Art</t>
  </si>
  <si>
    <t>10/26/2022</t>
  </si>
  <si>
    <t>HOUZZ</t>
  </si>
  <si>
    <t>6/12/2023</t>
  </si>
  <si>
    <t>MP95G-0306</t>
  </si>
  <si>
    <t>Enchanted Forest</t>
  </si>
  <si>
    <t>Hand Painted Abstract Landscape Framed and Matted Wall Art</t>
  </si>
  <si>
    <t>Grey/Gold</t>
  </si>
  <si>
    <t>Landscape</t>
  </si>
  <si>
    <t>MP95G-0256</t>
  </si>
  <si>
    <t>Linden</t>
  </si>
  <si>
    <t>Fern 2-piece Framed Glass Wall Art Set</t>
  </si>
  <si>
    <t>9/7/2020</t>
  </si>
  <si>
    <t>JCPENNEY01,KIRKLANDDS,OVERSTOCK01</t>
  </si>
  <si>
    <t>6/16/2021</t>
  </si>
  <si>
    <t>7/23/2021</t>
  </si>
  <si>
    <t>MP95G-0004</t>
  </si>
  <si>
    <t>Natural Agate</t>
  </si>
  <si>
    <t>PF001832</t>
  </si>
  <si>
    <t>4/5/2017</t>
  </si>
  <si>
    <t>BLK01,KOHLDSN,MACY02</t>
  </si>
  <si>
    <t>7/14/2017</t>
  </si>
  <si>
    <t>3/20/2018</t>
  </si>
  <si>
    <t>MP95G-0282</t>
  </si>
  <si>
    <t>Skipping Stones</t>
  </si>
  <si>
    <t>Geo UV Printed Shadowbox 2 Piece Wall Art Set</t>
  </si>
  <si>
    <t>PP001661</t>
  </si>
  <si>
    <t>TGTDVS</t>
  </si>
  <si>
    <t>11/22/2022</t>
  </si>
  <si>
    <t>MP95G-0324</t>
  </si>
  <si>
    <t>Sparkling Sea</t>
  </si>
  <si>
    <t>Framed Glass and Single Matted Abstract Landscape Coastal Wall Art</t>
  </si>
  <si>
    <t>10/12/2023</t>
  </si>
  <si>
    <t>MP95G-0298</t>
  </si>
  <si>
    <t>Fair Florets</t>
  </si>
  <si>
    <t>3-piece Framed Glass Wall Art Set</t>
  </si>
  <si>
    <t>Beige</t>
  </si>
  <si>
    <t>PP001778</t>
  </si>
  <si>
    <t>6/1/2022</t>
  </si>
  <si>
    <t>JCPENNEY01,KIRKLANDDS,KOHLDSN,MACY02,TGTDVS,ZOLA</t>
  </si>
  <si>
    <t>7/8/2022</t>
  </si>
  <si>
    <t>MP95G-0299</t>
  </si>
  <si>
    <t>Abstract Ambit</t>
  </si>
  <si>
    <t>Framed Glass Wall Art</t>
  </si>
  <si>
    <t>PP001779</t>
  </si>
  <si>
    <t>12/30/2022</t>
  </si>
  <si>
    <t>ID95C-0049</t>
  </si>
  <si>
    <t>CANVAS</t>
  </si>
  <si>
    <t>Sunshine Animals</t>
  </si>
  <si>
    <t>Lamb Canvas Wall Art</t>
  </si>
  <si>
    <t>Lamb/Green Multi</t>
  </si>
  <si>
    <t>Casual|Farm House</t>
  </si>
  <si>
    <t>10/7/2023</t>
  </si>
  <si>
    <t>AMAZON,MACY02</t>
  </si>
  <si>
    <t>1/9/2024</t>
  </si>
  <si>
    <t>ID95C-0051</t>
  </si>
  <si>
    <t>Chicks Canvas Wall Art</t>
  </si>
  <si>
    <t>Chicks/Green Multi</t>
  </si>
  <si>
    <t>10/6/2023</t>
  </si>
  <si>
    <t>ID95C-0053</t>
  </si>
  <si>
    <t>Cow Canvas Wall Art</t>
  </si>
  <si>
    <t>Cow/Green Multi</t>
  </si>
  <si>
    <t>ID95C-0052</t>
  </si>
  <si>
    <t>Goat Canvas Wall Art</t>
  </si>
  <si>
    <t>Goat/Green Multi</t>
  </si>
  <si>
    <t>ID95C-0050</t>
  </si>
  <si>
    <t>Llama Canvas Wall Art</t>
  </si>
  <si>
    <t>Llama/Green Multi</t>
  </si>
  <si>
    <t>ID95C-0048</t>
  </si>
  <si>
    <t>Pig Canvas Wall Art</t>
  </si>
  <si>
    <t>Pig/Green Multi</t>
  </si>
  <si>
    <t>MP95C-0285</t>
  </si>
  <si>
    <t>Auric Beam</t>
  </si>
  <si>
    <t>Gold Foil Abstract Framed Canvas Wall Art</t>
  </si>
  <si>
    <t>PP001664</t>
  </si>
  <si>
    <t>JCPENNEY01,KIRKLANDDS,ROOMECOM,TGTDVS</t>
  </si>
  <si>
    <t>3/7/2022</t>
  </si>
  <si>
    <t>4/24/2022</t>
  </si>
  <si>
    <t>MP95C-0207</t>
  </si>
  <si>
    <t>Autumn Forest</t>
  </si>
  <si>
    <t>Triptych 3-piece Textured Canvas Wall Art Set</t>
  </si>
  <si>
    <t>Red</t>
  </si>
  <si>
    <t>4/17/2019</t>
  </si>
  <si>
    <t>KIRKLANDDS,TGTDVS</t>
  </si>
  <si>
    <t>11/1/2023</t>
  </si>
  <si>
    <t>ID95C-0059</t>
  </si>
  <si>
    <t>Beach Dogs</t>
  </si>
  <si>
    <t>Chihuahua Canvas Wall Art</t>
  </si>
  <si>
    <t>Chihuahua/Blue Multi</t>
  </si>
  <si>
    <t>ID95C-0054</t>
  </si>
  <si>
    <t>Corgi Canvas Wall Art</t>
  </si>
  <si>
    <t>Corgi/Blue Multi</t>
  </si>
  <si>
    <t>1/2/2024</t>
  </si>
  <si>
    <t>ID95C-0056</t>
  </si>
  <si>
    <t>Frenchie Canvas Wall Art</t>
  </si>
  <si>
    <t>Frenchie/Blue Multi</t>
  </si>
  <si>
    <t>1/4/2024</t>
  </si>
  <si>
    <t>ID95C-0058</t>
  </si>
  <si>
    <t>Golden Retriever Canvas Wall Art</t>
  </si>
  <si>
    <t>Golden Retriever/Blue Multi</t>
  </si>
  <si>
    <t>1/31/2024</t>
  </si>
  <si>
    <t>ID95C-0057</t>
  </si>
  <si>
    <t>Pomeranian Canvas Wall Art</t>
  </si>
  <si>
    <t>Pomeranian/Blue Multi</t>
  </si>
  <si>
    <t>ID95C-0055</t>
  </si>
  <si>
    <t>Yorkie Canvas Wall Art</t>
  </si>
  <si>
    <t>Yorkie/Blue Multi</t>
  </si>
  <si>
    <t>MP95C-0192</t>
  </si>
  <si>
    <t>Blue Cosmo</t>
  </si>
  <si>
    <t>Hand Embellished with Glitter and Gold Foil Triptych 3-piece Canvas Wall Art Set</t>
  </si>
  <si>
    <t>Blue/Gold</t>
  </si>
  <si>
    <t>PP001156;PF004639</t>
  </si>
  <si>
    <t>2/22/2019</t>
  </si>
  <si>
    <t>AMAZON,AMERSIGNDS,ASHFURNDS,ROOMECOM</t>
  </si>
  <si>
    <t>MP95C-0226</t>
  </si>
  <si>
    <t>Blue Midst Forest</t>
  </si>
  <si>
    <t>Gold Foil Triptych 3-piece Canvas Wall Art Set</t>
  </si>
  <si>
    <t>Blue Multi</t>
  </si>
  <si>
    <t>PP001407;PF004953</t>
  </si>
  <si>
    <t>9/6/2019</t>
  </si>
  <si>
    <t>3/30/2024</t>
  </si>
  <si>
    <t>AMERSIGNDS,KIRKLANDDS,OVERSTOCK01,TGTDVS</t>
  </si>
  <si>
    <t>6/15/2021</t>
  </si>
  <si>
    <t>MP95C-0006</t>
  </si>
  <si>
    <t>Blue Skies</t>
  </si>
  <si>
    <t>Gel Coat Canvas</t>
  </si>
  <si>
    <t>Aqua</t>
  </si>
  <si>
    <t>PF001820</t>
  </si>
  <si>
    <t>7/25/2017</t>
  </si>
  <si>
    <t>MP95C-0216</t>
  </si>
  <si>
    <t>Dewy Forest</t>
  </si>
  <si>
    <t>Gold Foil Abstract 3-piece Canvas Wall Art Set</t>
  </si>
  <si>
    <t>Blush</t>
  </si>
  <si>
    <t>PP001323;PF004768</t>
  </si>
  <si>
    <t>6/10/2019</t>
  </si>
  <si>
    <t>AMAZON,CSNSTORES,KIRKLANDDS</t>
  </si>
  <si>
    <t>1/16/2024</t>
  </si>
  <si>
    <t>MP95C-0052</t>
  </si>
  <si>
    <t>Taupe</t>
  </si>
  <si>
    <t>PF001944</t>
  </si>
  <si>
    <t>4/19/2017</t>
  </si>
  <si>
    <t>AMAZON,AMAZONDS,BLK01,KIRKLANDDS,OVERSTOCK01,TGTDVS</t>
  </si>
  <si>
    <t>7/27/2017</t>
  </si>
  <si>
    <t>MP95C-0009</t>
  </si>
  <si>
    <t>Teal</t>
  </si>
  <si>
    <t>PF001837</t>
  </si>
  <si>
    <t>AMAZON,KIRKLANDDS,LAMPDS,OVERSTOCK01,TGTDVS</t>
  </si>
  <si>
    <t>7/31/2017</t>
  </si>
  <si>
    <t>MP95C-0041</t>
  </si>
  <si>
    <t>Forest Reflections</t>
  </si>
  <si>
    <t>Triptych 3-piece Canvas Wall Art Set</t>
  </si>
  <si>
    <t>PF001911</t>
  </si>
  <si>
    <t>AMAZON,ASHFURNDS,KIRKLANDDS,LAMPDS</t>
  </si>
  <si>
    <t>7/24/2017</t>
  </si>
  <si>
    <t>MP95C-0173</t>
  </si>
  <si>
    <t>Glimmer</t>
  </si>
  <si>
    <t>Heavily Embellished 2-piece Canvas Wall Art Set</t>
  </si>
  <si>
    <t>PP001036;PF004517</t>
  </si>
  <si>
    <t>Hotel|Modern/Contemporary</t>
  </si>
  <si>
    <t>11/5/2018</t>
  </si>
  <si>
    <t>AMAZON,AMERSIGNDS,CSNSTORES,DESINC,KIRKLANDDS,OVERSTOCK01,ROOMECOM,TGTDVS,Zulily</t>
  </si>
  <si>
    <t>11/30/2018</t>
  </si>
  <si>
    <t>12/19/2018</t>
  </si>
  <si>
    <t>MP95C-0268</t>
  </si>
  <si>
    <t>PF005465</t>
  </si>
  <si>
    <t>4/23/2021</t>
  </si>
  <si>
    <t>AMAZON,AMERSIGNDS,CSNSTORES,JCPENNEY01,KIRKLANDDS,MACY02,TGTDVS</t>
  </si>
  <si>
    <t>3/29/2022</t>
  </si>
  <si>
    <t>MP95C-0185</t>
  </si>
  <si>
    <t>Gold Medallion</t>
  </si>
  <si>
    <t>Triptych 3-piece Dimensional Resin Canvas Wall Art Set</t>
  </si>
  <si>
    <t>PP001173;PF004666</t>
  </si>
  <si>
    <t>1/28/2019</t>
  </si>
  <si>
    <t>CSNSTORES,KIRKLANDDS</t>
  </si>
  <si>
    <t>MP95C-0330</t>
  </si>
  <si>
    <t>Grumpy Cats</t>
  </si>
  <si>
    <t>I Don't Care Canvas Wall Art</t>
  </si>
  <si>
    <t>I Don't Care/Multi</t>
  </si>
  <si>
    <t>Transitional|Modern/Contemporary</t>
  </si>
  <si>
    <t>1/6/2024</t>
  </si>
  <si>
    <t>MP95C-0335</t>
  </si>
  <si>
    <t>I'm Not Listening Canvas Wall Art</t>
  </si>
  <si>
    <t>I'm Not Listening/Multi</t>
  </si>
  <si>
    <t>MP95C-0332</t>
  </si>
  <si>
    <t>I'm Not Your Therapist Canvas Wall Art</t>
  </si>
  <si>
    <t>I'm Not Your Therapist/Multi</t>
  </si>
  <si>
    <t>MP95C-0331</t>
  </si>
  <si>
    <t>My House, My Rules Canvas Wall Art</t>
  </si>
  <si>
    <t>My House, My Rules/Multi</t>
  </si>
  <si>
    <t>MP95C-0329</t>
  </si>
  <si>
    <t>Not Today Canvas Wall Art</t>
  </si>
  <si>
    <t>Not Today/Multi</t>
  </si>
  <si>
    <t>MP95C-0334</t>
  </si>
  <si>
    <t>Whatever Canvas Wall Art</t>
  </si>
  <si>
    <t>Whatever/Multi</t>
  </si>
  <si>
    <t>MP95C-0333</t>
  </si>
  <si>
    <t>You Wish Canvas Wall Art</t>
  </si>
  <si>
    <t>You Wish/Multi</t>
  </si>
  <si>
    <t>MP95C-0337</t>
  </si>
  <si>
    <t>Jungle Feline</t>
  </si>
  <si>
    <t>Jungle Cheetah Canvas Wall Art</t>
  </si>
  <si>
    <t>Cheetah Green Multi</t>
  </si>
  <si>
    <t>MP95C-0336</t>
  </si>
  <si>
    <t>Jungle Lion Canvas Wall Art</t>
  </si>
  <si>
    <t>Lion Green Multi</t>
  </si>
  <si>
    <t>MP95C-0338</t>
  </si>
  <si>
    <t>Jungle Tiger Canvas Wall Art</t>
  </si>
  <si>
    <t>Tiger Green Multi</t>
  </si>
  <si>
    <t>MP95C-0037</t>
  </si>
  <si>
    <t>Linen Botanicals</t>
  </si>
  <si>
    <t>Illustration 3-piece Canvas Wall Art Set</t>
  </si>
  <si>
    <t>PF001908</t>
  </si>
  <si>
    <t>BIGLOTSDS,BLK01,CSNSTORES,KIRKLANDDS,OVERSTOCK01,TGTDVS,Zulily</t>
  </si>
  <si>
    <t>MP95C-0155</t>
  </si>
  <si>
    <t>Luminous</t>
  </si>
  <si>
    <t>Heavily Embellished 3-piece Canvas Wall Art Set</t>
  </si>
  <si>
    <t>PF004270</t>
  </si>
  <si>
    <t>3/18/2018</t>
  </si>
  <si>
    <t>KIRKLANDDS,KOHLDSN,OVERSTOCK01,ROOMECOM,TGTDVS</t>
  </si>
  <si>
    <t>5/18/2018</t>
  </si>
  <si>
    <t>7/13/2018</t>
  </si>
  <si>
    <t>MP95C-0269</t>
  </si>
  <si>
    <t>JCPENNEY01,KIRKLANDDS,ROOMECOM</t>
  </si>
  <si>
    <t>3/25/2022</t>
  </si>
  <si>
    <t>MP95C-0158</t>
  </si>
  <si>
    <t>PP000926</t>
  </si>
  <si>
    <t>5/24/2018</t>
  </si>
  <si>
    <t>AMAZON,CSNSTORES,KIRKLANDDS,OVERSTOCK01</t>
  </si>
  <si>
    <t>9/4/2018</t>
  </si>
  <si>
    <t>9/18/2018</t>
  </si>
  <si>
    <t>MP95C-0208</t>
  </si>
  <si>
    <t>Luminous Bloom</t>
  </si>
  <si>
    <t>Gold Foil and Hand Embellished Floral Canvas Wall Art</t>
  </si>
  <si>
    <t>KIRKLANDDS,KOHLDSN</t>
  </si>
  <si>
    <t>11/12/2019</t>
  </si>
  <si>
    <t>MP95C-0112</t>
  </si>
  <si>
    <t>Midday Bloom Florals</t>
  </si>
  <si>
    <t>Embellished Canvas Wall Art</t>
  </si>
  <si>
    <t>PF002014</t>
  </si>
  <si>
    <t>6/21/2017</t>
  </si>
  <si>
    <t>AMAZONDS,BEALLSDS,DESINC,KOHLDSN,MACY02,TGTDVS,Zulily</t>
  </si>
  <si>
    <t>4/23/2018</t>
  </si>
  <si>
    <t>MP95C-0125</t>
  </si>
  <si>
    <t>Midnight Tide Blue</t>
  </si>
  <si>
    <t>Abstract 5-piece Canvas Wall Art Set</t>
  </si>
  <si>
    <t>PP000603</t>
  </si>
  <si>
    <t>5</t>
  </si>
  <si>
    <t>9/13/2017</t>
  </si>
  <si>
    <t>BEALLSDS,KOHLDSN</t>
  </si>
  <si>
    <t>6/12/2018</t>
  </si>
  <si>
    <t>MP95C-0284</t>
  </si>
  <si>
    <t>Moving Midas</t>
  </si>
  <si>
    <t>Gold Foil Abstract 2-piece Framed Canvas Wall Art Set</t>
  </si>
  <si>
    <t>PP001663</t>
  </si>
  <si>
    <t>AMAZON,DESINC,JCPENNEY01,KIRKLANDDS,OVERSTOCK01,ROOMECOM,TGTDVS</t>
  </si>
  <si>
    <t>MP95C-0322</t>
  </si>
  <si>
    <t>Old Glory</t>
  </si>
  <si>
    <t>Hand Embellished Framed Canvas Horse Wall Art</t>
  </si>
  <si>
    <t>Brown/Neutral</t>
  </si>
  <si>
    <t>Traditional|Southwest</t>
  </si>
  <si>
    <t>9/21/2023</t>
  </si>
  <si>
    <t>MP95C-0323</t>
  </si>
  <si>
    <t>Peaceful River</t>
  </si>
  <si>
    <t>Hand Embellished Framed Canvas Abstract Landscape Wall Art</t>
  </si>
  <si>
    <t>Green Multi</t>
  </si>
  <si>
    <t>9/20/2023</t>
  </si>
  <si>
    <t>1/11/2024</t>
  </si>
  <si>
    <t>MP95C-0205</t>
  </si>
  <si>
    <t>Radiant Flatland</t>
  </si>
  <si>
    <t>Hand Embellished Glitter 2-piece Canvas Wall Art Set</t>
  </si>
  <si>
    <t>5/14/2019</t>
  </si>
  <si>
    <t>AMAZON,ASHFURNDS,KIRKLANDDS</t>
  </si>
  <si>
    <t>8/20/2019</t>
  </si>
  <si>
    <t>10/4/2019</t>
  </si>
  <si>
    <t>MP95C-0321</t>
  </si>
  <si>
    <t>Shimmering Symphony</t>
  </si>
  <si>
    <t>Glitter and Gold Foil Abstract Triptych 3-piece Canvas Wall Art Set</t>
  </si>
  <si>
    <t>MP95C-0171</t>
  </si>
  <si>
    <t>Sterling Mist</t>
  </si>
  <si>
    <t>100% Hand Brush Embellished Canvas 3 Piece Set</t>
  </si>
  <si>
    <t>PP001033;PF004515</t>
  </si>
  <si>
    <t>ASHFURNDS</t>
  </si>
  <si>
    <t>2/11/2019</t>
  </si>
  <si>
    <t>MP95C-0120</t>
  </si>
  <si>
    <t>Teal Tides</t>
  </si>
  <si>
    <t>PF002038</t>
  </si>
  <si>
    <t>6/1/2018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</si>
  <si>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</si>
  <si>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</si>
  <si>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</si>
  <si>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</si>
  <si>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</si>
  <si>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</si>
  <si>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1/3/2019</t>
  </si>
  <si>
    <t>MP95C-0060</t>
  </si>
  <si>
    <t>Weathered Damask Walls</t>
  </si>
  <si>
    <t>Printed Linen 3 Piece Set</t>
  </si>
  <si>
    <t>PF001949</t>
  </si>
  <si>
    <t>MP95C-0186</t>
  </si>
  <si>
    <t>White Mandala Trinity</t>
  </si>
  <si>
    <t>3D Embellished Linen Canvas 3 Piece Wall Art</t>
  </si>
  <si>
    <t>White/Brown</t>
  </si>
  <si>
    <t>PP001174;PF004667</t>
  </si>
  <si>
    <t>KIRKLANDDS</t>
  </si>
  <si>
    <t>10/4/2021</t>
  </si>
  <si>
    <t>MP95C-0197</t>
  </si>
  <si>
    <t>Winter Glaze</t>
  </si>
  <si>
    <t>Blue/White</t>
  </si>
  <si>
    <t>PP001172;PF004665</t>
  </si>
  <si>
    <t>2/21/2019</t>
  </si>
  <si>
    <t>AMAZON,KIRKLANDDS</t>
  </si>
  <si>
    <t>8/16/2019</t>
  </si>
  <si>
    <t>1/14/2020</t>
  </si>
  <si>
    <t>MP95C-0103A</t>
  </si>
  <si>
    <t>Blue Bliss</t>
  </si>
  <si>
    <t>Abstract 5-piece Gallery Framed Canvas Wall Art Set</t>
  </si>
  <si>
    <t>PF002001</t>
  </si>
  <si>
    <t>4/26/2017</t>
  </si>
  <si>
    <t>ASHFURNDS,CSNSTORES,KIRKLANDDS,NEBFUR01,OVERSTOCK01,ZOLA</t>
  </si>
  <si>
    <t>1/2/2019</t>
  </si>
  <si>
    <t>MP95C-0127</t>
  </si>
  <si>
    <t>Blue Embrace</t>
  </si>
  <si>
    <t>Blue/Grey</t>
  </si>
  <si>
    <t>PP000601</t>
  </si>
  <si>
    <t>9/12/2017</t>
  </si>
  <si>
    <t>KIRKLANDDS,KOHLDSN,NEBFUR01,OVERSTOCK01,TGTDVS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</si>
  <si>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</si>
  <si>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</si>
  <si>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</si>
  <si>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</si>
  <si>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</si>
  <si>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</si>
  <si>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3/19/2019</t>
  </si>
  <si>
    <t>MP95C-0133</t>
  </si>
  <si>
    <t>Blue Lagoon 2</t>
  </si>
  <si>
    <t>Abstract 2-piece Framed Canvas Wall Art Set</t>
  </si>
  <si>
    <t>PP000609</t>
  </si>
  <si>
    <t>10/12/2017</t>
  </si>
  <si>
    <t>AMAZON,AMERSIGNDS,ASHFURNDS,KIRKLANDDS,TGTDVS</t>
  </si>
  <si>
    <t>6/19/2018</t>
  </si>
  <si>
    <t>MP95C-0058</t>
  </si>
  <si>
    <t>Blue Print Botanicals</t>
  </si>
  <si>
    <t>3-piece Framed Canvas Wall Art Set</t>
  </si>
  <si>
    <t>PF001948</t>
  </si>
  <si>
    <t>DESINC,KOHLDSN,OVERSTOCK01</t>
  </si>
  <si>
    <t>9/1/2017</t>
  </si>
  <si>
    <t>MP95C-0117</t>
  </si>
  <si>
    <t>Ethereal</t>
  </si>
  <si>
    <t>Diptych 2-piece Framed Canvas Wall Art Set</t>
  </si>
  <si>
    <t>PF002035</t>
  </si>
  <si>
    <t>8/26/2017</t>
  </si>
  <si>
    <t>KIRKLANDDS,ROOMECOM,TGTDVS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</si>
  <si>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</si>
  <si>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</si>
  <si>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</si>
  <si>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</si>
  <si>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</si>
  <si>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</si>
  <si>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AMAZONDS,AMERSIGNDS,KIRKLANDDS</t>
  </si>
  <si>
    <t>6/1/2021</t>
  </si>
  <si>
    <t>MP95C-0101</t>
  </si>
  <si>
    <t>Grey Surrounding</t>
  </si>
  <si>
    <t>Silver Foil Abstract 3-piece Framed Canvas Wall Art Set</t>
  </si>
  <si>
    <t>PF001999</t>
  </si>
  <si>
    <t>4/21/2017</t>
  </si>
  <si>
    <t>4/17/2018</t>
  </si>
  <si>
    <t>MP95C-0325</t>
  </si>
  <si>
    <t>Moody Coast</t>
  </si>
  <si>
    <t>Hand Embellished Landscape Framed Canvas Wall Art</t>
  </si>
  <si>
    <t>Blue/Pink</t>
  </si>
  <si>
    <t>10/21/2023</t>
  </si>
  <si>
    <t>MP95C-0062</t>
  </si>
  <si>
    <t>Ocean Seashells</t>
  </si>
  <si>
    <t>4-piece Framed Canvas Wall Art Set</t>
  </si>
  <si>
    <t>PF001950</t>
  </si>
  <si>
    <t>4/22/2017</t>
  </si>
  <si>
    <t>AMAZON,BEALLSDS,BLK01,DESINC,KIRKLANDDS,MACY02,OVERSTOCK01</t>
  </si>
  <si>
    <t>ID95C-0041</t>
  </si>
  <si>
    <t>Pet Portrait</t>
  </si>
  <si>
    <t>Bohemian Cat In Forest Framed Canvas Wall Art</t>
  </si>
  <si>
    <t>Bohemian Cat</t>
  </si>
  <si>
    <t>Casual|Shabby Chic</t>
  </si>
  <si>
    <t>ID95C-0045</t>
  </si>
  <si>
    <t>Captain's Guard Pug Framed Canvas Wall Art</t>
  </si>
  <si>
    <t>Captain Pug</t>
  </si>
  <si>
    <t>Casual|Coastal</t>
  </si>
  <si>
    <t>ID95C-0047</t>
  </si>
  <si>
    <t>King Charles Spaniel III Framed Canvas Wall Art</t>
  </si>
  <si>
    <t>King Charles Spaniel III</t>
  </si>
  <si>
    <t>Casual|Traditional</t>
  </si>
  <si>
    <t>ID95C-0046</t>
  </si>
  <si>
    <t>Kitty Queen Charlotte Framed Canvas Wall Art</t>
  </si>
  <si>
    <t>Kitty Queen Charlotte</t>
  </si>
  <si>
    <t>ID95C-0042</t>
  </si>
  <si>
    <t>Kitty Queen Belle Framed Canvas Wall Art</t>
  </si>
  <si>
    <t>Queen Belle</t>
  </si>
  <si>
    <t>ID95C-0044</t>
  </si>
  <si>
    <t>Bridger Kitty Framed Canvas Wall Art</t>
  </si>
  <si>
    <t>Queen Bridger</t>
  </si>
  <si>
    <t>ID95C-0043</t>
  </si>
  <si>
    <t>Rosie the Feline Framed Canvas Wall Art</t>
  </si>
  <si>
    <t>Rosie Feline</t>
  </si>
  <si>
    <t>Casual|Modern/Contemporary</t>
  </si>
  <si>
    <t>MP95C-0146A</t>
  </si>
  <si>
    <t>Seascape</t>
  </si>
  <si>
    <t>PP000790</t>
  </si>
  <si>
    <t>4/16/2018</t>
  </si>
  <si>
    <t>MP95C-0143</t>
  </si>
  <si>
    <t>Strato</t>
  </si>
  <si>
    <t>Gold Foil and Hand Embellished Abstract Framed Canvas Wall Art</t>
  </si>
  <si>
    <t>PP000787</t>
  </si>
  <si>
    <t>5/29/2018</t>
  </si>
  <si>
    <t>MP95C-0297</t>
  </si>
  <si>
    <t>Cassia</t>
  </si>
  <si>
    <t>Embellished Floral 2-piece Canvas Wall Art Set</t>
  </si>
  <si>
    <t>PP001774</t>
  </si>
  <si>
    <t>4/12/2022</t>
  </si>
  <si>
    <t>CSNSTORES</t>
  </si>
  <si>
    <t>9/13/2022</t>
  </si>
  <si>
    <t>MP95C-0301</t>
  </si>
  <si>
    <t>Kalamata Branches</t>
  </si>
  <si>
    <t>Botanical Illustration 2-piece Framed Canvas Wall Art Set</t>
  </si>
  <si>
    <t>4/29/2022</t>
  </si>
  <si>
    <t>JCPENNEY01,KIRKLANDDS,MACY02</t>
  </si>
  <si>
    <t>8/10/2022</t>
  </si>
  <si>
    <t>MP95C-0300</t>
  </si>
  <si>
    <t>Natural Essence</t>
  </si>
  <si>
    <t>Hand Embellished Abstract 5-piece Gallery Canvas Wall Art Set</t>
  </si>
  <si>
    <t>PP001780</t>
  </si>
  <si>
    <t>5/30/2022</t>
  </si>
  <si>
    <t>3/27/2023</t>
  </si>
  <si>
    <t>MP95A-0115</t>
  </si>
  <si>
    <t>ALT. GRAPHICS</t>
  </si>
  <si>
    <t>Mandala</t>
  </si>
  <si>
    <t>Offwhite</t>
  </si>
  <si>
    <t>PF002033</t>
  </si>
  <si>
    <t>7/20/2017</t>
  </si>
  <si>
    <t>ASHFURNDS,KIRKLANDDS,OVERSTOCK01,ROOMECOM,TGTDVS,ZOLA</t>
  </si>
  <si>
    <t>6/4/2018</t>
  </si>
  <si>
    <t>MP95A-0001</t>
  </si>
  <si>
    <t>Moroccan Tile</t>
  </si>
  <si>
    <t>4-piece Framed Art Set</t>
  </si>
  <si>
    <t>PF001830</t>
  </si>
  <si>
    <t>ASHFURNDS,BLK01,CSNSTORES,TGTDVS</t>
  </si>
  <si>
    <t>7/19/2017</t>
  </si>
  <si>
    <t>MP95D-0304</t>
  </si>
  <si>
    <t>CLOCKS</t>
  </si>
  <si>
    <t>CLOCKS(161)</t>
  </si>
  <si>
    <t>Mason</t>
  </si>
  <si>
    <t>23.6" Wood Wall Clock</t>
  </si>
  <si>
    <t>Brown/Gold</t>
  </si>
  <si>
    <t>PP001422</t>
  </si>
  <si>
    <t>9/5/2022</t>
  </si>
  <si>
    <t>OVERSTOCK01,TGTDVS</t>
  </si>
  <si>
    <t>10/7/2022</t>
  </si>
  <si>
    <t>MP95D-0303</t>
  </si>
  <si>
    <t>Natural/Black</t>
  </si>
  <si>
    <t>AMAZON,JCPENNEY01,OVERSTOCK01</t>
  </si>
  <si>
    <t>MP95D-0239</t>
  </si>
  <si>
    <t>Natural/Grey</t>
  </si>
  <si>
    <t>PP001422;PF004974</t>
  </si>
  <si>
    <t>12/6/2019</t>
  </si>
  <si>
    <t>CSNSTORES,JCPENNEY01,KIRKLANDDS,ZOLA</t>
  </si>
  <si>
    <t>7/12/2021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</si>
  <si>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</si>
  <si>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</si>
  <si>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</si>
  <si>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</si>
  <si>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</si>
  <si>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</si>
  <si>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</si>
  <si>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</si>
  <si>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</si>
  <si>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II95B-0152</t>
  </si>
  <si>
    <t>INK+IVY</t>
  </si>
  <si>
    <t>Henna</t>
  </si>
  <si>
    <t>Framed Medallion Rice Paper Shadow Box Wall Decor</t>
  </si>
  <si>
    <t>PP001873</t>
  </si>
  <si>
    <t>BOHO</t>
  </si>
  <si>
    <t>6/6/2023</t>
  </si>
  <si>
    <t>CSNSTORES,MACY02</t>
  </si>
  <si>
    <t>11/7/2023</t>
  </si>
  <si>
    <t>II95B-0159</t>
  </si>
  <si>
    <t>Paths Collide</t>
  </si>
  <si>
    <t>Framed Carved Resin Dimensional Wall Decor</t>
  </si>
  <si>
    <t>Mid-Century</t>
  </si>
  <si>
    <t>II167-944</t>
  </si>
  <si>
    <t>Ralston</t>
  </si>
  <si>
    <t>Ivory Geometric Carved Wood Wall Decor</t>
  </si>
  <si>
    <t>Ivory</t>
  </si>
  <si>
    <t>Industrial</t>
  </si>
  <si>
    <t>AMERSIGNDS,CSNSTORES,KOHLDSN</t>
  </si>
  <si>
    <t>6/29/2018</t>
  </si>
  <si>
    <t>II167-907</t>
  </si>
  <si>
    <t>Ranger</t>
  </si>
  <si>
    <t>Layered Triangles Wood Wall Decor</t>
  </si>
  <si>
    <t>PF003047</t>
  </si>
  <si>
    <t>AMERSIGNDS,ASHFURNDS,OVERSTOCK01,ROOMECOM,ZOLA</t>
  </si>
  <si>
    <t>8/28/2017</t>
  </si>
  <si>
    <t>II167-905</t>
  </si>
  <si>
    <t>Savoy</t>
  </si>
  <si>
    <t>Distressed Black Metal Wall Decor</t>
  </si>
  <si>
    <t>PF003045</t>
  </si>
  <si>
    <t>AMAZON,AMERSIGNDS,CSNSTORES,KIRKLANDDS,KOHLDSN,OVERSTOCK01</t>
  </si>
  <si>
    <t>6/22/2018</t>
  </si>
  <si>
    <t>IIF22-0039</t>
  </si>
  <si>
    <t>Topi</t>
  </si>
  <si>
    <t>Natural Wood Slice Mosaic Wall Decor</t>
  </si>
  <si>
    <t>PF000990;PP000059</t>
  </si>
  <si>
    <t>5/11/2017</t>
  </si>
  <si>
    <t>CSNSTORES,ROOMECOM</t>
  </si>
  <si>
    <t>4/30/2018</t>
  </si>
  <si>
    <t>II95C-0160</t>
  </si>
  <si>
    <t>Neutral Stones</t>
  </si>
  <si>
    <t>Figural 2-piece Framed Canvas Wall Art Set</t>
  </si>
  <si>
    <t>1/29/2024</t>
  </si>
  <si>
    <t>II95C-0157</t>
  </si>
  <si>
    <t>Derby</t>
  </si>
  <si>
    <t>Hand Embellished Horse Framed Canvas Wall Art</t>
  </si>
  <si>
    <t>Lodge/Cabin</t>
  </si>
  <si>
    <t>II95C-0161</t>
  </si>
  <si>
    <t>Jeweled Geo</t>
  </si>
  <si>
    <t>Hand-Embellished Abstract 2-Piece Framed Canvas Wall Art Set</t>
  </si>
  <si>
    <t>11/28/2023</t>
  </si>
  <si>
    <t>II95C-0154</t>
  </si>
  <si>
    <t>Botanical Waterfall</t>
  </si>
  <si>
    <t>Eucalyptus 2-piece Framed Canvas Wall Decor Set</t>
  </si>
  <si>
    <t>Green</t>
  </si>
  <si>
    <t>6/1/2023</t>
  </si>
  <si>
    <t>KIRKLANDDS,OVERSTOCK01,TGTDVS</t>
  </si>
  <si>
    <t>II95C-0142</t>
  </si>
  <si>
    <t>Celestial Orbit Navy</t>
  </si>
  <si>
    <t>Silver Foil Abstract 2-piece Canvas Wall Art Set</t>
  </si>
  <si>
    <t>PP000800</t>
  </si>
  <si>
    <t>AMAZON,AMERSIGNDS,KIRKLANDDS,LAMPDS,OVERSTOCK01</t>
  </si>
  <si>
    <t>4/18/2018</t>
  </si>
  <si>
    <t>II95C-0150</t>
  </si>
  <si>
    <t>Desert Serenity</t>
  </si>
  <si>
    <t>Hand Embellished Abstract 2-piece Framed Canvas Wall Art Set</t>
  </si>
  <si>
    <t>PP001871</t>
  </si>
  <si>
    <t>4/13/2023</t>
  </si>
  <si>
    <t>5/17/2023</t>
  </si>
  <si>
    <t>II95C-0061</t>
  </si>
  <si>
    <t>Rolling Waves</t>
  </si>
  <si>
    <t>PF001917</t>
  </si>
  <si>
    <t>AMERSIGNDS,ASHFURNDS,BEALLSDS,DESINC,HDDS,KIRKLANDDS,ROOMECOM</t>
  </si>
  <si>
    <t>II95C-0086</t>
  </si>
  <si>
    <t>Shattering Rock Yellow</t>
  </si>
  <si>
    <t>Abstract Canvas Wall Art</t>
  </si>
  <si>
    <t>PF001886</t>
  </si>
  <si>
    <t>LAMPDS,TGTDVS</t>
  </si>
  <si>
    <t>9/11/2017</t>
  </si>
  <si>
    <t>II95C-0151</t>
  </si>
  <si>
    <t>Silver Sand</t>
  </si>
  <si>
    <t>Hand Embellished Abstract 3-piece Canvas Wall Art Set</t>
  </si>
  <si>
    <t>PP001870</t>
  </si>
  <si>
    <t>II95C-0147</t>
  </si>
  <si>
    <t>Tribeca</t>
  </si>
  <si>
    <t>Hand Embellished Abstract Framed Canvas Wall Art</t>
  </si>
  <si>
    <t>PP001736</t>
  </si>
  <si>
    <t>1/27/2022</t>
  </si>
  <si>
    <t>AMERSIGNDS,JCPENNEY01</t>
  </si>
  <si>
    <t>12/5/2022</t>
  </si>
  <si>
    <t>II95C-0072</t>
  </si>
  <si>
    <t>Two Black Dominos</t>
  </si>
  <si>
    <t>2-piece Canvas Wall Art Set</t>
  </si>
  <si>
    <t>PF001935</t>
  </si>
  <si>
    <t>Still Life</t>
  </si>
  <si>
    <t>AMAZON,AMERSIGNDS,ASHFURNDS,BLK01,OVERSTOCK01,TGTDVS,ZOLA</t>
  </si>
  <si>
    <t>2/27/2018</t>
  </si>
  <si>
    <t>3/13/2018</t>
  </si>
  <si>
    <t>II95C-0158</t>
  </si>
  <si>
    <t>Windswept</t>
  </si>
  <si>
    <t>Hand Embellished Highland Bull Canvas Wall Art</t>
  </si>
  <si>
    <t>Brown</t>
  </si>
  <si>
    <t>Farm House|Cottage/Country</t>
  </si>
  <si>
    <t>II95F-0155</t>
  </si>
  <si>
    <t>Nova</t>
  </si>
  <si>
    <t>Natural Rattan Rectangle Wall Mirror</t>
  </si>
  <si>
    <t>8/29/2023</t>
  </si>
  <si>
    <t>II95F-0153</t>
  </si>
  <si>
    <t>Remi</t>
  </si>
  <si>
    <t>Arched Wood Wall Mirror</t>
  </si>
  <si>
    <t>AMAZON,LAMPDS,ZOLA</t>
  </si>
  <si>
    <t>10/10/2023</t>
  </si>
  <si>
    <t>II95G-0156</t>
  </si>
  <si>
    <t>Dreaming</t>
  </si>
  <si>
    <t>Abstract Landscape Diptych 2-Piece Framed Glass Wall Art Set</t>
  </si>
  <si>
    <t>Blue/Multi</t>
  </si>
  <si>
    <t>Modern/Contemporary|Cottage/Country</t>
  </si>
  <si>
    <t>MPS167-211</t>
  </si>
  <si>
    <t>Madison Park Signature</t>
  </si>
  <si>
    <t>VASES &amp; BOWLS</t>
  </si>
  <si>
    <t>VASES</t>
  </si>
  <si>
    <t>Ansen</t>
  </si>
  <si>
    <t>Mirrored Ceramic Decorative Vases 3-piece set</t>
  </si>
  <si>
    <t>PF002966</t>
  </si>
  <si>
    <t>AMAZON,AMAZONDS,AMERSIGNDS,CSNSTORES,KOHLDSN,MACY02,OVERSCONSIGN,OVERSTOCK01</t>
  </si>
  <si>
    <t>10/12/2022</t>
  </si>
  <si>
    <t>MPS162-347</t>
  </si>
  <si>
    <t>9/9/2019</t>
  </si>
  <si>
    <t>AMAZON,AMERSIGNDS,CSNSTORES,HOUZZ,NRTPORT,OVERSTOCK01</t>
  </si>
  <si>
    <t>3/3/2020</t>
  </si>
  <si>
    <t>8/20/2021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</si>
  <si>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</si>
  <si>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</si>
  <si>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</si>
  <si>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</si>
  <si>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</si>
  <si>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</si>
  <si>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5/22/2024</t>
  </si>
  <si>
    <t>AMAZON,AMAZONDS,AMERSIGNDS,CSNSTORES,OVERSTOCK01</t>
  </si>
  <si>
    <t>10/25/2022</t>
  </si>
  <si>
    <t>MPS95A-0023</t>
  </si>
  <si>
    <t>Sunburst</t>
  </si>
  <si>
    <t>Hand Painted Dimensional Resin Wall Art</t>
  </si>
  <si>
    <t>PF002029</t>
  </si>
  <si>
    <t>10/13/2017</t>
  </si>
  <si>
    <t>AMAZONDS,BLK01,CSNSTORES,HOUZZ,NEBFUR01,TGTDVS</t>
  </si>
  <si>
    <t>MPS95A-0022</t>
  </si>
  <si>
    <t>PF002028</t>
  </si>
  <si>
    <t>AMAZON,AMERSIGNDS,ASHFURNDS,CSNSTORES,OVERSTOCK01</t>
  </si>
  <si>
    <t>MPS95A-0038</t>
  </si>
  <si>
    <t>PF005495</t>
  </si>
  <si>
    <t>AMAZON,BLK01,CSNSTORES,KIRKLANDDS,OVERSTOCK01,TGTDVS</t>
  </si>
  <si>
    <t>3/16/2022</t>
  </si>
  <si>
    <t>MPS95B-0040</t>
  </si>
  <si>
    <t>Hand Painted Triptych 3-piece Dimensional Resin Wall Art Set</t>
  </si>
  <si>
    <t>7/20/2022</t>
  </si>
  <si>
    <t>MPS95B-0044</t>
  </si>
  <si>
    <t>MPS95B-0045</t>
  </si>
  <si>
    <t>MPS95C-0020</t>
  </si>
  <si>
    <t>Blue Seascape</t>
  </si>
  <si>
    <t>Framed Canvas Wall Art</t>
  </si>
  <si>
    <t>PF001995</t>
  </si>
  <si>
    <t>KOHLDSN,ROOMECOM,TGTDVS</t>
  </si>
  <si>
    <t>MPS95F-0041</t>
  </si>
  <si>
    <t>Marlowe</t>
  </si>
  <si>
    <t>Gold Beaded Round Wall Mirror 3-piece set</t>
  </si>
  <si>
    <t>PP001618</t>
  </si>
  <si>
    <t>AMAZONDS,TGTDVS</t>
  </si>
  <si>
    <t>MPS95F-0039</t>
  </si>
  <si>
    <t>Eclipse</t>
  </si>
  <si>
    <t>Gold Trio Wall Mirror</t>
  </si>
  <si>
    <t>PP001769</t>
  </si>
  <si>
    <t>6/29/2022</t>
  </si>
  <si>
    <t>AMAZONDS,CSNSTORES,ZOLA</t>
  </si>
  <si>
    <t>3/8/2023</t>
  </si>
  <si>
    <t>MPS95F-0036</t>
  </si>
  <si>
    <t>Beaded Round Wall Mirror 27"D</t>
  </si>
  <si>
    <t>27" Dia</t>
  </si>
  <si>
    <t>PF005436</t>
  </si>
  <si>
    <t>AMAZON,CSNSTORES,HOUZZ,JCPENNEY01,OVERSTOCK01,TGTDVS</t>
  </si>
  <si>
    <t>9/30/2021</t>
  </si>
  <si>
    <t>MPS95F-0037</t>
  </si>
  <si>
    <t>Beaded Round Wall Mirror 36"D</t>
  </si>
  <si>
    <t>36" Dia</t>
  </si>
  <si>
    <t>PF005435</t>
  </si>
  <si>
    <t>AMAZONDS,CSNSTORES,HDDS,KIRKLANDDS,OVERSTOCK01</t>
  </si>
  <si>
    <t>MPS95F-0034</t>
  </si>
  <si>
    <t>9/5/2020</t>
  </si>
  <si>
    <t>AMAZON,AMAZONDS,AMERSIGNDS,CSNSTORES,KIRKLANDDS,LAMPDS,OVERSTOCK01</t>
  </si>
  <si>
    <t>MPS160-279</t>
  </si>
  <si>
    <t>8/30/2017</t>
  </si>
  <si>
    <t>AMERSIGNDS,CSNSTORES,LAMPDS,OVERSTOCK01,TGTDVS</t>
  </si>
  <si>
    <t>MPS95F-0035</t>
  </si>
  <si>
    <t>AMAZON,CSNSTORES,HDDS,KIRKLANDDS</t>
  </si>
  <si>
    <t>MPS160-339</t>
  </si>
  <si>
    <t>11/6/2018</t>
  </si>
  <si>
    <t>1/21/2019</t>
  </si>
  <si>
    <t>MPS95F-0042</t>
  </si>
  <si>
    <t>11/26/2022</t>
  </si>
  <si>
    <t>CSNSTORES,HDDS,OVERSTOCK01,TGTDVS</t>
  </si>
  <si>
    <t>1/8/2024</t>
  </si>
  <si>
    <t>MPS95F-0043</t>
  </si>
  <si>
    <t>CSNSTORES,HDDS,OVERSTOCK01</t>
  </si>
  <si>
    <t>ID95A-0040</t>
  </si>
  <si>
    <t xml:space="preserve">Intelligent Design </t>
  </si>
  <si>
    <t>Island Views</t>
  </si>
  <si>
    <t>2-piece Framed Wall Art Set</t>
  </si>
  <si>
    <t>Pink/Blue</t>
  </si>
  <si>
    <t>PP001835</t>
  </si>
  <si>
    <t>Novelty</t>
  </si>
  <si>
    <t>10/13/2022</t>
  </si>
  <si>
    <t>11/1/2022</t>
  </si>
  <si>
    <t>ID95A-0035</t>
  </si>
  <si>
    <t>Vintage Models</t>
  </si>
  <si>
    <t>3-piece Framed Wall Art Set</t>
  </si>
  <si>
    <t>PF002025</t>
  </si>
  <si>
    <t>BLK01,KIRKLANDDS,TGTDVS</t>
  </si>
  <si>
    <t>ID95B-0025</t>
  </si>
  <si>
    <t>Summer Bliss</t>
  </si>
  <si>
    <t>Silver Framed Floral Medallion 3-piece Wall Decor Set</t>
  </si>
  <si>
    <t>PF001929</t>
  </si>
  <si>
    <t>ASHFURNDS,BIGLOTSDS,DESINC,KIRKLANDDS,ROOMECOM,TGTDVS</t>
  </si>
  <si>
    <t>3/14/2018</t>
  </si>
  <si>
    <t>ID95C-0027</t>
  </si>
  <si>
    <t>Flight Time</t>
  </si>
  <si>
    <t>CSNSTORES,KIRKLANDDS,LAMPDS</t>
  </si>
  <si>
    <t>MT95B-0077</t>
  </si>
  <si>
    <t>Martha Stewart</t>
  </si>
  <si>
    <t>Elements</t>
  </si>
  <si>
    <t>Geometric MDF Wood Carved Wall Decor 3 Piece Set</t>
  </si>
  <si>
    <t>MT Perry Street</t>
  </si>
  <si>
    <t>11/12/2022</t>
  </si>
  <si>
    <t>MT95B-0079</t>
  </si>
  <si>
    <t>Lillian</t>
  </si>
  <si>
    <t>Framed Rice Paper Shadow Box Gingko Leaf Wall Decor Art</t>
  </si>
  <si>
    <t>MT Lily Pond</t>
  </si>
  <si>
    <t>AMAZONDS</t>
  </si>
  <si>
    <t>MT95B-0064</t>
  </si>
  <si>
    <t>Cerulean Stones</t>
  </si>
  <si>
    <t>Framed Blue Agate Shadowbox Wall Decor Panel</t>
  </si>
  <si>
    <t>PP001689</t>
  </si>
  <si>
    <t>11/22/2021</t>
  </si>
  <si>
    <t>AMAZON,CSNSTORES,KIRKLANDDS,TGTDVS</t>
  </si>
  <si>
    <t>7/29/2022</t>
  </si>
  <si>
    <t>8/26/2022</t>
  </si>
  <si>
    <t>MT95B-0065</t>
  </si>
  <si>
    <t>Indigo Shells</t>
  </si>
  <si>
    <t>Framed Sea Urchin Shadow Box Wall Decor</t>
  </si>
  <si>
    <t>PP001690</t>
  </si>
  <si>
    <t>AMAZONDS,CSNSTORES</t>
  </si>
  <si>
    <t>6/21/2022</t>
  </si>
  <si>
    <t>MT167-0023</t>
  </si>
  <si>
    <t>Faye</t>
  </si>
  <si>
    <t>Gold Foil Metal Ginkgo Leaf Wall Decor</t>
  </si>
  <si>
    <t>3/13/2020</t>
  </si>
  <si>
    <t>AMAZON,CSNSTORES,JCPENNEY01,OVERSTOCK01,ROOMECOM</t>
  </si>
  <si>
    <t>MT95B-0083</t>
  </si>
  <si>
    <t>Staggered Stones</t>
  </si>
  <si>
    <t>Blue Natural Agate Double Mat Shadow Box Wall Decor</t>
  </si>
  <si>
    <t>MT95B-0085</t>
  </si>
  <si>
    <t>Off-White Natural Agate Double Mat Shadow Box Wall Decor</t>
  </si>
  <si>
    <t>MT95C-0076</t>
  </si>
  <si>
    <t>Eventide Flourish</t>
  </si>
  <si>
    <t>Black Multi</t>
  </si>
  <si>
    <t>MT Bedford</t>
  </si>
  <si>
    <t>10/3/2022</t>
  </si>
  <si>
    <t>12/4/2023</t>
  </si>
  <si>
    <t>MT95C-0023</t>
  </si>
  <si>
    <t>Across The Plains 2</t>
  </si>
  <si>
    <t>Abstract Landscape Framed Canvas Wall Art</t>
  </si>
  <si>
    <t>PP001442;PF005009</t>
  </si>
  <si>
    <t>AMAZONDS,OVERSTOCK01,TGTDVS</t>
  </si>
  <si>
    <t>MT95C-0036A</t>
  </si>
  <si>
    <t>Blue Drift</t>
  </si>
  <si>
    <t>PF005355</t>
  </si>
  <si>
    <t>1/20/2021</t>
  </si>
  <si>
    <t>AMAZON,CSNSTORES,KIRKLANDDS,ROOMECOM,TGTDVS</t>
  </si>
  <si>
    <t>MT95C-0025</t>
  </si>
  <si>
    <t>Foggy Morning</t>
  </si>
  <si>
    <t>PP001444;PF005011</t>
  </si>
  <si>
    <t>AMAZONDS,ROOMECOM,TGTDVS,ZOLA,Zulily</t>
  </si>
  <si>
    <t>11/2/2021</t>
  </si>
  <si>
    <t>MT95C-0005</t>
  </si>
  <si>
    <t>French Herbarium</t>
  </si>
  <si>
    <t>2-piece Framed Canvas Wall Art Set</t>
  </si>
  <si>
    <t>6/12/2019</t>
  </si>
  <si>
    <t>10/19/2019</t>
  </si>
  <si>
    <t>MT95C-0006</t>
  </si>
  <si>
    <t>Herbal Botany</t>
  </si>
  <si>
    <t>4-piece Botanical Illustration Framed Canvas Wall Art Set</t>
  </si>
  <si>
    <t>6/1/2019</t>
  </si>
  <si>
    <t>AMAZON,BLK01,CSNSTORES,JCPENNEY01,KIRKLANDDS,OVERSTOCK01,TGTDVS,ZOLA</t>
  </si>
  <si>
    <t>10/15/2019</t>
  </si>
  <si>
    <t>MT95C-0024</t>
  </si>
  <si>
    <t>Lake Walk</t>
  </si>
  <si>
    <t>PP001443;PF005010</t>
  </si>
  <si>
    <t>AMAZON,BLK01,CSNSTORES,DESINC,JCPENNEY01,KIRKLANDDS,OVERSTOCK01,ZOLA</t>
  </si>
  <si>
    <t>11/17/2021</t>
  </si>
  <si>
    <t>MT95C-0035</t>
  </si>
  <si>
    <t>Vista</t>
  </si>
  <si>
    <t>Abstract Landscape 5-piece Gallery Canvas Wall Art Set</t>
  </si>
  <si>
    <t>PF005278</t>
  </si>
  <si>
    <t>11/20/2020</t>
  </si>
  <si>
    <t>AMAZON,CSNSTORES,HDDS,OVERSTOCK01,ROOMECOM,TGTDVS</t>
  </si>
  <si>
    <t>7/2/2021</t>
  </si>
  <si>
    <t>MT95F-0078</t>
  </si>
  <si>
    <t>Luna</t>
  </si>
  <si>
    <t>Natural Rattan Round Wall Mirror</t>
  </si>
  <si>
    <t>MT95F-0088</t>
  </si>
  <si>
    <t>Playa</t>
  </si>
  <si>
    <t>Gray Rectangular Wood and Rattan Wall Mirror</t>
  </si>
  <si>
    <t>Gray</t>
  </si>
  <si>
    <t>2/6/2024</t>
  </si>
  <si>
    <t>MT95F-0089</t>
  </si>
  <si>
    <t>Honey Rectangular Wood and Rattan Wall Mirror</t>
  </si>
  <si>
    <t>MT95F-0080</t>
  </si>
  <si>
    <t>Regina</t>
  </si>
  <si>
    <t>Gold Arched Wall Mirror</t>
  </si>
  <si>
    <t>Cottage/Country|Farm House|Glam/Luxury</t>
  </si>
  <si>
    <t>MT160-0021</t>
  </si>
  <si>
    <t>Eden</t>
  </si>
  <si>
    <t>Gold Gingko Leaf Round Wall Mirror 30.5"</t>
  </si>
  <si>
    <t>7/9/2020</t>
  </si>
  <si>
    <t>AMAZONDS,CSNSTORES,HDDS,JCPENNEY01,KIRKLANDDS,OVERSTOCK01,TGTDVS,ZOLA</t>
  </si>
  <si>
    <t>MT160-0005</t>
  </si>
  <si>
    <t>Jefferson</t>
  </si>
  <si>
    <t>Rectangle Accent Mirror</t>
  </si>
  <si>
    <t>Donation</t>
  </si>
  <si>
    <t>6/2/2019</t>
  </si>
  <si>
    <t>3/11/2020</t>
  </si>
  <si>
    <t>MT160-0011</t>
  </si>
  <si>
    <t>Katonah</t>
  </si>
  <si>
    <t>Black Round Wall Mirror 36"</t>
  </si>
  <si>
    <t>6/3/2019</t>
  </si>
  <si>
    <t>AMAZONDS,ASHFURNDS,CSNSTORES,OVERSTOCK01</t>
  </si>
  <si>
    <t>2/4/2020</t>
  </si>
  <si>
    <t>MT95G-0029</t>
  </si>
  <si>
    <t>Across The Plains 1</t>
  </si>
  <si>
    <t>Framed Glass and Double Matted Abstract Landscape Wall Art</t>
  </si>
  <si>
    <t>PP001448;PF005015</t>
  </si>
  <si>
    <t>AMAZON,CSNSTORES,KIRKLANDDS,TGTDVS,ZOLA</t>
  </si>
  <si>
    <t>MT95G-0030</t>
  </si>
  <si>
    <t>Estuary</t>
  </si>
  <si>
    <t>Abstract Landscape Framed Glass Wall Art</t>
  </si>
  <si>
    <t>PP001449;PF005016</t>
  </si>
  <si>
    <t>AMAZONDS,ASHFURNDS,BLK01,CSNSTORES,KIRKLANDDS,MACY02,ZOLA</t>
  </si>
  <si>
    <t>8/30/2022</t>
  </si>
  <si>
    <t>MT95G-0081</t>
  </si>
  <si>
    <t>Gilded Nature</t>
  </si>
  <si>
    <t>Gold Metallic Leaf Panel Framed Graphic Wall Decor 3-Piece Set</t>
  </si>
  <si>
    <t>Nature</t>
  </si>
  <si>
    <t>2/7/2024</t>
  </si>
  <si>
    <t>MT95G-0003</t>
  </si>
  <si>
    <t>Lady Fern Collection</t>
  </si>
  <si>
    <t>Botanical Illustration 3-piece Framed Glass and Single Matted Wall Art Set</t>
  </si>
  <si>
    <t>CSNSTORES,KIRKLANDDS,LAMPDS,Zulily</t>
  </si>
  <si>
    <t>12/16/2019</t>
  </si>
  <si>
    <t>MT95G-0087</t>
  </si>
  <si>
    <t>Gilded Trio</t>
  </si>
  <si>
    <t>Gold Metallic Leaf Square Framed Graphic Wall Decor 3-Piece Set</t>
  </si>
  <si>
    <t>MT95G-0086</t>
  </si>
  <si>
    <t>The Duel</t>
  </si>
  <si>
    <t>Cheetah Framed Graphic Wall Decor 2PC set</t>
  </si>
  <si>
    <t>UH95C-0033</t>
  </si>
  <si>
    <t>Urban Habitat</t>
  </si>
  <si>
    <t>Wandering Strokes</t>
  </si>
  <si>
    <t>Abstract Framed Canvas 3 Piece Set</t>
  </si>
  <si>
    <t>PP001666</t>
  </si>
  <si>
    <t>UH95C-0030</t>
  </si>
  <si>
    <t>Cosmic Curl</t>
  </si>
  <si>
    <t>Black/Taupe</t>
  </si>
  <si>
    <t>PP001611</t>
  </si>
  <si>
    <t>2/10/2021</t>
  </si>
  <si>
    <t>JCPENNEY01,NEBFUR01</t>
  </si>
  <si>
    <t>UH95C-0002</t>
  </si>
  <si>
    <t>Gilded Feathers</t>
  </si>
  <si>
    <t>Gold Foil 2-piece Canvas Wall Art Set</t>
  </si>
  <si>
    <t>PF001877</t>
  </si>
  <si>
    <t>AMAZON,OVERSTOCK01</t>
  </si>
  <si>
    <t>3/22/2018</t>
  </si>
  <si>
    <t>UH95C-0020</t>
  </si>
  <si>
    <t>Grey Rock Garden</t>
  </si>
  <si>
    <t>Gel Coat Framed Canvas 2 Piece Set</t>
  </si>
  <si>
    <t>PP000611</t>
  </si>
  <si>
    <t>UH95C-0019</t>
  </si>
  <si>
    <t>This and That Way</t>
  </si>
  <si>
    <t>PP000593</t>
  </si>
  <si>
    <t>AMAZON,OVERSTOCK01,TGTDVS</t>
  </si>
  <si>
    <t>7/3/2018</t>
  </si>
  <si>
    <t>UH95G-0034</t>
  </si>
  <si>
    <t>Humming Birds</t>
  </si>
  <si>
    <t>2-Piece Framed Graphics Wall Art Set</t>
  </si>
  <si>
    <t>8/18/2023</t>
  </si>
  <si>
    <t>FPF18-0429</t>
  </si>
  <si>
    <t>FUR</t>
  </si>
  <si>
    <t>ACCENT CHAIR</t>
  </si>
  <si>
    <t>LOUNGE CHAIR</t>
  </si>
  <si>
    <t>Arianna</t>
  </si>
  <si>
    <t>Leda</t>
  </si>
  <si>
    <t>Aria</t>
  </si>
  <si>
    <t>Swoop Wing Chair</t>
  </si>
  <si>
    <t>PF000709;PP000082</t>
  </si>
  <si>
    <t>2/20/2024</t>
  </si>
  <si>
    <t>MACY02F,TGTDVS</t>
  </si>
  <si>
    <t>Discontinued</t>
  </si>
  <si>
    <t>7/30/2016</t>
  </si>
  <si>
    <t>12/8/2015</t>
  </si>
  <si>
    <t>FPF18-0428</t>
  </si>
  <si>
    <t>PF000708;PP000082</t>
  </si>
  <si>
    <t>Print</t>
  </si>
  <si>
    <t>ASHFURNDS,CASTLEGATE,JCPENNEY01,LAMPDS,MACY02F,OVERSTOCK01,ROOMECOM</t>
  </si>
  <si>
    <t>12/7/2015</t>
  </si>
  <si>
    <t>MP100-0018</t>
  </si>
  <si>
    <t>Grey/White</t>
  </si>
  <si>
    <t>PF001029;PP000082</t>
  </si>
  <si>
    <t>4/8/2017</t>
  </si>
  <si>
    <t>2/12/2024</t>
  </si>
  <si>
    <t>CASTLEGATE</t>
  </si>
  <si>
    <t>3/14/2017</t>
  </si>
  <si>
    <t>MP100-0983</t>
  </si>
  <si>
    <t>Linen</t>
  </si>
  <si>
    <t>PLAIDS 13</t>
  </si>
  <si>
    <t>5/19/2020</t>
  </si>
  <si>
    <t>2/21/2024</t>
  </si>
  <si>
    <t>CSNSTORES,LAMPDS</t>
  </si>
  <si>
    <t>Restricted</t>
  </si>
  <si>
    <t>MP100-0982</t>
  </si>
  <si>
    <t>Taupe Multi</t>
  </si>
  <si>
    <t>CSNSTORES,OVERSTOCK01</t>
  </si>
  <si>
    <t>MP100-0660</t>
  </si>
  <si>
    <t>Braun</t>
  </si>
  <si>
    <t>Furlong</t>
  </si>
  <si>
    <t>Chapman</t>
  </si>
  <si>
    <t>Accent Chair with Back Pillow</t>
  </si>
  <si>
    <t>Beige Multi</t>
  </si>
  <si>
    <t>6/20/2018</t>
  </si>
  <si>
    <t>MACY02F</t>
  </si>
  <si>
    <t>6/25/2018</t>
  </si>
  <si>
    <t>10/29/2018</t>
  </si>
  <si>
    <t>FPF18-0468</t>
  </si>
  <si>
    <t>Hancock</t>
  </si>
  <si>
    <t>Irvine</t>
  </si>
  <si>
    <t>Silloth</t>
  </si>
  <si>
    <t>Button Tufted Back Accent Chair</t>
  </si>
  <si>
    <t>PF000722;PP000169</t>
  </si>
  <si>
    <t>4/24/2024</t>
  </si>
  <si>
    <t>CASTLEGATE,KIRKLANDDS,MACY02F,ROOMECOM</t>
  </si>
  <si>
    <t>7/25/2016</t>
  </si>
  <si>
    <t>MCC100-0001</t>
  </si>
  <si>
    <t>Colton</t>
  </si>
  <si>
    <t>Charlie</t>
  </si>
  <si>
    <t>Robin</t>
  </si>
  <si>
    <t>Track Arm Club Chair</t>
  </si>
  <si>
    <t>Grey Multi</t>
  </si>
  <si>
    <t>PF001017;PP000128</t>
  </si>
  <si>
    <t>ASHFURNDS,CASTLEGATE,LAMPDS,MACY02F,OVERSTOCK01</t>
  </si>
  <si>
    <t>11/24/2016</t>
  </si>
  <si>
    <t>12/28/2016</t>
  </si>
  <si>
    <t>FPF18-0160</t>
  </si>
  <si>
    <t>PF000621;PP000128</t>
  </si>
  <si>
    <t>CASTLEGATE,CSNSTORES,MACY02F</t>
  </si>
  <si>
    <t>8/10/2016</t>
  </si>
  <si>
    <t>4/25/2016</t>
  </si>
  <si>
    <t>FMY011JBH</t>
  </si>
  <si>
    <t>PF000577;PP000128</t>
  </si>
  <si>
    <t>AMAZONDS,ASHFURNDS,CASTLEGATE,MACY02F</t>
  </si>
  <si>
    <t>1/2/2015</t>
  </si>
  <si>
    <t>FPF18-0161</t>
  </si>
  <si>
    <t>Charcoal</t>
  </si>
  <si>
    <t>PF000622;PP000128</t>
  </si>
  <si>
    <t>1/7/2015</t>
  </si>
  <si>
    <t>5060SND</t>
  </si>
  <si>
    <t>Sand</t>
  </si>
  <si>
    <t>PF000571;PP000128</t>
  </si>
  <si>
    <t>6/12/2024</t>
  </si>
  <si>
    <t>ASHFURNDS,CASTLEGATE,CSNSTORES,MACY02F</t>
  </si>
  <si>
    <t>2/6/2015</t>
  </si>
  <si>
    <t>MP100-0375</t>
  </si>
  <si>
    <t>Escher</t>
  </si>
  <si>
    <t>Valeria</t>
  </si>
  <si>
    <t>Denton</t>
  </si>
  <si>
    <t>Accent Chair</t>
  </si>
  <si>
    <t>Blue Multi/Brown</t>
  </si>
  <si>
    <t>PF001072;PP000155</t>
  </si>
  <si>
    <t>6/27/2017</t>
  </si>
  <si>
    <t>8/10/2017</t>
  </si>
  <si>
    <t>9/3/2017</t>
  </si>
  <si>
    <t>MP100-0994</t>
  </si>
  <si>
    <t>Cream</t>
  </si>
  <si>
    <t>6/24/2020</t>
  </si>
  <si>
    <t>MP100-1011</t>
  </si>
  <si>
    <t>Clearwater</t>
  </si>
  <si>
    <t>Blakeley</t>
  </si>
  <si>
    <t>Daire</t>
  </si>
  <si>
    <t>CSNSTORES,MACY02F</t>
  </si>
  <si>
    <t>MP100-0618</t>
  </si>
  <si>
    <t>Heston</t>
  </si>
  <si>
    <t>Lea</t>
  </si>
  <si>
    <t>Kileen</t>
  </si>
  <si>
    <t>Dark Blue</t>
  </si>
  <si>
    <t>1/17/2018</t>
  </si>
  <si>
    <t>2/8/2024</t>
  </si>
  <si>
    <t>KIRKLANDDS,MACY02F</t>
  </si>
  <si>
    <t>3/27/2018</t>
  </si>
  <si>
    <t>9/10/2018</t>
  </si>
  <si>
    <t>MP100-0617</t>
  </si>
  <si>
    <t>3/18/2024</t>
  </si>
  <si>
    <t>6/28/2018</t>
  </si>
  <si>
    <t>MP100-0257</t>
  </si>
  <si>
    <t>Killeen</t>
  </si>
  <si>
    <t>Natural/Morocco</t>
  </si>
  <si>
    <t>PF001066;PP000175</t>
  </si>
  <si>
    <t>ASHFURNDS,CSNSTORES,MACY02F</t>
  </si>
  <si>
    <t>12/5/2017</t>
  </si>
  <si>
    <t>MP100-0465</t>
  </si>
  <si>
    <t>Colette</t>
  </si>
  <si>
    <t>Halford</t>
  </si>
  <si>
    <t>Donner</t>
  </si>
  <si>
    <t>PP000344</t>
  </si>
  <si>
    <t>6/7/2024</t>
  </si>
  <si>
    <t>CASTLEGATE,CSNSTORES,KOHLDSN,MACY02F,OVERSTOCK01</t>
  </si>
  <si>
    <t>12/11/2017</t>
  </si>
  <si>
    <t>1/30/2018</t>
  </si>
  <si>
    <t>MP100-0708</t>
  </si>
  <si>
    <t>Accent Wingback Chair</t>
  </si>
  <si>
    <t>7/25/2018</t>
  </si>
  <si>
    <t>ASHFURNDS,CSNSTORES,KOHLDSN</t>
  </si>
  <si>
    <t>8/19/2019</t>
  </si>
  <si>
    <t>FPF18-0078</t>
  </si>
  <si>
    <t>Barton</t>
  </si>
  <si>
    <t>Weston</t>
  </si>
  <si>
    <t>Wing Chair</t>
  </si>
  <si>
    <t>PF000593;PP000093</t>
  </si>
  <si>
    <t>1/5/2015</t>
  </si>
  <si>
    <t>FPF18-0419</t>
  </si>
  <si>
    <t>PF000703;PP000093</t>
  </si>
  <si>
    <t>CASTLEGATE,CSNSTORES,MACY02F,ROOMECOM</t>
  </si>
  <si>
    <t>5/2/2016</t>
  </si>
  <si>
    <t>FPF18-0151</t>
  </si>
  <si>
    <t>Dark Gray</t>
  </si>
  <si>
    <t>PF000615;PP000093</t>
  </si>
  <si>
    <t>CASTLEGATE,ROOMECOM</t>
  </si>
  <si>
    <t>FPF18-0417</t>
  </si>
  <si>
    <t>PF000701;PP000093</t>
  </si>
  <si>
    <t>3/1/2017</t>
  </si>
  <si>
    <t>12/18/2015</t>
  </si>
  <si>
    <t>FPF18-0152</t>
  </si>
  <si>
    <t>PF000616;PP000093</t>
  </si>
  <si>
    <t>6/5/2024</t>
  </si>
  <si>
    <t>CASTLEGATE,CSNSTORES</t>
  </si>
  <si>
    <t>FPF18-0418</t>
  </si>
  <si>
    <t>PF000702;PP000093</t>
  </si>
  <si>
    <t>12/1/2015</t>
  </si>
  <si>
    <t>MP100-0808</t>
  </si>
  <si>
    <t>Monroe</t>
  </si>
  <si>
    <t>Charlotte</t>
  </si>
  <si>
    <t>Sophie</t>
  </si>
  <si>
    <t>Camel Back Exposed Wood Chair</t>
  </si>
  <si>
    <t>PP000216</t>
  </si>
  <si>
    <t>5/13/2019</t>
  </si>
  <si>
    <t>AMERSIGNDS,CSNSTORES,HOUZZ,KIRKLANDDS,MACY02F,ROOMECOM</t>
  </si>
  <si>
    <t>5/21/2019</t>
  </si>
  <si>
    <t>8/15/2019</t>
  </si>
  <si>
    <t>FPF18-0501</t>
  </si>
  <si>
    <t>PF000021;PP000216</t>
  </si>
  <si>
    <t>3/3/2024</t>
  </si>
  <si>
    <t>ASHFURNDS,CSNSTORES,NEBFUR01,OVERSTOCK01</t>
  </si>
  <si>
    <t>FPF18-0020</t>
  </si>
  <si>
    <t>Arnau</t>
  </si>
  <si>
    <t>Joni</t>
  </si>
  <si>
    <t>Mea</t>
  </si>
  <si>
    <t>Accent chair</t>
  </si>
  <si>
    <t>Ivory Multi</t>
  </si>
  <si>
    <t>PF000561;PP000085</t>
  </si>
  <si>
    <t>5/10/2024</t>
  </si>
  <si>
    <t>AMERSIGNDS,ASHFURNDS,CASTLEGATE,CSNSTORES,JCPENNEY01,MACY02F,OVERSTOCK01</t>
  </si>
  <si>
    <t>1/19/2015</t>
  </si>
  <si>
    <t>FPF18-0472</t>
  </si>
  <si>
    <t>Addy</t>
  </si>
  <si>
    <t>Preston</t>
  </si>
  <si>
    <t>Conway</t>
  </si>
  <si>
    <t>PF000726;PP000074</t>
  </si>
  <si>
    <t>3/4/2024</t>
  </si>
  <si>
    <t>4/13/2016</t>
  </si>
  <si>
    <t>MP100-0705</t>
  </si>
  <si>
    <t>Ansley</t>
  </si>
  <si>
    <t>Aden</t>
  </si>
  <si>
    <t>Nell</t>
  </si>
  <si>
    <t>Chesterfield Barrel Chair</t>
  </si>
  <si>
    <t>Dusty Aqua</t>
  </si>
  <si>
    <t>5/28/2019</t>
  </si>
  <si>
    <t>MP100-0575</t>
  </si>
  <si>
    <t>Brayden</t>
  </si>
  <si>
    <t>Kendrick</t>
  </si>
  <si>
    <t>Rhodes</t>
  </si>
  <si>
    <t>PP000716</t>
  </si>
  <si>
    <t>1/23/2018</t>
  </si>
  <si>
    <t>6/14/2024</t>
  </si>
  <si>
    <t>ASHFURNDS,CSNSTORES</t>
  </si>
  <si>
    <t>6/6/2018</t>
  </si>
  <si>
    <t>11/12/2018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</si>
  <si>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</si>
  <si>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</si>
  <si>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</si>
  <si>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</si>
  <si>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</si>
  <si>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</si>
  <si>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</si>
  <si>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AMAZONDS,CSNSTORES,MACY02F</t>
  </si>
  <si>
    <t>FPF18-0442</t>
  </si>
  <si>
    <t>PF000020;PP000101</t>
  </si>
  <si>
    <t>5/24/2024</t>
  </si>
  <si>
    <t>AMAZON,AMAZONDS,AMERSIGNDS,MACY02F,OVERSTOCK01,TGTDVS</t>
  </si>
  <si>
    <t>12/15/2015</t>
  </si>
  <si>
    <t>FPF18-0108</t>
  </si>
  <si>
    <t>Brooke</t>
  </si>
  <si>
    <t>Miri</t>
  </si>
  <si>
    <t>Annie</t>
  </si>
  <si>
    <t>Tight Back Club Chair</t>
  </si>
  <si>
    <t>PF000602;PP000105</t>
  </si>
  <si>
    <t>MP100-0991</t>
  </si>
  <si>
    <t>AMAZONDS,ASHFURNDS,CASTLEGATE,JCPENNEY01,LAMPDS</t>
  </si>
  <si>
    <t>FPF18-0486</t>
  </si>
  <si>
    <t>PF000738;PP000105</t>
  </si>
  <si>
    <t>CASTLEGATE,CSNSTORES,OVERSTOCK01</t>
  </si>
  <si>
    <t>7/4/2016</t>
  </si>
  <si>
    <t>MP100-0933</t>
  </si>
  <si>
    <t>Chase</t>
  </si>
  <si>
    <t>Glenmoor</t>
  </si>
  <si>
    <t>Alvarado</t>
  </si>
  <si>
    <t>High Back Accent Chair</t>
  </si>
  <si>
    <t>1/17/2020</t>
  </si>
  <si>
    <t>CSNSTORES,JCPENNEY01,OVERSTOCK01</t>
  </si>
  <si>
    <t>3/2/2020</t>
  </si>
  <si>
    <t>FPF18-0395</t>
  </si>
  <si>
    <t>Cody</t>
  </si>
  <si>
    <t>Embry</t>
  </si>
  <si>
    <t>Maren</t>
  </si>
  <si>
    <t>Open Back Accent Chair</t>
  </si>
  <si>
    <t>PF000690;PP000125</t>
  </si>
  <si>
    <t>10/26/2015</t>
  </si>
  <si>
    <t>FUR100-0008</t>
  </si>
  <si>
    <t>Cruz</t>
  </si>
  <si>
    <t>Taye</t>
  </si>
  <si>
    <t>Rett</t>
  </si>
  <si>
    <t>Mid Century Accent Chair</t>
  </si>
  <si>
    <t>Blue-Green</t>
  </si>
  <si>
    <t>PF000811;PP000133</t>
  </si>
  <si>
    <t>ASHFURNDS,CSNSTORES,HOUZZ,OVERSTOCK01</t>
  </si>
  <si>
    <t>9/20/2016</t>
  </si>
  <si>
    <t>10/4/2016</t>
  </si>
  <si>
    <t>FPF18-0028</t>
  </si>
  <si>
    <t>Dexter</t>
  </si>
  <si>
    <t>Camron</t>
  </si>
  <si>
    <t>Conner</t>
  </si>
  <si>
    <t>Armless Shelter Chair</t>
  </si>
  <si>
    <t>PF000585;PP000145</t>
  </si>
  <si>
    <t>CASTLEGATE,MACY02F,OVERSTOCK01,ROOMECOM</t>
  </si>
  <si>
    <t>1/30/2015</t>
  </si>
  <si>
    <t>MP100-1174</t>
  </si>
  <si>
    <t>Diedra</t>
  </si>
  <si>
    <t>Blaine</t>
  </si>
  <si>
    <t>Paulie</t>
  </si>
  <si>
    <t>2/23/2022</t>
  </si>
  <si>
    <t>MP100-0386</t>
  </si>
  <si>
    <t>Cane Armchair</t>
  </si>
  <si>
    <t>Cream/Reclaimed Natural</t>
  </si>
  <si>
    <t>PF000276</t>
  </si>
  <si>
    <t>CSNSTORES,KIRKLANDDS,LAMPDS,OVERSTOCK01</t>
  </si>
  <si>
    <t>10/30/2017</t>
  </si>
  <si>
    <t>2/19/2018</t>
  </si>
  <si>
    <t>MP100-1075</t>
  </si>
  <si>
    <t>Tan/Espresso</t>
  </si>
  <si>
    <t>12/15/2020</t>
  </si>
  <si>
    <t>CSNSTORES,OVERSTOCK01,ROOMECOM</t>
  </si>
  <si>
    <t>MP100-1242</t>
  </si>
  <si>
    <t>Donohue</t>
  </si>
  <si>
    <t>Sunnee</t>
  </si>
  <si>
    <t>Lyla</t>
  </si>
  <si>
    <t>Accent Arm Chair</t>
  </si>
  <si>
    <t>Light Blue/Antique Cream</t>
  </si>
  <si>
    <t>2/1/2024</t>
  </si>
  <si>
    <t>MP100-1145</t>
  </si>
  <si>
    <t>Light Blue/Camel Oak</t>
  </si>
  <si>
    <t>2/15/2022</t>
  </si>
  <si>
    <t>AMAZONDS,CSNSTORES,HOUZZ,JCPENNEY01,KIRKLANDDS,KOHLDSN,OVERSTOCK01</t>
  </si>
  <si>
    <t>MP100-1241</t>
  </si>
  <si>
    <t>Light Grey/Antique Cream</t>
  </si>
  <si>
    <t>1/24/2024</t>
  </si>
  <si>
    <t>MP100-0785</t>
  </si>
  <si>
    <t>Light Grey/Camel Oak</t>
  </si>
  <si>
    <t>3/7/2019</t>
  </si>
  <si>
    <t>3/15/2024</t>
  </si>
  <si>
    <t>AMAZONDS,OVERSTOCK01</t>
  </si>
  <si>
    <t>7/30/2019</t>
  </si>
  <si>
    <t>FPF18-0416</t>
  </si>
  <si>
    <t>Erika</t>
  </si>
  <si>
    <t>Bree</t>
  </si>
  <si>
    <t>Laura</t>
  </si>
  <si>
    <t>PF000700;PP000154</t>
  </si>
  <si>
    <t>3/1/2024</t>
  </si>
  <si>
    <t>AMAZONDS,ASHFURNDS,CASTLEGATE,CSNSTORES,HDDS,MACY02F,OVERSTOCK01,TGTDVS</t>
  </si>
  <si>
    <t>12/21/2015</t>
  </si>
  <si>
    <t>MP100-0993</t>
  </si>
  <si>
    <t>Orange Multi</t>
  </si>
  <si>
    <t>6/25/2020</t>
  </si>
  <si>
    <t>5/31/2024</t>
  </si>
  <si>
    <t>MP100-1084</t>
  </si>
  <si>
    <t>Fallon</t>
  </si>
  <si>
    <t>Hawkins</t>
  </si>
  <si>
    <t>Calan</t>
  </si>
  <si>
    <t>CSNSTORES,HDDS</t>
  </si>
  <si>
    <t>FPF18-0112</t>
  </si>
  <si>
    <t>Fremont</t>
  </si>
  <si>
    <t>Emery</t>
  </si>
  <si>
    <t>Ashton</t>
  </si>
  <si>
    <t>Barrel Arm Chair</t>
  </si>
  <si>
    <t>PF000604;PP000161</t>
  </si>
  <si>
    <t>CASTLEGATE,MACY02F,NEBFUR01</t>
  </si>
  <si>
    <t>FPF18-0493</t>
  </si>
  <si>
    <t>PF000745;PP000161</t>
  </si>
  <si>
    <t>11/20/2016</t>
  </si>
  <si>
    <t>FPF18-0494</t>
  </si>
  <si>
    <t>Slate Blue</t>
  </si>
  <si>
    <t>PF000746;PP000161</t>
  </si>
  <si>
    <t>CASTLEGATE,CSNSTORES,KIRKLANDDS,LAMPDS,MACY02F,ROOMECOM</t>
  </si>
  <si>
    <t>8/12/2016</t>
  </si>
  <si>
    <t>FPF18-0222</t>
  </si>
  <si>
    <t>Grayson</t>
  </si>
  <si>
    <t>Dev</t>
  </si>
  <si>
    <t>Slade</t>
  </si>
  <si>
    <t>Mid-Century Accent Chair</t>
  </si>
  <si>
    <t>PF000654;PP000166</t>
  </si>
  <si>
    <t>CASTLEGATE,CSNSTORES,LAMPDS,MACY02F,OVERSTOCK01</t>
  </si>
  <si>
    <t>2/25/2015</t>
  </si>
  <si>
    <t>FPF18-0402</t>
  </si>
  <si>
    <t>Hannah</t>
  </si>
  <si>
    <t>Isa</t>
  </si>
  <si>
    <t>Lilith</t>
  </si>
  <si>
    <t>Button Tufted Wing Chair</t>
  </si>
  <si>
    <t>C+</t>
  </si>
  <si>
    <t>PF000693;PP000170</t>
  </si>
  <si>
    <t>11/2/2015</t>
  </si>
  <si>
    <t>MP100-0150</t>
  </si>
  <si>
    <t>PF001051;PP000170</t>
  </si>
  <si>
    <t>5/24/2017</t>
  </si>
  <si>
    <t>CASTLEGATE,MACY02F</t>
  </si>
  <si>
    <t>FPF18-0401</t>
  </si>
  <si>
    <t>PF000692;PP000170</t>
  </si>
  <si>
    <t>3/25/2024</t>
  </si>
  <si>
    <t>CASTLEGATE,OVERSTOCK01</t>
  </si>
  <si>
    <t>11/30/2015</t>
  </si>
  <si>
    <t>FPF18-0403</t>
  </si>
  <si>
    <t>PF000694;PP000170</t>
  </si>
  <si>
    <t>10/27/2015</t>
  </si>
  <si>
    <t>FPF18-0052</t>
  </si>
  <si>
    <t>Hayden</t>
  </si>
  <si>
    <t>Alex</t>
  </si>
  <si>
    <t>Karly</t>
  </si>
  <si>
    <t>Slipper Accent Chair</t>
  </si>
  <si>
    <t>PF000591;PP000174</t>
  </si>
  <si>
    <t>AMAZONDS,AMERSIGNDS,HDDS</t>
  </si>
  <si>
    <t>FPF18-0167</t>
  </si>
  <si>
    <t>Hilton</t>
  </si>
  <si>
    <t>Sheldon</t>
  </si>
  <si>
    <t>Bally</t>
  </si>
  <si>
    <t>Armless Accent Chair</t>
  </si>
  <si>
    <t>PF000626;PP000176</t>
  </si>
  <si>
    <t>CASTLEGATE,CSNSTORES,MACY02F,OVERSTOCK01,TGTDVS</t>
  </si>
  <si>
    <t>FPF18-0053</t>
  </si>
  <si>
    <t>PF000592;PP000176</t>
  </si>
  <si>
    <t>CASTLEGATE,CSNSTORES,KOHLDSN</t>
  </si>
  <si>
    <t>FPF18-0168</t>
  </si>
  <si>
    <t>PF000627;PP000176</t>
  </si>
  <si>
    <t>CASTLEGATE,LAMPDS,MACY02F</t>
  </si>
  <si>
    <t>FPF18-0040</t>
  </si>
  <si>
    <t>Orange</t>
  </si>
  <si>
    <t>PF000587;PP000176</t>
  </si>
  <si>
    <t>3/20/2024</t>
  </si>
  <si>
    <t>ASHFURNDS,CASTLEGATE,MACY02F,OVERSTOCK01</t>
  </si>
  <si>
    <t>1/3/2015</t>
  </si>
  <si>
    <t>FPF18-0106</t>
  </si>
  <si>
    <t>Purple</t>
  </si>
  <si>
    <t>PF000601;PP000176</t>
  </si>
  <si>
    <t>5/11/2015</t>
  </si>
  <si>
    <t>MP100-0147</t>
  </si>
  <si>
    <t>Jacques</t>
  </si>
  <si>
    <t>Monique</t>
  </si>
  <si>
    <t>Vivian</t>
  </si>
  <si>
    <t>PF001050</t>
  </si>
  <si>
    <t>ASHFURNDS,KOHLDSN,MACY02F</t>
  </si>
  <si>
    <t>FPF18-0226</t>
  </si>
  <si>
    <t>Korey</t>
  </si>
  <si>
    <t>Abby</t>
  </si>
  <si>
    <t>Remy</t>
  </si>
  <si>
    <t>Channel Back Slipper Chair</t>
  </si>
  <si>
    <t>PF000658;PP000189</t>
  </si>
  <si>
    <t>2/25/2024</t>
  </si>
  <si>
    <t>AMAZONDS,CSNSTORES,LAMPDS,MACY02F,OVERSTOCK01</t>
  </si>
  <si>
    <t>1/29/2015</t>
  </si>
  <si>
    <t>FPF18-0172</t>
  </si>
  <si>
    <t>Lola</t>
  </si>
  <si>
    <t>Lina</t>
  </si>
  <si>
    <t>Alyssa</t>
  </si>
  <si>
    <t>Tufted Armless Chair</t>
  </si>
  <si>
    <t>PF000630;PP000194</t>
  </si>
  <si>
    <t>2/26/2024</t>
  </si>
  <si>
    <t>AMERSIGNDS,CASTLEGATE,CSNSTORES,KIRKLANDDS,MACY02F</t>
  </si>
  <si>
    <t>1/16/2015</t>
  </si>
  <si>
    <t>FPF18-0495</t>
  </si>
  <si>
    <t>PF000747;PP000194</t>
  </si>
  <si>
    <t>CASTLEGATE,MACY02F,Zulily</t>
  </si>
  <si>
    <t>9/6/2016</t>
  </si>
  <si>
    <t>MP100-0955</t>
  </si>
  <si>
    <t>Lucas</t>
  </si>
  <si>
    <t>Britton</t>
  </si>
  <si>
    <t>Santos</t>
  </si>
  <si>
    <t>Button Tufted Captain Accent Chair</t>
  </si>
  <si>
    <t>PF001079</t>
  </si>
  <si>
    <t>MP100-0538</t>
  </si>
  <si>
    <t>Malabar</t>
  </si>
  <si>
    <t>Leigh</t>
  </si>
  <si>
    <t>Daly</t>
  </si>
  <si>
    <t>PP000671</t>
  </si>
  <si>
    <t>1/19/2018</t>
  </si>
  <si>
    <t>ASHFURNDS,CSNSTORES,MACY02F,OVERSTOCK01</t>
  </si>
  <si>
    <t>2/14/2018</t>
  </si>
  <si>
    <t>MP100-1168</t>
  </si>
  <si>
    <t>2/9/2022</t>
  </si>
  <si>
    <t>FPF18-0098</t>
  </si>
  <si>
    <t>Marcel</t>
  </si>
  <si>
    <t>Lucy</t>
  </si>
  <si>
    <t>Bella</t>
  </si>
  <si>
    <t>High Back Wing Chair</t>
  </si>
  <si>
    <t>PF000599;PP000203</t>
  </si>
  <si>
    <t>AMAZONDS,MACY02F</t>
  </si>
  <si>
    <t>FPF18-0435</t>
  </si>
  <si>
    <t>Maxwell</t>
  </si>
  <si>
    <t>Roan</t>
  </si>
  <si>
    <t>Lyle</t>
  </si>
  <si>
    <t>PF000714;PP000209</t>
  </si>
  <si>
    <t>3/11/2016</t>
  </si>
  <si>
    <t>MP100-0017</t>
  </si>
  <si>
    <t>PF001028;PP000209</t>
  </si>
  <si>
    <t>5/27/2024</t>
  </si>
  <si>
    <t>ASHFURNDS,CASTLEGATE,CSNSTORES</t>
  </si>
  <si>
    <t>6/30/2017</t>
  </si>
  <si>
    <t>MP100-0957</t>
  </si>
  <si>
    <t>MiaRose</t>
  </si>
  <si>
    <t>Milana</t>
  </si>
  <si>
    <t>Carlie</t>
  </si>
  <si>
    <t>7/2/2020</t>
  </si>
  <si>
    <t>FPF18-0219</t>
  </si>
  <si>
    <t>Oxford</t>
  </si>
  <si>
    <t>Liam</t>
  </si>
  <si>
    <t>Nathan</t>
  </si>
  <si>
    <t>Burnt Orange</t>
  </si>
  <si>
    <t>PF000651;PP000226</t>
  </si>
  <si>
    <t>3/18/2015</t>
  </si>
  <si>
    <t>FPF18-0217</t>
  </si>
  <si>
    <t>PF000649;PP000226</t>
  </si>
  <si>
    <t>4/3/2015</t>
  </si>
  <si>
    <t>MP100-1048</t>
  </si>
  <si>
    <t>10/8/2020</t>
  </si>
  <si>
    <t>FPF18-0218</t>
  </si>
  <si>
    <t>Seafoam</t>
  </si>
  <si>
    <t>PF000650;PP000226</t>
  </si>
  <si>
    <t>ASHFURNDS,CASTLEGATE,CSNSTORES,KIRKLANDDS,ROOMECOM</t>
  </si>
  <si>
    <t>MP100-0441</t>
  </si>
  <si>
    <t>Palmer</t>
  </si>
  <si>
    <t>Nicoli</t>
  </si>
  <si>
    <t>Flint</t>
  </si>
  <si>
    <t>PF001083</t>
  </si>
  <si>
    <t>7/26/2017</t>
  </si>
  <si>
    <t>5/17/2024</t>
  </si>
  <si>
    <t>10/11/2017</t>
  </si>
  <si>
    <t>FPF18-0514</t>
  </si>
  <si>
    <t>Qwen</t>
  </si>
  <si>
    <t>Elle</t>
  </si>
  <si>
    <t>Cassie</t>
  </si>
  <si>
    <t>Button Tufted Accent Chair</t>
  </si>
  <si>
    <t>PF000758;PP000233</t>
  </si>
  <si>
    <t>4/7/2017</t>
  </si>
  <si>
    <t>3/6/2024</t>
  </si>
  <si>
    <t>AMERSIGNDS,ASHFURNDS,CASTLEGATE,CSNSTORES,HDDS,KIRKLANDDS,MACY02F,ROOMECOM</t>
  </si>
  <si>
    <t>4/8/2016</t>
  </si>
  <si>
    <t>MP100-0891</t>
  </si>
  <si>
    <t>Dusty Blue</t>
  </si>
  <si>
    <t>PP000233</t>
  </si>
  <si>
    <t>7/6/2019</t>
  </si>
  <si>
    <t>5/14/2024</t>
  </si>
  <si>
    <t>CASTLEGATE,HDDS</t>
  </si>
  <si>
    <t>9/10/2019</t>
  </si>
  <si>
    <t>FPF18-0513</t>
  </si>
  <si>
    <t>PF000757;PP000233</t>
  </si>
  <si>
    <t>CASTLEGATE,CSNSTORES,HDDS,MACY02F</t>
  </si>
  <si>
    <t>4/20/2016</t>
  </si>
  <si>
    <t>MP100-1121</t>
  </si>
  <si>
    <t>2/2/2022</t>
  </si>
  <si>
    <t>AMAZONDS,CSNSTORES,JCPENNEY01,KIRKLANDDS</t>
  </si>
  <si>
    <t>MP100-1054</t>
  </si>
  <si>
    <t>10/29/2020</t>
  </si>
  <si>
    <t>CSNSTORES,JCPENNEY01,LAMPDS</t>
  </si>
  <si>
    <t>FPF18-0512</t>
  </si>
  <si>
    <t>PF000756;PP000233</t>
  </si>
  <si>
    <t>4/14/2016</t>
  </si>
  <si>
    <t>MP100-0780</t>
  </si>
  <si>
    <t>Simmons</t>
  </si>
  <si>
    <t>Tita</t>
  </si>
  <si>
    <t>Blaire</t>
  </si>
  <si>
    <t>Tan/Natural</t>
  </si>
  <si>
    <t>2/5/2019</t>
  </si>
  <si>
    <t>8/8/2019</t>
  </si>
  <si>
    <t>FPF18-0253</t>
  </si>
  <si>
    <t>Taylor</t>
  </si>
  <si>
    <t>Elsa</t>
  </si>
  <si>
    <t>Faith</t>
  </si>
  <si>
    <t>PF000677;PP000270</t>
  </si>
  <si>
    <t>AMERSIGNDS,CASTLEGATE,CSNSTORES,ROOMECOM,TGTDVS</t>
  </si>
  <si>
    <t>4/27/2015</t>
  </si>
  <si>
    <t>FPF18-0484</t>
  </si>
  <si>
    <t>PF000736;PP000270</t>
  </si>
  <si>
    <t>CASTLEGATE,HDDS,MACY02F</t>
  </si>
  <si>
    <t>6/22/2016</t>
  </si>
  <si>
    <t>MP100-1157</t>
  </si>
  <si>
    <t>CHAIR</t>
  </si>
  <si>
    <t>Grafton</t>
  </si>
  <si>
    <t>Rile</t>
  </si>
  <si>
    <t>Nettie</t>
  </si>
  <si>
    <t>Upholstered Armless Accent Lounge chair</t>
  </si>
  <si>
    <t>7/5/2022</t>
  </si>
  <si>
    <t>MP100-1162</t>
  </si>
  <si>
    <t>Ian</t>
  </si>
  <si>
    <t>Cora</t>
  </si>
  <si>
    <t>Upholstered Tufted Mid-Century Accent Chair</t>
  </si>
  <si>
    <t>5/3/2022</t>
  </si>
  <si>
    <t>MP100-1161</t>
  </si>
  <si>
    <t>Lampert</t>
  </si>
  <si>
    <t>Samantha</t>
  </si>
  <si>
    <t>Abbot</t>
  </si>
  <si>
    <t>Upholstered Open Arm Metal Leg Accent chair</t>
  </si>
  <si>
    <t>MP100-1225</t>
  </si>
  <si>
    <t>LOUNGE</t>
  </si>
  <si>
    <t>Annika</t>
  </si>
  <si>
    <t>Elisha</t>
  </si>
  <si>
    <t>Bernay</t>
  </si>
  <si>
    <t>Faux Leather Accent Arm Chair</t>
  </si>
  <si>
    <t>PP001872</t>
  </si>
  <si>
    <t>MP100-1109</t>
  </si>
  <si>
    <t>Calder</t>
  </si>
  <si>
    <t>Cabrillo</t>
  </si>
  <si>
    <t>Webster</t>
  </si>
  <si>
    <t>Metal Leg Accent chair</t>
  </si>
  <si>
    <t>MP100-1202</t>
  </si>
  <si>
    <t>Duncan</t>
  </si>
  <si>
    <t>Halton</t>
  </si>
  <si>
    <t>Upholstered Accent Chair</t>
  </si>
  <si>
    <t>Light Gray</t>
  </si>
  <si>
    <t>11/21/2022</t>
  </si>
  <si>
    <t>MP100-1219</t>
  </si>
  <si>
    <t>Josefine</t>
  </si>
  <si>
    <t>Percy</t>
  </si>
  <si>
    <t>Wilbur</t>
  </si>
  <si>
    <t>Spindle Accent Armchair with Removable Back Pillow</t>
  </si>
  <si>
    <t>Light Grey</t>
  </si>
  <si>
    <t>4/7/2023</t>
  </si>
  <si>
    <t>MP100-1218</t>
  </si>
  <si>
    <t>Lillie</t>
  </si>
  <si>
    <t>Emily</t>
  </si>
  <si>
    <t>Maya</t>
  </si>
  <si>
    <t>Handcrafted Seagrass Back Armchair with Removable Seat Cushion and Back Pillow</t>
  </si>
  <si>
    <t>4/27/2023</t>
  </si>
  <si>
    <t>MP100-1203</t>
  </si>
  <si>
    <t>Odessa</t>
  </si>
  <si>
    <t>Gilman</t>
  </si>
  <si>
    <t>Leanne</t>
  </si>
  <si>
    <t>MP100-1187</t>
  </si>
  <si>
    <t>Tage</t>
  </si>
  <si>
    <t>Bianca</t>
  </si>
  <si>
    <t>Marlee</t>
  </si>
  <si>
    <t>Upholstered Accent Armchair</t>
  </si>
  <si>
    <t>6/21/2024</t>
  </si>
  <si>
    <t>MP100-1182</t>
  </si>
  <si>
    <t>N/A</t>
  </si>
  <si>
    <t>Dinah</t>
  </si>
  <si>
    <t>Senna</t>
  </si>
  <si>
    <t>Irina</t>
  </si>
  <si>
    <t>Open Back Accent chair with Antique Gold Metallic Legs</t>
  </si>
  <si>
    <t>7/27/2022</t>
  </si>
  <si>
    <t>MP100-1188</t>
  </si>
  <si>
    <t>Gavin</t>
  </si>
  <si>
    <t>Bennett</t>
  </si>
  <si>
    <t>Raiston</t>
  </si>
  <si>
    <t>Faux Leather Channel Accent Armchair</t>
  </si>
  <si>
    <t>MP103-0241</t>
  </si>
  <si>
    <t>MOTION</t>
  </si>
  <si>
    <t>SWIVEL</t>
  </si>
  <si>
    <t>Brianne</t>
  </si>
  <si>
    <t>Betty</t>
  </si>
  <si>
    <t>Mitchell</t>
  </si>
  <si>
    <t>Wide Seat Swivel Arm Chair</t>
  </si>
  <si>
    <t>PF001101</t>
  </si>
  <si>
    <t>11/14/2017</t>
  </si>
  <si>
    <t>MP103-0985</t>
  </si>
  <si>
    <t>CSNSTORES,KIRKLANDDS,MACY02F,OVERSTOCK01,ROOMECOM</t>
  </si>
  <si>
    <t>MP103-0697</t>
  </si>
  <si>
    <t>CASTLEGATE,CSNSTORES,KIRKLANDDS,LAMPDS,OVERSTOCK01</t>
  </si>
  <si>
    <t>MP103-1144</t>
  </si>
  <si>
    <t>1/26/2022</t>
  </si>
  <si>
    <t>MP103-0482</t>
  </si>
  <si>
    <t>Capstone</t>
  </si>
  <si>
    <t>Wilmette</t>
  </si>
  <si>
    <t>Milton</t>
  </si>
  <si>
    <t>Tufted Barrel Swivel Chair</t>
  </si>
  <si>
    <t>4/17/2024</t>
  </si>
  <si>
    <t>CASTLEGATE,KIRKLANDDS,KOHLDSN,MACY02F,ROOMECOM</t>
  </si>
  <si>
    <t>1/25/2018</t>
  </si>
  <si>
    <t>MP103-1226</t>
  </si>
  <si>
    <t>7/31/2023</t>
  </si>
  <si>
    <t>MP103-1077</t>
  </si>
  <si>
    <t>MP103-0242</t>
  </si>
  <si>
    <t>Slate</t>
  </si>
  <si>
    <t>PF001102</t>
  </si>
  <si>
    <t>5/25/2017</t>
  </si>
  <si>
    <t>10/23/2017</t>
  </si>
  <si>
    <t>MP103-0239</t>
  </si>
  <si>
    <t>Calvin</t>
  </si>
  <si>
    <t>Gayla</t>
  </si>
  <si>
    <t>Galva</t>
  </si>
  <si>
    <t>Swivel Chair</t>
  </si>
  <si>
    <t>Light Green</t>
  </si>
  <si>
    <t>PF001099</t>
  </si>
  <si>
    <t>6/19/2024</t>
  </si>
  <si>
    <t>CSNSTORES,HDDS,MACY02F,OVERSTOCK01</t>
  </si>
  <si>
    <t>11/15/2017</t>
  </si>
  <si>
    <t>MP103-1072</t>
  </si>
  <si>
    <t>Swivel</t>
  </si>
  <si>
    <t>3/31/2021</t>
  </si>
  <si>
    <t>4/4/2024</t>
  </si>
  <si>
    <t>AMAZONDS,CSNSTORES,KIRKLANDDS,OVERSTOCK01</t>
  </si>
  <si>
    <t>MP103-0243</t>
  </si>
  <si>
    <t>Deanna</t>
  </si>
  <si>
    <t>Morton</t>
  </si>
  <si>
    <t>Sparta</t>
  </si>
  <si>
    <t>Upholstered Swivel Accent Chair</t>
  </si>
  <si>
    <t>PF001103</t>
  </si>
  <si>
    <t>10/16/2017</t>
  </si>
  <si>
    <t>MP103-0480</t>
  </si>
  <si>
    <t>1/31/2018</t>
  </si>
  <si>
    <t>MP103-1000</t>
  </si>
  <si>
    <t>Adele</t>
  </si>
  <si>
    <t>Jayne</t>
  </si>
  <si>
    <t>Findlay</t>
  </si>
  <si>
    <t>MP103-1193</t>
  </si>
  <si>
    <t>Archer</t>
  </si>
  <si>
    <t>Cedar</t>
  </si>
  <si>
    <t>Grimmer</t>
  </si>
  <si>
    <t>Faux Leather 360 Degree Swivel Arm Chair</t>
  </si>
  <si>
    <t>MP103-1245</t>
  </si>
  <si>
    <t>Upholstered Swivel Chair with Wood Base</t>
  </si>
  <si>
    <t>4/13/2024</t>
  </si>
  <si>
    <t>MP103-1246</t>
  </si>
  <si>
    <t>MP103-1111</t>
  </si>
  <si>
    <t>Circa</t>
  </si>
  <si>
    <t>Emerson</t>
  </si>
  <si>
    <t>Chloe</t>
  </si>
  <si>
    <t>Upholstered Swivel Chair</t>
  </si>
  <si>
    <t>MP103-0287</t>
  </si>
  <si>
    <t>Harris</t>
  </si>
  <si>
    <t>Lois</t>
  </si>
  <si>
    <t>Sidney</t>
  </si>
  <si>
    <t>PF001115;PP000172</t>
  </si>
  <si>
    <t>CASTLEGATE,CSNSTORES,KOHLDSN,OVERSTOCK01</t>
  </si>
  <si>
    <t>9/15/2017</t>
  </si>
  <si>
    <t>MP103-0702</t>
  </si>
  <si>
    <t>Chenille Swivel Chair</t>
  </si>
  <si>
    <t>4/5/2024</t>
  </si>
  <si>
    <t>7/18/2019</t>
  </si>
  <si>
    <t>MP103-0240</t>
  </si>
  <si>
    <t>PF001100;PP000172</t>
  </si>
  <si>
    <t>6/2/2017</t>
  </si>
  <si>
    <t>ASHFURNDS,CSNSTORES,HDDS</t>
  </si>
  <si>
    <t>11/10/2017</t>
  </si>
  <si>
    <t>MP103-1215</t>
  </si>
  <si>
    <t>Kaley</t>
  </si>
  <si>
    <t>Paloma</t>
  </si>
  <si>
    <t>Adobe</t>
  </si>
  <si>
    <t>Upholstered 360 Degree Swivel Chair</t>
  </si>
  <si>
    <t>1/9/2023</t>
  </si>
  <si>
    <t>MP103-1224</t>
  </si>
  <si>
    <t>Kubrick</t>
  </si>
  <si>
    <t>Barry</t>
  </si>
  <si>
    <t>Beckner</t>
  </si>
  <si>
    <t>5/12/2023</t>
  </si>
  <si>
    <t>MP103-1204</t>
  </si>
  <si>
    <t>Monarch</t>
  </si>
  <si>
    <t>Irene</t>
  </si>
  <si>
    <t>Jenny</t>
  </si>
  <si>
    <t>Armless 360 Degree Swivel Chair</t>
  </si>
  <si>
    <t>MP103-0678</t>
  </si>
  <si>
    <t>Owen</t>
  </si>
  <si>
    <t>Admiral</t>
  </si>
  <si>
    <t>Roxbury</t>
  </si>
  <si>
    <t>KOHLDSN,OVERSTOCK01</t>
  </si>
  <si>
    <t>MP103-1095</t>
  </si>
  <si>
    <t>Micah</t>
  </si>
  <si>
    <t>Jaycee</t>
  </si>
  <si>
    <t>Light Tan</t>
  </si>
  <si>
    <t>1/21/2021</t>
  </si>
  <si>
    <t>MP103-1158</t>
  </si>
  <si>
    <t>Ryker</t>
  </si>
  <si>
    <t>Rileigh</t>
  </si>
  <si>
    <t>Renee</t>
  </si>
  <si>
    <t>Upholstered Barrel 360 Degree Swivel chair</t>
  </si>
  <si>
    <t>MP103-1186</t>
  </si>
  <si>
    <t>Sikora</t>
  </si>
  <si>
    <t>Gayley</t>
  </si>
  <si>
    <t>Felipe</t>
  </si>
  <si>
    <t>Channel Tufted Swivel Armchair</t>
  </si>
  <si>
    <t>10/14/2022</t>
  </si>
  <si>
    <t>MP103-1103</t>
  </si>
  <si>
    <t>Tyler</t>
  </si>
  <si>
    <t>Memo</t>
  </si>
  <si>
    <t>2/17/2021</t>
  </si>
  <si>
    <t>MP103-0481</t>
  </si>
  <si>
    <t>Chocolate</t>
  </si>
  <si>
    <t>4/2/2024</t>
  </si>
  <si>
    <t>MP103-1071</t>
  </si>
  <si>
    <t>AMAZONDS,ASHFURNDS,CASTLEGATE,CSNSTORES,JCPENNEY01,OVERSTOCK01,TGTDVS</t>
  </si>
  <si>
    <t>MP103-0236</t>
  </si>
  <si>
    <t>Natural Multi</t>
  </si>
  <si>
    <t>PF001096;PP000273</t>
  </si>
  <si>
    <t>AMAZONDS,ASHFURNDS,CASTLEGATE,CSNSTORES,KIRKLANDDS,MACY02F,OVERSTOCK01</t>
  </si>
  <si>
    <t>MP103-0706</t>
  </si>
  <si>
    <t>Teal Multi</t>
  </si>
  <si>
    <t>ASHFURNDS,CASTLEGATE,CSNSTORES,OVERSTOCK01</t>
  </si>
  <si>
    <t>8/1/2019</t>
  </si>
  <si>
    <t>MP103-0856</t>
  </si>
  <si>
    <t>SWIVEL GLIDER</t>
  </si>
  <si>
    <t>Theo</t>
  </si>
  <si>
    <t>Doane</t>
  </si>
  <si>
    <t>Wilmington</t>
  </si>
  <si>
    <t>Swivel Glider Chair</t>
  </si>
  <si>
    <t>Ivory/Black</t>
  </si>
  <si>
    <t>PP001196</t>
  </si>
  <si>
    <t>6/5/2019</t>
  </si>
  <si>
    <t>7/31/2019</t>
  </si>
  <si>
    <t>MP103-0731</t>
  </si>
  <si>
    <t>Alana</t>
  </si>
  <si>
    <t>Minkoff</t>
  </si>
  <si>
    <t>Aaron</t>
  </si>
  <si>
    <t>Curve Back Swivel Glider Chair</t>
  </si>
  <si>
    <t>9/21/2018</t>
  </si>
  <si>
    <t>ASHFURNDS,CSNSTORES,KOHLDSN,MACY02F,OVERSTOCK01</t>
  </si>
  <si>
    <t>9/25/2018</t>
  </si>
  <si>
    <t>5/30/2019</t>
  </si>
  <si>
    <t>MP103-1171</t>
  </si>
  <si>
    <t>Mathis</t>
  </si>
  <si>
    <t>Rae</t>
  </si>
  <si>
    <t>Dolores</t>
  </si>
  <si>
    <t>MP103-0935</t>
  </si>
  <si>
    <t>MP103-1170</t>
  </si>
  <si>
    <t>MP103-0801</t>
  </si>
  <si>
    <t>Light Blue</t>
  </si>
  <si>
    <t>PP000082</t>
  </si>
  <si>
    <t>4/12/2019</t>
  </si>
  <si>
    <t>MP103-0602</t>
  </si>
  <si>
    <t>Augustine</t>
  </si>
  <si>
    <t>Caddy</t>
  </si>
  <si>
    <t>Bewick</t>
  </si>
  <si>
    <t>PP000730</t>
  </si>
  <si>
    <t>1/29/2018</t>
  </si>
  <si>
    <t>MP103-0825</t>
  </si>
  <si>
    <t>Grey/Taupe</t>
  </si>
  <si>
    <t>6/21/2019</t>
  </si>
  <si>
    <t>MP103-1176</t>
  </si>
  <si>
    <t>Plain Grey</t>
  </si>
  <si>
    <t>MP103-0895</t>
  </si>
  <si>
    <t>Rey</t>
  </si>
  <si>
    <t>Alyce</t>
  </si>
  <si>
    <t>5/22/2019</t>
  </si>
  <si>
    <t>ASHFURNDS,CSNSTORES,OVERSTOCK01</t>
  </si>
  <si>
    <t>6/7/2019</t>
  </si>
  <si>
    <t>8/13/2019</t>
  </si>
  <si>
    <t>MP103-0937</t>
  </si>
  <si>
    <t>Justin</t>
  </si>
  <si>
    <t>Benton</t>
  </si>
  <si>
    <t>Felton</t>
  </si>
  <si>
    <t>Tan</t>
  </si>
  <si>
    <t>1/9/2020</t>
  </si>
  <si>
    <t>MP103-0246</t>
  </si>
  <si>
    <t>RECLINER</t>
  </si>
  <si>
    <t>Julian</t>
  </si>
  <si>
    <t>Evanston</t>
  </si>
  <si>
    <t>Lenox</t>
  </si>
  <si>
    <t>Push Back Recliner</t>
  </si>
  <si>
    <t>PF001106</t>
  </si>
  <si>
    <t>6/11/2017</t>
  </si>
  <si>
    <t>6/26/2024</t>
  </si>
  <si>
    <t>ASHFURNDS,CASTLEGATE,LAMPDS,MACY02F</t>
  </si>
  <si>
    <t>MP103-0247</t>
  </si>
  <si>
    <t>Hoffman</t>
  </si>
  <si>
    <t>Lerna</t>
  </si>
  <si>
    <t>Thayer</t>
  </si>
  <si>
    <t>PF001107</t>
  </si>
  <si>
    <t>6/10/2017</t>
  </si>
  <si>
    <t>ASHFURNDS,CASTLEGATE,CSNSTORES,HDDS,KIRKLANDDS,MACY02F,ROOMECOM</t>
  </si>
  <si>
    <t>MP103-1106</t>
  </si>
  <si>
    <t>Aidan</t>
  </si>
  <si>
    <t>Jetta</t>
  </si>
  <si>
    <t>Zak</t>
  </si>
  <si>
    <t>Recliner</t>
  </si>
  <si>
    <t>4/26/2021</t>
  </si>
  <si>
    <t>MP103-0609</t>
  </si>
  <si>
    <t>PP000737</t>
  </si>
  <si>
    <t>AMAZONDS,AMERSIGNDS,ASHFURNDS,CASTLEGATE,CSNSTORES,KIRKLANDDS,OVERSTOCK01</t>
  </si>
  <si>
    <t>8/13/2018</t>
  </si>
  <si>
    <t>MP103-0826</t>
  </si>
  <si>
    <t>5/31/2019</t>
  </si>
  <si>
    <t>ASHFURNDS,CSNSTORES,KIRKLANDDS,OVERSTOCK01</t>
  </si>
  <si>
    <t>MP103-0908</t>
  </si>
  <si>
    <t>Athena</t>
  </si>
  <si>
    <t>Jimmy</t>
  </si>
  <si>
    <t>Cranberry</t>
  </si>
  <si>
    <t>1/7/2020</t>
  </si>
  <si>
    <t>MP103-1217</t>
  </si>
  <si>
    <t>Coleman</t>
  </si>
  <si>
    <t>Sierra</t>
  </si>
  <si>
    <t>Glenroy</t>
  </si>
  <si>
    <t>Upholstered Manual Push Back Recliner</t>
  </si>
  <si>
    <t>2/27/2023</t>
  </si>
  <si>
    <t>MP103-0610</t>
  </si>
  <si>
    <t>Kirby</t>
  </si>
  <si>
    <t>Oscar</t>
  </si>
  <si>
    <t>Docker</t>
  </si>
  <si>
    <t>PP000738</t>
  </si>
  <si>
    <t>AMAZONDS,ASHFURNDS,CASTLEGATE,KOHLDSN,OVERSTOCK01</t>
  </si>
  <si>
    <t>5/7/2018</t>
  </si>
  <si>
    <t>MP103-1051</t>
  </si>
  <si>
    <t>Navy Multi</t>
  </si>
  <si>
    <t>11/25/2020</t>
  </si>
  <si>
    <t>MP103-0468</t>
  </si>
  <si>
    <t>Naomi</t>
  </si>
  <si>
    <t>Woodham</t>
  </si>
  <si>
    <t>Hargis</t>
  </si>
  <si>
    <t>PP000347</t>
  </si>
  <si>
    <t>KIRKLANDDS,MACY02F,OVERSTOCK01</t>
  </si>
  <si>
    <t>1/24/2018</t>
  </si>
  <si>
    <t>MP103-1005</t>
  </si>
  <si>
    <t>Salina</t>
  </si>
  <si>
    <t>Cecile</t>
  </si>
  <si>
    <t>Cicely</t>
  </si>
  <si>
    <t>9/24/2020</t>
  </si>
  <si>
    <t>MP108-0788</t>
  </si>
  <si>
    <t>DINING CHAIR</t>
  </si>
  <si>
    <t>Bryce</t>
  </si>
  <si>
    <t>Robertson</t>
  </si>
  <si>
    <t>Thornton</t>
  </si>
  <si>
    <t>Dining Chair (set of 2)</t>
  </si>
  <si>
    <t>4/4/2019</t>
  </si>
  <si>
    <t>AMAZONDS,CSNSTORES,MACY02F,OVERSTOCK01</t>
  </si>
  <si>
    <t>6/17/2019</t>
  </si>
  <si>
    <t>MP108-0956</t>
  </si>
  <si>
    <t>2/14/2020</t>
  </si>
  <si>
    <t>AMAZONDS,CSNSTORES,OVERSTOCK01</t>
  </si>
  <si>
    <t>FPF20-0281</t>
  </si>
  <si>
    <t>Garbo</t>
  </si>
  <si>
    <t>Sydney</t>
  </si>
  <si>
    <t>London</t>
  </si>
  <si>
    <t>Captains Dining Chair</t>
  </si>
  <si>
    <t>PF000779;PP000163</t>
  </si>
  <si>
    <t>5/3/2024</t>
  </si>
  <si>
    <t>CASTLEGATE,CSNSTORES,JCPENNEY01,MACY02F</t>
  </si>
  <si>
    <t>7/23/2015</t>
  </si>
  <si>
    <t>FPF20-0280</t>
  </si>
  <si>
    <t>PF000778;PP000163</t>
  </si>
  <si>
    <t>AMAZONDS,CASTLEGATE,CSNSTORES,KIRKLANDDS,MACY02F</t>
  </si>
  <si>
    <t>8/5/2015</t>
  </si>
  <si>
    <t>FPF20-0278</t>
  </si>
  <si>
    <t>PF000776;PP000163</t>
  </si>
  <si>
    <t>CASTLEGATE,CSNSTORES,MACY02F,OVERSTOCK01</t>
  </si>
  <si>
    <t>1/12/2017</t>
  </si>
  <si>
    <t>8/1/2015</t>
  </si>
  <si>
    <t>FPF20-0279</t>
  </si>
  <si>
    <t>PF000777;PP000163</t>
  </si>
  <si>
    <t>7/9/2015</t>
  </si>
  <si>
    <t>MP108-1050</t>
  </si>
  <si>
    <t>6/1/2024</t>
  </si>
  <si>
    <t>CSNSTORES,JCPENNEY01</t>
  </si>
  <si>
    <t>MP108-0766</t>
  </si>
  <si>
    <t>Rika</t>
  </si>
  <si>
    <t>Rain</t>
  </si>
  <si>
    <t>High Back Dining Armchair (Set of 2)</t>
  </si>
  <si>
    <t>CSNSTORES,MACY02F,OVERSTOCK01</t>
  </si>
  <si>
    <t>6/26/2019</t>
  </si>
  <si>
    <t>MP108-0767</t>
  </si>
  <si>
    <t>Angelica</t>
  </si>
  <si>
    <t>Jenn</t>
  </si>
  <si>
    <t>Shin</t>
  </si>
  <si>
    <t>Arm Dining Chair (set of 2)</t>
  </si>
  <si>
    <t>MP100-0153</t>
  </si>
  <si>
    <t>Bexley</t>
  </si>
  <si>
    <t>Larkin</t>
  </si>
  <si>
    <t>Oda</t>
  </si>
  <si>
    <t>Rounded Back Dining Chair</t>
  </si>
  <si>
    <t>PF001054;PP000096</t>
  </si>
  <si>
    <t>8/1/2017</t>
  </si>
  <si>
    <t>FPF18-0404</t>
  </si>
  <si>
    <t>PF000695;PP000096</t>
  </si>
  <si>
    <t>CASTLEGATE,HOUZZ,LAMPDS,TGTDVS</t>
  </si>
  <si>
    <t>MP100-0152</t>
  </si>
  <si>
    <t>PF001053;PP000096</t>
  </si>
  <si>
    <t>MP108-0513</t>
  </si>
  <si>
    <t>Braiden</t>
  </si>
  <si>
    <t>Quimby</t>
  </si>
  <si>
    <t>Garnet</t>
  </si>
  <si>
    <t>PP000621</t>
  </si>
  <si>
    <t>1/9/2018</t>
  </si>
  <si>
    <t>8/6/2018</t>
  </si>
  <si>
    <t>MP100-0038</t>
  </si>
  <si>
    <t>Brody</t>
  </si>
  <si>
    <t>Victor</t>
  </si>
  <si>
    <t>Wing Dining Chair (Set of 2)</t>
  </si>
  <si>
    <t>PF000259;PP000104</t>
  </si>
  <si>
    <t>CSNSTORES,KOHLDSN</t>
  </si>
  <si>
    <t>4/10/2017</t>
  </si>
  <si>
    <t>FPF20-0384</t>
  </si>
  <si>
    <t>PF000040;PP000104</t>
  </si>
  <si>
    <t>1/18/2016</t>
  </si>
  <si>
    <t>MP108-1060</t>
  </si>
  <si>
    <t>Canteberry</t>
  </si>
  <si>
    <t>Ashe</t>
  </si>
  <si>
    <t>Ensley</t>
  </si>
  <si>
    <t>9/30/2020</t>
  </si>
  <si>
    <t>CSNSTORES,HDDS,KIRKLANDDS</t>
  </si>
  <si>
    <t>MP108-0642</t>
  </si>
  <si>
    <t>Captiva</t>
  </si>
  <si>
    <t>Callaway</t>
  </si>
  <si>
    <t>Hastings</t>
  </si>
  <si>
    <t>Dining Side Chair (Set of 2)</t>
  </si>
  <si>
    <t>12/15/2017</t>
  </si>
  <si>
    <t>3/4/2019</t>
  </si>
  <si>
    <t>9/18/2019</t>
  </si>
  <si>
    <t>MP108-0511</t>
  </si>
  <si>
    <t>Carson</t>
  </si>
  <si>
    <t>Fillmore</t>
  </si>
  <si>
    <t>Troy</t>
  </si>
  <si>
    <t>Upholstered Wingback Dining Chair</t>
  </si>
  <si>
    <t>PP000620</t>
  </si>
  <si>
    <t>3/29/2024</t>
  </si>
  <si>
    <t>CASTLEGATE,LAMPDS,OVERSTOCK01</t>
  </si>
  <si>
    <t>5/24/2019</t>
  </si>
  <si>
    <t>MP108-0987</t>
  </si>
  <si>
    <t>6/15/2020</t>
  </si>
  <si>
    <t>2/9/2024</t>
  </si>
  <si>
    <t>MP108-1209</t>
  </si>
  <si>
    <t>Light Sage Green</t>
  </si>
  <si>
    <t>12/3/2022</t>
  </si>
  <si>
    <t>FPF18-0184</t>
  </si>
  <si>
    <t>Cirque</t>
  </si>
  <si>
    <t>Kagen</t>
  </si>
  <si>
    <t>Wells</t>
  </si>
  <si>
    <t>Dining Chair (Set of 2)</t>
  </si>
  <si>
    <t>PF000003;PP000121</t>
  </si>
  <si>
    <t>5/16/2017</t>
  </si>
  <si>
    <t>12/23/2015</t>
  </si>
  <si>
    <t>MP108-1055</t>
  </si>
  <si>
    <t>Dining Chair Set of 2</t>
  </si>
  <si>
    <t>11/13/2020</t>
  </si>
  <si>
    <t>CSNSTORES,HOUZZ,OVERSTOCK01</t>
  </si>
  <si>
    <t>FPF20-0547</t>
  </si>
  <si>
    <t>Colfax</t>
  </si>
  <si>
    <t>Weldon</t>
  </si>
  <si>
    <t>Lorsted</t>
  </si>
  <si>
    <t>PF000075;PP000127</t>
  </si>
  <si>
    <t>5/9/2017</t>
  </si>
  <si>
    <t>2/19/2024</t>
  </si>
  <si>
    <t>8/30/2016</t>
  </si>
  <si>
    <t>MP100-0042</t>
  </si>
  <si>
    <t>Dawson</t>
  </si>
  <si>
    <t>Parler</t>
  </si>
  <si>
    <t>Bracken</t>
  </si>
  <si>
    <t>Arm Dining Chair</t>
  </si>
  <si>
    <t>PF000261;PP000141</t>
  </si>
  <si>
    <t>3/21/2024</t>
  </si>
  <si>
    <t>5/8/2017</t>
  </si>
  <si>
    <t>FPF20-0387</t>
  </si>
  <si>
    <t>PF000043;PP000141</t>
  </si>
  <si>
    <t>1/21/2016</t>
  </si>
  <si>
    <t>MP100-0043</t>
  </si>
  <si>
    <t>PF000262;PP000141</t>
  </si>
  <si>
    <t>5/3/2017</t>
  </si>
  <si>
    <t>MP108-0911</t>
  </si>
  <si>
    <t>Elmwood</t>
  </si>
  <si>
    <t>Bernardo</t>
  </si>
  <si>
    <t>Steven</t>
  </si>
  <si>
    <t>2/7/2020</t>
  </si>
  <si>
    <t>CSNSTORES,JCPENNEY01,LAMPDS,OVERSTOCK01</t>
  </si>
  <si>
    <t>MP108-0849</t>
  </si>
  <si>
    <t>Foster</t>
  </si>
  <si>
    <t>Capa</t>
  </si>
  <si>
    <t>Cadman</t>
  </si>
  <si>
    <t>Set of 2 High Back Dining Chairs with Skirts</t>
  </si>
  <si>
    <t>PP001189</t>
  </si>
  <si>
    <t>AMERSIGNDS,CSNSTORES,HOUZZ,OVERSTOCK01</t>
  </si>
  <si>
    <t>MP108-0765</t>
  </si>
  <si>
    <t>Junn</t>
  </si>
  <si>
    <t>Miyu</t>
  </si>
  <si>
    <t>Mai</t>
  </si>
  <si>
    <t>1/16/2019</t>
  </si>
  <si>
    <t>LAMPDS,MACY02F,OVERSTOCK01</t>
  </si>
  <si>
    <t>7/19/2019</t>
  </si>
  <si>
    <t>MP108-0665</t>
  </si>
  <si>
    <t>Skylar</t>
  </si>
  <si>
    <t>Keeble</t>
  </si>
  <si>
    <t>Luther</t>
  </si>
  <si>
    <t>7/10/2019</t>
  </si>
  <si>
    <t>MP108-1139</t>
  </si>
  <si>
    <t>Audrey</t>
  </si>
  <si>
    <t>Abel</t>
  </si>
  <si>
    <t>Zuri</t>
  </si>
  <si>
    <t>Channel Tufting Dining Chair (Set of 2)</t>
  </si>
  <si>
    <t>1/21/2022</t>
  </si>
  <si>
    <t>MP108-1244</t>
  </si>
  <si>
    <t>Elaine</t>
  </si>
  <si>
    <t>Hamilton</t>
  </si>
  <si>
    <t>Slipcover Dining Arm Chair with Casters</t>
  </si>
  <si>
    <t>MP108-1243</t>
  </si>
  <si>
    <t>MP108-1205</t>
  </si>
  <si>
    <t>MP108-1254</t>
  </si>
  <si>
    <t>Salma</t>
  </si>
  <si>
    <t>Skirted Dining Arm Chair with Casters</t>
  </si>
  <si>
    <t>MP108-1178</t>
  </si>
  <si>
    <t>Sheraton</t>
  </si>
  <si>
    <t>Joey</t>
  </si>
  <si>
    <t>Peralta</t>
  </si>
  <si>
    <t>Tufted Low Back Upholstered Arm Dining Chair Set of 2</t>
  </si>
  <si>
    <t>5/9/2022</t>
  </si>
  <si>
    <t>MP104-0512</t>
  </si>
  <si>
    <t>BAR STOOL</t>
  </si>
  <si>
    <t>COUNTER STOOL</t>
  </si>
  <si>
    <t>Counter Stool With Swivel Seat</t>
  </si>
  <si>
    <t>CASTLEGATE,HDDS,KIRKLANDDS,MACY02F,OVERSTOCK01</t>
  </si>
  <si>
    <t>10/22/2018</t>
  </si>
  <si>
    <t>MP104-0986</t>
  </si>
  <si>
    <t>Counter Stool with Swivel Seat</t>
  </si>
  <si>
    <t>CASTLEGATE,JCPENNEY01,OVERSTOCK01,ROOMECOM</t>
  </si>
  <si>
    <t>MP104-1153</t>
  </si>
  <si>
    <t>1/24/2022</t>
  </si>
  <si>
    <t>MP104-0943</t>
  </si>
  <si>
    <t>Emmett</t>
  </si>
  <si>
    <t>Janet</t>
  </si>
  <si>
    <t>Cheryl</t>
  </si>
  <si>
    <t>25.75" Swivel Counter Stool</t>
  </si>
  <si>
    <t>AMAZONDS,CSNSTORES,HOUZZ,MACY02F,OVERSTOCK01</t>
  </si>
  <si>
    <t>MP104-1105</t>
  </si>
  <si>
    <t>ASHFURNDS,BLK01,CSNSTORES,KIRKLANDDS,KOHLDSN,OVERSTOCK01</t>
  </si>
  <si>
    <t>MP104-1119</t>
  </si>
  <si>
    <t>10/13/2021</t>
  </si>
  <si>
    <t>MP104-1003</t>
  </si>
  <si>
    <t>Avila</t>
  </si>
  <si>
    <t>Hayes</t>
  </si>
  <si>
    <t>Saffron</t>
  </si>
  <si>
    <t>Tufted Back Counter Stool</t>
  </si>
  <si>
    <t>9/8/2020</t>
  </si>
  <si>
    <t>3/23/2024</t>
  </si>
  <si>
    <t>CSNSTORES,JCPENNEY01,MACY02F,OVERSTOCK01</t>
  </si>
  <si>
    <t>FPF20-0402</t>
  </si>
  <si>
    <t>PF000798;PP000092</t>
  </si>
  <si>
    <t>AMAZONDS,HOUZZ,OVERSTOCK01</t>
  </si>
  <si>
    <t>12/2/2015</t>
  </si>
  <si>
    <t>FPF20-0531</t>
  </si>
  <si>
    <t>PF000801;PP000092</t>
  </si>
  <si>
    <t>AMERSIGNDS,MACY02F,OVERSTOCK01</t>
  </si>
  <si>
    <t>4/19/2016</t>
  </si>
  <si>
    <t>FPF20-0532</t>
  </si>
  <si>
    <t>PF000802;PP000092</t>
  </si>
  <si>
    <t>AMERSIGNDS</t>
  </si>
  <si>
    <t>MP104-1123</t>
  </si>
  <si>
    <t>Belfast</t>
  </si>
  <si>
    <t>Nomad</t>
  </si>
  <si>
    <t>Westly</t>
  </si>
  <si>
    <t>Counter Stool</t>
  </si>
  <si>
    <t>12/17/2021</t>
  </si>
  <si>
    <t>FPF20-0401</t>
  </si>
  <si>
    <t>Saddle Counter Stool</t>
  </si>
  <si>
    <t>PF000797;PP000095</t>
  </si>
  <si>
    <t>AMERSIGNDS,CSNSTORES,HOUZZ</t>
  </si>
  <si>
    <t>FUR101-0037</t>
  </si>
  <si>
    <t>PF000812;PP000095</t>
  </si>
  <si>
    <t>CASTLEGATE,CSNSTORES,LAMPDS,OVERSTOCK01,ROOMECOM,TGTDVS</t>
  </si>
  <si>
    <t>9/26/2016</t>
  </si>
  <si>
    <t>FUR101-0039</t>
  </si>
  <si>
    <t>PF000814;PP000095</t>
  </si>
  <si>
    <t>CSNSTORES,LAMPDS,OVERSTOCK01,ROOMECOM,TGTDVS</t>
  </si>
  <si>
    <t>MP104-0041</t>
  </si>
  <si>
    <t>Wing Counter Stool</t>
  </si>
  <si>
    <t>PF000286;PP000104</t>
  </si>
  <si>
    <t>4/8/2024</t>
  </si>
  <si>
    <t>MP104-0040</t>
  </si>
  <si>
    <t>PF000285;PP000104</t>
  </si>
  <si>
    <t>FPF20-0551</t>
  </si>
  <si>
    <t>PF000080;PP000104</t>
  </si>
  <si>
    <t>CASTLEGATE,KOHLDSN,LAMPDS,OVERSTOCK01</t>
  </si>
  <si>
    <t>9/19/2016</t>
  </si>
  <si>
    <t>MP104-1238</t>
  </si>
  <si>
    <t>26"H Upholstered Counter Stool with Metal Base</t>
  </si>
  <si>
    <t>10/4/2023</t>
  </si>
  <si>
    <t>FPF20-0552</t>
  </si>
  <si>
    <t>Camel</t>
  </si>
  <si>
    <t>Peyton</t>
  </si>
  <si>
    <t>Amory</t>
  </si>
  <si>
    <t>PF000081;PP000108</t>
  </si>
  <si>
    <t>CASTLEGATE,CSNSTORES,MACY02F,NEBFUR01,OVERSTOCK01</t>
  </si>
  <si>
    <t>9/3/2016</t>
  </si>
  <si>
    <t>MP104-0762</t>
  </si>
  <si>
    <t>Christine</t>
  </si>
  <si>
    <t>Davisina</t>
  </si>
  <si>
    <t>Sugar</t>
  </si>
  <si>
    <t>Counterstool</t>
  </si>
  <si>
    <t>FPF18-0186</t>
  </si>
  <si>
    <t>Counter Stool Set of 2</t>
  </si>
  <si>
    <t>PF000005;PP000121</t>
  </si>
  <si>
    <t>FPF20-0540</t>
  </si>
  <si>
    <t>PF000069;PP000121</t>
  </si>
  <si>
    <t>5/26/2017</t>
  </si>
  <si>
    <t>2/6/2017</t>
  </si>
  <si>
    <t>MP104-0037</t>
  </si>
  <si>
    <t>PF000284;PP000121</t>
  </si>
  <si>
    <t>BEALLSDS,CSNSTORES,LAMPDS,OVERSTOCK01,ROOMECOM</t>
  </si>
  <si>
    <t>4/18/2017</t>
  </si>
  <si>
    <t>FPF18-0187</t>
  </si>
  <si>
    <t>PF000006;PP000121</t>
  </si>
  <si>
    <t>CASTLEGATE,CSNSTORES,NEBFUR01</t>
  </si>
  <si>
    <t>FPF20-0557</t>
  </si>
  <si>
    <t>PF000086;PP000127</t>
  </si>
  <si>
    <t>KOHLDSN,TGTDVS</t>
  </si>
  <si>
    <t>12/23/2016</t>
  </si>
  <si>
    <t>MP104-0768</t>
  </si>
  <si>
    <t>Connie</t>
  </si>
  <si>
    <t>Dave</t>
  </si>
  <si>
    <t>Mcline</t>
  </si>
  <si>
    <t>MP104-1239</t>
  </si>
  <si>
    <t>Cane Back Counter Stool</t>
  </si>
  <si>
    <t>10/13/2023</t>
  </si>
  <si>
    <t>MP104-0787</t>
  </si>
  <si>
    <t>Glenwood</t>
  </si>
  <si>
    <t>Crimson</t>
  </si>
  <si>
    <t>Farwell</t>
  </si>
  <si>
    <t>Swivel Counter Stool</t>
  </si>
  <si>
    <t>AMAZONDS,CSNSTORES,HOUZZ,OVERSTOCK01</t>
  </si>
  <si>
    <t>MP104-1173</t>
  </si>
  <si>
    <t>2/22/2022</t>
  </si>
  <si>
    <t>MP104-0391</t>
  </si>
  <si>
    <t>High Wingback Button Tufted Upholstered 27" Swivel Counter Stool with Nailhead Accent</t>
  </si>
  <si>
    <t>Camel/Brown</t>
  </si>
  <si>
    <t>PP000169</t>
  </si>
  <si>
    <t>ROOMECOM</t>
  </si>
  <si>
    <t>MP104-1047</t>
  </si>
  <si>
    <t>8/10/2020</t>
  </si>
  <si>
    <t>MP104-0716</t>
  </si>
  <si>
    <t>8/17/2018</t>
  </si>
  <si>
    <t>AMERSIGNDS,OVERSTOCK01,ROOMECOM</t>
  </si>
  <si>
    <t>6/28/2019</t>
  </si>
  <si>
    <t>MP104-1208</t>
  </si>
  <si>
    <t>Hermosa</t>
  </si>
  <si>
    <t>Carmel</t>
  </si>
  <si>
    <t>Rosita</t>
  </si>
  <si>
    <t>Woven Counter Stool 25"</t>
  </si>
  <si>
    <t>MP104-1110</t>
  </si>
  <si>
    <t>9/6/2021</t>
  </si>
  <si>
    <t>MP104-1085</t>
  </si>
  <si>
    <t>Isadora</t>
  </si>
  <si>
    <t>Andrina</t>
  </si>
  <si>
    <t>Faustina</t>
  </si>
  <si>
    <t>Counter stool</t>
  </si>
  <si>
    <t>MP104-0510</t>
  </si>
  <si>
    <t>Jillian</t>
  </si>
  <si>
    <t>Marshall</t>
  </si>
  <si>
    <t>Ellery</t>
  </si>
  <si>
    <t xml:space="preserve">Counter  Stool with Swivel Seat</t>
  </si>
  <si>
    <t>PP000619</t>
  </si>
  <si>
    <t>CSNSTORES,HOUZZ,OVERSTOCK01,TGTDVS</t>
  </si>
  <si>
    <t>8/10/2018</t>
  </si>
  <si>
    <t>MP104-1074</t>
  </si>
  <si>
    <t>CSNSTORES,HOUZZ,KOHLDSN,OVERSTOCK01</t>
  </si>
  <si>
    <t>FPF20-0283</t>
  </si>
  <si>
    <t>Jodi</t>
  </si>
  <si>
    <t>Lydia</t>
  </si>
  <si>
    <t>Lauren</t>
  </si>
  <si>
    <t>Tufted Wing Counter Stool</t>
  </si>
  <si>
    <t>PF000781;PP000180</t>
  </si>
  <si>
    <t>6/28/2016</t>
  </si>
  <si>
    <t>MP104-0440</t>
  </si>
  <si>
    <t>Kellen</t>
  </si>
  <si>
    <t>Mervin</t>
  </si>
  <si>
    <t>Savage</t>
  </si>
  <si>
    <t>PF001125;PP000186</t>
  </si>
  <si>
    <t>8/7/2017</t>
  </si>
  <si>
    <t>NEBFUR01</t>
  </si>
  <si>
    <t>7/31/2018</t>
  </si>
  <si>
    <t>MP104-0556</t>
  </si>
  <si>
    <t>Kobe</t>
  </si>
  <si>
    <t>Heyes</t>
  </si>
  <si>
    <t>Bryant</t>
  </si>
  <si>
    <t>PP000670</t>
  </si>
  <si>
    <t>1/13/2018</t>
  </si>
  <si>
    <t>MP104-1150</t>
  </si>
  <si>
    <t>2/18/2022</t>
  </si>
  <si>
    <t>MP104-1079</t>
  </si>
  <si>
    <t>Maison</t>
  </si>
  <si>
    <t>Marc</t>
  </si>
  <si>
    <t>Eugene</t>
  </si>
  <si>
    <t>Charcoal/Antique Gold</t>
  </si>
  <si>
    <t>2/4/2021</t>
  </si>
  <si>
    <t>CSNSTORES,JCPENNEY01,OVERSTOCK01,TGTDVS</t>
  </si>
  <si>
    <t>MP104-1127</t>
  </si>
  <si>
    <t>Marian</t>
  </si>
  <si>
    <t>Misha</t>
  </si>
  <si>
    <t>Khloe</t>
  </si>
  <si>
    <t>Tufted Counter Stool</t>
  </si>
  <si>
    <t>3/17/2022</t>
  </si>
  <si>
    <t>MP104-0055</t>
  </si>
  <si>
    <t>PF000297;PP000205</t>
  </si>
  <si>
    <t>3/11/2024</t>
  </si>
  <si>
    <t>FPF20-0395</t>
  </si>
  <si>
    <t>PF000048;PP000205</t>
  </si>
  <si>
    <t>1/25/2016</t>
  </si>
  <si>
    <t>MP104-0944</t>
  </si>
  <si>
    <t>Mateo</t>
  </si>
  <si>
    <t>Quarry</t>
  </si>
  <si>
    <t>Powell</t>
  </si>
  <si>
    <t>2/10/2020</t>
  </si>
  <si>
    <t>AMERSIGNDS,HOUZZ,OVERSTOCK01</t>
  </si>
  <si>
    <t>MP104-1104</t>
  </si>
  <si>
    <t>MP104-1197</t>
  </si>
  <si>
    <t>Onyx</t>
  </si>
  <si>
    <t>Boyle</t>
  </si>
  <si>
    <t>Grattan</t>
  </si>
  <si>
    <t>Upholstered 360 Degree Swivel Counter Stool 26" H</t>
  </si>
  <si>
    <t>MP104-0577</t>
  </si>
  <si>
    <t>8/30/2018</t>
  </si>
  <si>
    <t>MP104-1181</t>
  </si>
  <si>
    <t>4/21/2022</t>
  </si>
  <si>
    <t>MP104-1146</t>
  </si>
  <si>
    <t>Pearce</t>
  </si>
  <si>
    <t>Walsh</t>
  </si>
  <si>
    <t>Howard</t>
  </si>
  <si>
    <t>1/28/2022</t>
  </si>
  <si>
    <t>4/26/2024</t>
  </si>
  <si>
    <t>MP104-0515</t>
  </si>
  <si>
    <t>PP000623</t>
  </si>
  <si>
    <t>1/20/2018</t>
  </si>
  <si>
    <t>4/12/2024</t>
  </si>
  <si>
    <t>3/21/2018</t>
  </si>
  <si>
    <t>5/10/2018</t>
  </si>
  <si>
    <t>MP104-1147</t>
  </si>
  <si>
    <t>Pink</t>
  </si>
  <si>
    <t>MP104-0988</t>
  </si>
  <si>
    <t>CASTLEGATE,CSNSTORES,JCPENNEY01,LAMPDS,OVERSTOCK01</t>
  </si>
  <si>
    <t>MP104-0514</t>
  </si>
  <si>
    <t>Simon</t>
  </si>
  <si>
    <t>Gunther</t>
  </si>
  <si>
    <t>PP000622</t>
  </si>
  <si>
    <t>8/27/2018</t>
  </si>
  <si>
    <t>MP104-1212</t>
  </si>
  <si>
    <t>Stewart</t>
  </si>
  <si>
    <t>Monica</t>
  </si>
  <si>
    <t>Rachel</t>
  </si>
  <si>
    <t>Upholstered 360 Degree Swivel Counter Stool 25" H</t>
  </si>
  <si>
    <t>1/3/2023</t>
  </si>
  <si>
    <t>MP104-0810</t>
  </si>
  <si>
    <t>Tuscan</t>
  </si>
  <si>
    <t>Wheatley</t>
  </si>
  <si>
    <t>Muriel</t>
  </si>
  <si>
    <t>PP001129</t>
  </si>
  <si>
    <t>FUR101-0038</t>
  </si>
  <si>
    <t>Mushroom</t>
  </si>
  <si>
    <t>PF000813;PP000095</t>
  </si>
  <si>
    <t>HOUZZ,LAMPDS,MACY02F,OVERSTOCK01</t>
  </si>
  <si>
    <t>9/30/2016</t>
  </si>
  <si>
    <t>MP104-1133</t>
  </si>
  <si>
    <t>Bixby</t>
  </si>
  <si>
    <t>Dunas</t>
  </si>
  <si>
    <t>Burke</t>
  </si>
  <si>
    <t>Faux Leather Counter Stool with Metal Frame</t>
  </si>
  <si>
    <t>2/19/2022</t>
  </si>
  <si>
    <t>MP104-1056</t>
  </si>
  <si>
    <t>Bar Stool Set of 2</t>
  </si>
  <si>
    <t>12/3/2020</t>
  </si>
  <si>
    <t>CSNSTORES,OVERSTOCK01,ROOMECOM,Zulily</t>
  </si>
  <si>
    <t>FPF20-0555</t>
  </si>
  <si>
    <t>Cleo</t>
  </si>
  <si>
    <t>Aida</t>
  </si>
  <si>
    <t>Islia</t>
  </si>
  <si>
    <t>PF000084;PP000123</t>
  </si>
  <si>
    <t>5/16/2016</t>
  </si>
  <si>
    <t>FPF20-0394</t>
  </si>
  <si>
    <t>PF000047;PP000127</t>
  </si>
  <si>
    <t>2/8/2016</t>
  </si>
  <si>
    <t>MP104-0060</t>
  </si>
  <si>
    <t>30-Inch Bar Stool</t>
  </si>
  <si>
    <t>PF000303;PP000127</t>
  </si>
  <si>
    <t>8/16/2017</t>
  </si>
  <si>
    <t>9/7/2017</t>
  </si>
  <si>
    <t>MP104-0062</t>
  </si>
  <si>
    <t>PF000305;PP000127</t>
  </si>
  <si>
    <t>MACY02F,OVERSTOCK01</t>
  </si>
  <si>
    <t>8/23/2017</t>
  </si>
  <si>
    <t>MP104-0061</t>
  </si>
  <si>
    <t>PF000304;PP000127</t>
  </si>
  <si>
    <t>KOHLDSN</t>
  </si>
  <si>
    <t>MP104-1086</t>
  </si>
  <si>
    <t>Copeland</t>
  </si>
  <si>
    <t>Jakoba</t>
  </si>
  <si>
    <t>Eros</t>
  </si>
  <si>
    <t>Brown Multi</t>
  </si>
  <si>
    <t>MP104-0044</t>
  </si>
  <si>
    <t>Arm 26‘’ Counter Stool</t>
  </si>
  <si>
    <t>PF000287;PP000141</t>
  </si>
  <si>
    <t>5/22/2017</t>
  </si>
  <si>
    <t>MP104-0046</t>
  </si>
  <si>
    <t>PF000289;PP000141</t>
  </si>
  <si>
    <t>10/5/2017</t>
  </si>
  <si>
    <t>MP104-0392</t>
  </si>
  <si>
    <t>High Wingback Button Tufted Upholstered 30" Swivel Bar Stool with Nailhead Accent</t>
  </si>
  <si>
    <t>MP104-0717</t>
  </si>
  <si>
    <t>MP104-0942</t>
  </si>
  <si>
    <t>Maddox</t>
  </si>
  <si>
    <t>Geneva</t>
  </si>
  <si>
    <t>Rolph</t>
  </si>
  <si>
    <t>CSNSTORES,HOUZZ,MACY02F</t>
  </si>
  <si>
    <t>FPF20-0559</t>
  </si>
  <si>
    <t>Nate</t>
  </si>
  <si>
    <t>Everitt</t>
  </si>
  <si>
    <t>Gally</t>
  </si>
  <si>
    <t>PF000088;PP000222</t>
  </si>
  <si>
    <t>8/25/2016</t>
  </si>
  <si>
    <t>FPF20-0558</t>
  </si>
  <si>
    <t>PF000087;PP000222</t>
  </si>
  <si>
    <t>12/19/2016</t>
  </si>
  <si>
    <t>MP104-1148</t>
  </si>
  <si>
    <t>Bar Stool with Swivel Seat</t>
  </si>
  <si>
    <t>MP104-1052</t>
  </si>
  <si>
    <t>10/19/2020</t>
  </si>
  <si>
    <t>MP104-1149</t>
  </si>
  <si>
    <t>MP104-1053</t>
  </si>
  <si>
    <t>CSNSTORES,LAMPDS,OVERSTOCK01,TGTDVS</t>
  </si>
  <si>
    <t>MP121-0772</t>
  </si>
  <si>
    <t>DINING TABLE</t>
  </si>
  <si>
    <t>Lexi</t>
  </si>
  <si>
    <t>Hemlock</t>
  </si>
  <si>
    <t>Wesley</t>
  </si>
  <si>
    <t>46" Round Pedestal Dining Table</t>
  </si>
  <si>
    <t>Reclaimed Walnut/Antique Cream</t>
  </si>
  <si>
    <t>2/25/2019</t>
  </si>
  <si>
    <t>4/3/2024</t>
  </si>
  <si>
    <t>CSNSTORES,KOHLDSN,MACY02F,OVERSTOCK01</t>
  </si>
  <si>
    <t>6/20/2019</t>
  </si>
  <si>
    <t>MP121-1223</t>
  </si>
  <si>
    <t>Reclaimed Walnut</t>
  </si>
  <si>
    <t>1/20/2023</t>
  </si>
  <si>
    <t>2/2/2024</t>
  </si>
  <si>
    <t>MP121-0953</t>
  </si>
  <si>
    <t>Boulder</t>
  </si>
  <si>
    <t>Hale</t>
  </si>
  <si>
    <t>Merill</t>
  </si>
  <si>
    <t>Dining Table</t>
  </si>
  <si>
    <t>FPF17-0183</t>
  </si>
  <si>
    <t>Dining Table with Metal Legs</t>
  </si>
  <si>
    <t>PF000538;PP000121</t>
  </si>
  <si>
    <t>MP121-1221</t>
  </si>
  <si>
    <t>Garett</t>
  </si>
  <si>
    <t>Phelps</t>
  </si>
  <si>
    <t>Rectangle Extension Dining Table</t>
  </si>
  <si>
    <t>2/22/2023</t>
  </si>
  <si>
    <t>MP120-0174</t>
  </si>
  <si>
    <t>OCCASIONL TABLE</t>
  </si>
  <si>
    <t>COFFEE TABLE</t>
  </si>
  <si>
    <t>Madison</t>
  </si>
  <si>
    <t>Kayden</t>
  </si>
  <si>
    <t>Mankato</t>
  </si>
  <si>
    <t>Coffee Table</t>
  </si>
  <si>
    <t>Antique Bronze</t>
  </si>
  <si>
    <t>PF000367;PP000200</t>
  </si>
  <si>
    <t>4/4/2017</t>
  </si>
  <si>
    <t>ASHFURNDS,MACY02F</t>
  </si>
  <si>
    <t>11/20/2017</t>
  </si>
  <si>
    <t>MP120-0082</t>
  </si>
  <si>
    <t>Marbury</t>
  </si>
  <si>
    <t>Keaton</t>
  </si>
  <si>
    <t>Aniston</t>
  </si>
  <si>
    <t>PP000202</t>
  </si>
  <si>
    <t>MP120-1097</t>
  </si>
  <si>
    <t>Beaumont</t>
  </si>
  <si>
    <t>Beauchamp</t>
  </si>
  <si>
    <t>Blandford</t>
  </si>
  <si>
    <t>White/Natural</t>
  </si>
  <si>
    <t>3/2/2021</t>
  </si>
  <si>
    <t>CSNSTORES,JCPENNEY01,KIRKLANDDS,MACY02F,OVERSTOCK01,TGTDVS,ZOLA</t>
  </si>
  <si>
    <t>MP120-1129</t>
  </si>
  <si>
    <t>Parker</t>
  </si>
  <si>
    <t>Avalon</t>
  </si>
  <si>
    <t>Avenu</t>
  </si>
  <si>
    <t>Off-White/Black</t>
  </si>
  <si>
    <t>2/4/2022</t>
  </si>
  <si>
    <t>MP120-1063</t>
  </si>
  <si>
    <t>Off-White/Natural</t>
  </si>
  <si>
    <t>12/22/2020</t>
  </si>
  <si>
    <t>4/19/2024</t>
  </si>
  <si>
    <t>AMERSIGNDS,ASHFURNDS,CASTLEGATE,CSNSTORES</t>
  </si>
  <si>
    <t>MP120-0094</t>
  </si>
  <si>
    <t>Off-White/Pecan</t>
  </si>
  <si>
    <t>PF001168;PP000227</t>
  </si>
  <si>
    <t>AMAZONDS,ASHFURNDS,BLK01,CASTLEGATE,CSNSTORES,KIRKLANDDS,MACY02F,NEBFUR01,TGTDVS</t>
  </si>
  <si>
    <t>11/15/2016</t>
  </si>
  <si>
    <t>2/7/2017</t>
  </si>
  <si>
    <t>MP120-0971</t>
  </si>
  <si>
    <t>Willow</t>
  </si>
  <si>
    <t>Larris</t>
  </si>
  <si>
    <t>Lana</t>
  </si>
  <si>
    <t>Cocktail Table</t>
  </si>
  <si>
    <t>6/11/2020</t>
  </si>
  <si>
    <t>MP120-1098</t>
  </si>
  <si>
    <t>END TABLE</t>
  </si>
  <si>
    <t>End Table</t>
  </si>
  <si>
    <t>CSNSTORES,MACY02F,OVERSTOCK01,TGTDVS</t>
  </si>
  <si>
    <t>MP120-0175</t>
  </si>
  <si>
    <t>PF000369;PP000200</t>
  </si>
  <si>
    <t>6/8/2024</t>
  </si>
  <si>
    <t>MP120-0085</t>
  </si>
  <si>
    <t>MP120-1064</t>
  </si>
  <si>
    <t>AMAZONDS,ASHFURNDS,CSNSTORES</t>
  </si>
  <si>
    <t>MP120-0095</t>
  </si>
  <si>
    <t>PF001169;PP000227</t>
  </si>
  <si>
    <t>AMAZON,AMERSIGNDS,CASTLEGATE,CSNSTORES,MACY02F,NEBFUR01,OVERSTOCK01,TGTDVS</t>
  </si>
  <si>
    <t>MP120-0972</t>
  </si>
  <si>
    <t>MP120-0180</t>
  </si>
  <si>
    <t>ACCENT TABLE</t>
  </si>
  <si>
    <t>Bent Metal Accent Table</t>
  </si>
  <si>
    <t>PF000373;PP000121</t>
  </si>
  <si>
    <t>MP120-0134</t>
  </si>
  <si>
    <t>Pedestal</t>
  </si>
  <si>
    <t>White/Black</t>
  </si>
  <si>
    <t>8/19/2017</t>
  </si>
  <si>
    <t>HOUZZ,KOHLDSN,MACY02F,OVERSTOCK01</t>
  </si>
  <si>
    <t>10/9/2017</t>
  </si>
  <si>
    <t>FUR120-0013</t>
  </si>
  <si>
    <t>CONSOLE TABLE</t>
  </si>
  <si>
    <t>Dayton</t>
  </si>
  <si>
    <t>Ellis</t>
  </si>
  <si>
    <t>Nico</t>
  </si>
  <si>
    <t>Console Table</t>
  </si>
  <si>
    <t>Chestnut</t>
  </si>
  <si>
    <t>PF000094;PP000142</t>
  </si>
  <si>
    <t>4/15/2017</t>
  </si>
  <si>
    <t>10/12/2016</t>
  </si>
  <si>
    <t>MP120-1065</t>
  </si>
  <si>
    <t>Console</t>
  </si>
  <si>
    <t>ASHFURNDS,CSNSTORES,OVERSTOCK01,TGTDVS</t>
  </si>
  <si>
    <t>MP120-0096</t>
  </si>
  <si>
    <t>PF001170;PP000227</t>
  </si>
  <si>
    <t>AMAZONDS,ASHFURNDS,CSNSTORES,MACY02F,OVERSTOCK01,ROOMECOM</t>
  </si>
  <si>
    <t>3/3/2017</t>
  </si>
  <si>
    <t>MP120-1206</t>
  </si>
  <si>
    <t>OCCASIONAL TABLE</t>
  </si>
  <si>
    <t>Occasional Table with 2 Drawers</t>
  </si>
  <si>
    <t>Reclaimed Natural</t>
  </si>
  <si>
    <t>6/5/2023</t>
  </si>
  <si>
    <t>MP116-0353</t>
  </si>
  <si>
    <t>HEADBOARD</t>
  </si>
  <si>
    <t>Nadine</t>
  </si>
  <si>
    <t>Augusta</t>
  </si>
  <si>
    <t>Iverson</t>
  </si>
  <si>
    <t>Upholstery Headboard</t>
  </si>
  <si>
    <t>Queen</t>
  </si>
  <si>
    <t>PF001136;PP000221</t>
  </si>
  <si>
    <t>4/20/2017</t>
  </si>
  <si>
    <t>CSNSTORES,JCPENNEY01,KOHLDSN,MACY02F</t>
  </si>
  <si>
    <t>MP116-0354</t>
  </si>
  <si>
    <t>King</t>
  </si>
  <si>
    <t>PF001137;PP000221</t>
  </si>
  <si>
    <t>MP116-0997</t>
  </si>
  <si>
    <t xml:space="preserve">Upholstery  Headboard</t>
  </si>
  <si>
    <t>MP116-0355</t>
  </si>
  <si>
    <t>Amelia</t>
  </si>
  <si>
    <t>Baldwin</t>
  </si>
  <si>
    <t>Janice</t>
  </si>
  <si>
    <t>PF001138;PP000077</t>
  </si>
  <si>
    <t>AMAZONDS,ASHFURNDS,CASTLEGATE,CSNSTORES,MACY02F,OVERSTOCK01</t>
  </si>
  <si>
    <t>11/25/2017</t>
  </si>
  <si>
    <t>MP116-0356</t>
  </si>
  <si>
    <t>Upholstery Headborad</t>
  </si>
  <si>
    <t>PF001139;PP000077</t>
  </si>
  <si>
    <t>AMAZONDS,CASTLEGATE,CSNSTORES</t>
  </si>
  <si>
    <t>11/6/2017</t>
  </si>
  <si>
    <t>MP116-0357</t>
  </si>
  <si>
    <t>PF001140;PP000077</t>
  </si>
  <si>
    <t>10/29/2017</t>
  </si>
  <si>
    <t>MP116-0358</t>
  </si>
  <si>
    <t>PF001141;PP000077</t>
  </si>
  <si>
    <t>11/21/2017</t>
  </si>
  <si>
    <t>MP116-1142</t>
  </si>
  <si>
    <t>1/12/2022</t>
  </si>
  <si>
    <t>MP116-1143</t>
  </si>
  <si>
    <t>MP116-0098</t>
  </si>
  <si>
    <t>Crosby</t>
  </si>
  <si>
    <t>Arthon</t>
  </si>
  <si>
    <t>Beret</t>
  </si>
  <si>
    <t>Queen Headboard</t>
  </si>
  <si>
    <t>Espresso</t>
  </si>
  <si>
    <t>PF001134;PP000132</t>
  </si>
  <si>
    <t>2/24/2017</t>
  </si>
  <si>
    <t>MP116-0368</t>
  </si>
  <si>
    <t>Harper</t>
  </si>
  <si>
    <t>Estella</t>
  </si>
  <si>
    <t>Lovell</t>
  </si>
  <si>
    <t>PF001151;PP000171</t>
  </si>
  <si>
    <t>6/13/2017</t>
  </si>
  <si>
    <t>10/17/2017</t>
  </si>
  <si>
    <t>MP130-0156</t>
  </si>
  <si>
    <t>ACCENT CHEST</t>
  </si>
  <si>
    <t>CABINET</t>
  </si>
  <si>
    <t>Driscoll</t>
  </si>
  <si>
    <t>Wyatt</t>
  </si>
  <si>
    <t>2-Door Cabinet</t>
  </si>
  <si>
    <t>PF000438</t>
  </si>
  <si>
    <t>CASTLEGATE,CSNSTORES,KIRKLANDDS,KOHLDSN,MACY02F</t>
  </si>
  <si>
    <t>FPF17-0390</t>
  </si>
  <si>
    <t>West Ridge</t>
  </si>
  <si>
    <t>Cain</t>
  </si>
  <si>
    <t>Henly</t>
  </si>
  <si>
    <t>Accent Chest</t>
  </si>
  <si>
    <t>PF000559;PP000278</t>
  </si>
  <si>
    <t>CSNSTORES,KIRKLANDDS,LAMPDS,MACY02F,TGTDVS</t>
  </si>
  <si>
    <t>12/28/2015</t>
  </si>
  <si>
    <t>MP130-0373</t>
  </si>
  <si>
    <t>PF000458;PP000278</t>
  </si>
  <si>
    <t>7/1/2017</t>
  </si>
  <si>
    <t>MP130-1210</t>
  </si>
  <si>
    <t>Casey</t>
  </si>
  <si>
    <t>Angelina</t>
  </si>
  <si>
    <t>Amara</t>
  </si>
  <si>
    <t>Accent Cabinet with 2 Mirror Doors</t>
  </si>
  <si>
    <t>MP130-0824</t>
  </si>
  <si>
    <t>Cowley</t>
  </si>
  <si>
    <t>Niles</t>
  </si>
  <si>
    <t>Turpin</t>
  </si>
  <si>
    <t>PP001141</t>
  </si>
  <si>
    <t>3/15/2019</t>
  </si>
  <si>
    <t>11/7/2019</t>
  </si>
  <si>
    <t>MP130-0929</t>
  </si>
  <si>
    <t>Curry</t>
  </si>
  <si>
    <t>Casa</t>
  </si>
  <si>
    <t>Francis</t>
  </si>
  <si>
    <t>2 Door Accent Cabinet</t>
  </si>
  <si>
    <t>Mint</t>
  </si>
  <si>
    <t>1/31/2020</t>
  </si>
  <si>
    <t>MP130-0945</t>
  </si>
  <si>
    <t>Hanley</t>
  </si>
  <si>
    <t>Eddy</t>
  </si>
  <si>
    <t>Folsom</t>
  </si>
  <si>
    <t>2 Doors Accent Cabinet</t>
  </si>
  <si>
    <t>ASHFURNDS,CSNSTORES,JCPENNEY01,KIRKLANDDS,OVERSTOCK01</t>
  </si>
  <si>
    <t>MP130-0137</t>
  </si>
  <si>
    <t>Lexnnox</t>
  </si>
  <si>
    <t>Kenzie</t>
  </si>
  <si>
    <t>Chest</t>
  </si>
  <si>
    <t>Morocco/Gold</t>
  </si>
  <si>
    <t>PF000437</t>
  </si>
  <si>
    <t>8/8/2017</t>
  </si>
  <si>
    <t>MP130-1207</t>
  </si>
  <si>
    <t>Paige</t>
  </si>
  <si>
    <t>Phinney</t>
  </si>
  <si>
    <t>Devin</t>
  </si>
  <si>
    <t>2-Door Accent Cabinet with Adjustable Shelves</t>
  </si>
  <si>
    <t>12/2/2022</t>
  </si>
  <si>
    <t>MP130-1177</t>
  </si>
  <si>
    <t>Cali</t>
  </si>
  <si>
    <t>Allen</t>
  </si>
  <si>
    <t>Mallard</t>
  </si>
  <si>
    <t>3-Drawer Accent Chest</t>
  </si>
  <si>
    <t>MP130-0276</t>
  </si>
  <si>
    <t>Alcott</t>
  </si>
  <si>
    <t>Diego</t>
  </si>
  <si>
    <t>Avada</t>
  </si>
  <si>
    <t>3 drawer chest</t>
  </si>
  <si>
    <t>Natural/Cream</t>
  </si>
  <si>
    <t>PF000448</t>
  </si>
  <si>
    <t>5/31/2017</t>
  </si>
  <si>
    <t>12/8/2017</t>
  </si>
  <si>
    <t>FUR130-0019</t>
  </si>
  <si>
    <t>Maria</t>
  </si>
  <si>
    <t>Gabrielle</t>
  </si>
  <si>
    <t>Ava</t>
  </si>
  <si>
    <t>Gold Lattice Accent Chest</t>
  </si>
  <si>
    <t>PF000100;PP000204</t>
  </si>
  <si>
    <t>10/13/2016</t>
  </si>
  <si>
    <t>MP130-1220</t>
  </si>
  <si>
    <t>Noah</t>
  </si>
  <si>
    <t>Jayla</t>
  </si>
  <si>
    <t>Rayna</t>
  </si>
  <si>
    <t>2-door Live Edge Accent Cabinet</t>
  </si>
  <si>
    <t>MP130-1036</t>
  </si>
  <si>
    <t>Palisades</t>
  </si>
  <si>
    <t>Nora</t>
  </si>
  <si>
    <t>Addison</t>
  </si>
  <si>
    <t>2/16/2022</t>
  </si>
  <si>
    <t>CSNSTORES,TGTDVS</t>
  </si>
  <si>
    <t>MP130-1211</t>
  </si>
  <si>
    <t>Sadler</t>
  </si>
  <si>
    <t>Clausen</t>
  </si>
  <si>
    <t>Ivins</t>
  </si>
  <si>
    <t>34"H 3-Door Cabinet</t>
  </si>
  <si>
    <t>Dark Coffee</t>
  </si>
  <si>
    <t>CHT015</t>
  </si>
  <si>
    <t>Scroll</t>
  </si>
  <si>
    <t>Scripta</t>
  </si>
  <si>
    <t>Rithe</t>
  </si>
  <si>
    <t>Bun Foot Chest</t>
  </si>
  <si>
    <t>PF000528;PP000258</t>
  </si>
  <si>
    <t>MP130-0157</t>
  </si>
  <si>
    <t>Somerset</t>
  </si>
  <si>
    <t>Greyson</t>
  </si>
  <si>
    <t>Ezra</t>
  </si>
  <si>
    <t>3-Drawer Chest</t>
  </si>
  <si>
    <t>Antique Silver</t>
  </si>
  <si>
    <t>PF000439</t>
  </si>
  <si>
    <t>MP130-0528</t>
  </si>
  <si>
    <t>Sonata</t>
  </si>
  <si>
    <t>Beacon</t>
  </si>
  <si>
    <t>Malta</t>
  </si>
  <si>
    <t>Accent Chest with 2 Drawers</t>
  </si>
  <si>
    <t>PP000629</t>
  </si>
  <si>
    <t>10/31/2017</t>
  </si>
  <si>
    <t>CSNSTORES,LAMPDS,ROOMECOM</t>
  </si>
  <si>
    <t>MP130-1160</t>
  </si>
  <si>
    <t>Ellie</t>
  </si>
  <si>
    <t>Memphis</t>
  </si>
  <si>
    <t>Stanton</t>
  </si>
  <si>
    <t>3/31/2022</t>
  </si>
  <si>
    <t>MP120-0427</t>
  </si>
  <si>
    <t>Accent Table</t>
  </si>
  <si>
    <t>PF000422</t>
  </si>
  <si>
    <t>9/28/2017</t>
  </si>
  <si>
    <t>CASTLEGATE,CSNSTORES,HOUZZ,KIRKLANDDS,KOHLDSN,MACY02F,OVERSTOCK01</t>
  </si>
  <si>
    <t>8/7/2018</t>
  </si>
  <si>
    <t>MP120-0428</t>
  </si>
  <si>
    <t>Valentina</t>
  </si>
  <si>
    <t>Ortega</t>
  </si>
  <si>
    <t>Dorado</t>
  </si>
  <si>
    <t>PF000424</t>
  </si>
  <si>
    <t>AMERSIGNDS,CSNSTORES,MACY02F,OVERSTOCK01,TGTDVS</t>
  </si>
  <si>
    <t>2/12/2018</t>
  </si>
  <si>
    <t>MP120-0597</t>
  </si>
  <si>
    <t>Sophia</t>
  </si>
  <si>
    <t>Venice</t>
  </si>
  <si>
    <t>Wilton</t>
  </si>
  <si>
    <t>PP000728</t>
  </si>
  <si>
    <t>2/8/2018</t>
  </si>
  <si>
    <t>CSNSTORES,LAMPDS,MACY02F,OVERSTOCK01</t>
  </si>
  <si>
    <t>8/3/2018</t>
  </si>
  <si>
    <t>FPF17-0063</t>
  </si>
  <si>
    <t>Metal Accent Drum Table</t>
  </si>
  <si>
    <t>PF000533;PP000121</t>
  </si>
  <si>
    <t>ASHFURNDS,CSNSTORES,KIRKLANDDS,MACY02F</t>
  </si>
  <si>
    <t>11/16/2017</t>
  </si>
  <si>
    <t>5/27/2018</t>
  </si>
  <si>
    <t>FPF17-0129</t>
  </si>
  <si>
    <t>Reclaimed Quatrefoil Metal Drum</t>
  </si>
  <si>
    <t>PF000537;PP000121</t>
  </si>
  <si>
    <t>4/13/2018</t>
  </si>
  <si>
    <t>MP120-0006</t>
  </si>
  <si>
    <t>Arian</t>
  </si>
  <si>
    <t>Deon</t>
  </si>
  <si>
    <t>Jerel</t>
  </si>
  <si>
    <t>Quatrefoil Mirror Accent Table</t>
  </si>
  <si>
    <t>PF000326</t>
  </si>
  <si>
    <t>AMERSIGNDS,ASHFURNDS,CSNSTORES,MACY02F</t>
  </si>
  <si>
    <t>MP120-0693</t>
  </si>
  <si>
    <t>Arlo</t>
  </si>
  <si>
    <t>Coen</t>
  </si>
  <si>
    <t>Gaige</t>
  </si>
  <si>
    <t>Metal Eyelet Accent Table</t>
  </si>
  <si>
    <t>7/6/2018</t>
  </si>
  <si>
    <t>AMAZONDS,ASHFURNDS,CSNSTORES,MACY02F</t>
  </si>
  <si>
    <t>MP120-0221</t>
  </si>
  <si>
    <t>Gold/Glass</t>
  </si>
  <si>
    <t>PF000386;PP000084</t>
  </si>
  <si>
    <t>4/13/2017</t>
  </si>
  <si>
    <t>10/26/2017</t>
  </si>
  <si>
    <t>FPF17-0295</t>
  </si>
  <si>
    <t>PF000546;PP000084</t>
  </si>
  <si>
    <t>AMAZONDS,AMERSIGNDS,CSNSTORES,KIRKLANDDS,OVERSTOCK01</t>
  </si>
  <si>
    <t>MP125-0819</t>
  </si>
  <si>
    <t>Gaberial</t>
  </si>
  <si>
    <t>Bunker</t>
  </si>
  <si>
    <t>Glory</t>
  </si>
  <si>
    <t>PP001138</t>
  </si>
  <si>
    <t>4/3/2019</t>
  </si>
  <si>
    <t>AMERSIGNDS,CSNSTORES,OVERSTOCK01</t>
  </si>
  <si>
    <t>7/3/2019</t>
  </si>
  <si>
    <t>MP120-0220</t>
  </si>
  <si>
    <t>Zee</t>
  </si>
  <si>
    <t>Maxx</t>
  </si>
  <si>
    <t>Jaye</t>
  </si>
  <si>
    <t>Angular Mirror Accent Table</t>
  </si>
  <si>
    <t>PF000385;PP000285</t>
  </si>
  <si>
    <t>AMAZON,AMERSIGNDS,KOHLDSN</t>
  </si>
  <si>
    <t>10/2/2017</t>
  </si>
  <si>
    <t>MP125-1190</t>
  </si>
  <si>
    <t>Del Mar</t>
  </si>
  <si>
    <t>Heidi</t>
  </si>
  <si>
    <t>Ashley</t>
  </si>
  <si>
    <t>Pedestal Accent Table</t>
  </si>
  <si>
    <t>12/21/2022</t>
  </si>
  <si>
    <t>FPF18-0142</t>
  </si>
  <si>
    <t>ACCENT BENCH</t>
  </si>
  <si>
    <t>OTHER BENCH</t>
  </si>
  <si>
    <t>Shandra</t>
  </si>
  <si>
    <t>Sasha</t>
  </si>
  <si>
    <t>Selah</t>
  </si>
  <si>
    <t>Tufted Top Soft Close Storage Bench</t>
  </si>
  <si>
    <t>PF000610;PP000259</t>
  </si>
  <si>
    <t>AMAZONDS,AMERSIGNDS,CSNSTORES,HDDS,KIRKLANDDS,KOHLDSN,MACY02F,OVERSTOCK01,ROOMECOM</t>
  </si>
  <si>
    <t>FUR105-0041</t>
  </si>
  <si>
    <t>PF000817;PP000259</t>
  </si>
  <si>
    <t>2/23/2024</t>
  </si>
  <si>
    <t>ASHFURNDS,CASTLEGATE,CSNSTORES,KIRKLANDDS,KOHLDSN,OVERSTOCK01,TGTDVS</t>
  </si>
  <si>
    <t>10/14/2016</t>
  </si>
  <si>
    <t>FUR105-0052</t>
  </si>
  <si>
    <t>PF000819;PP000259</t>
  </si>
  <si>
    <t>ASHFURNDS,CASTLEGATE,CSNSTORES,MACY02F,OVERSTOCK01,TGTDVS</t>
  </si>
  <si>
    <t>9/23/2016</t>
  </si>
  <si>
    <t>FPF18-0487</t>
  </si>
  <si>
    <t>PF000739;PP000259</t>
  </si>
  <si>
    <t>CASTLEGATE,HDDS,KIRKLANDDS,KOHLDSN,MACY02F,OVERSTOCK01,ROOMECOM,TGTDVS</t>
  </si>
  <si>
    <t>6/27/2016</t>
  </si>
  <si>
    <t>FPF18-0143</t>
  </si>
  <si>
    <t>PF000611;PP000259</t>
  </si>
  <si>
    <t>AMAZONDS,CASTLEGATE,HDDS,MACY02F,OVERSTOCK01</t>
  </si>
  <si>
    <t>1/22/2015</t>
  </si>
  <si>
    <t>FUR105-0040</t>
  </si>
  <si>
    <t>Rust Red</t>
  </si>
  <si>
    <t>PF000816</t>
  </si>
  <si>
    <t>3/13/2024</t>
  </si>
  <si>
    <t>CSNSTORES,KOHLDSN,LAMPDS,MACY02F</t>
  </si>
  <si>
    <t>MP105-0827</t>
  </si>
  <si>
    <t>Welburn</t>
  </si>
  <si>
    <t>Antonio</t>
  </si>
  <si>
    <t>Madera</t>
  </si>
  <si>
    <t>Accent Bench</t>
  </si>
  <si>
    <t>AMAZONDS,CASTLEGATE,CSNSTORES,KOHLDSN,MACY02F,TGTDVS</t>
  </si>
  <si>
    <t>6/6/2019</t>
  </si>
  <si>
    <t>MP105-0543</t>
  </si>
  <si>
    <t>PP000673</t>
  </si>
  <si>
    <t>AMAZONDS,AMERSIGNDS,ASHFURNDS,CASTLEGATE,HDDS,KIRKLANDDS,KOHLDSN,LAMPDS,MACY02F,OVERSTOCK01,TGTDVS</t>
  </si>
  <si>
    <t>5/21/2018</t>
  </si>
  <si>
    <t>MP105-1049</t>
  </si>
  <si>
    <t>MP105-0471</t>
  </si>
  <si>
    <t>PP000350</t>
  </si>
  <si>
    <t>AMAZON,AMAZONDS,AMERSIGNDS,ASHFURNDS,CASTLEGATE,CSNSTORES,HDDS,KIRKLANDDS,LAMPDS,MACY02F,OVERSTOCK01,ROOMECOM</t>
  </si>
  <si>
    <t>1/22/2018</t>
  </si>
  <si>
    <t>MP105-0999</t>
  </si>
  <si>
    <t>ASHFURNDS,CASTLEGATE,CSNSTORES,KIRKLANDDS,LAMPDS,OVERSTOCK01</t>
  </si>
  <si>
    <t>FPF18-0524</t>
  </si>
  <si>
    <t>Gillian</t>
  </si>
  <si>
    <t>Payden</t>
  </si>
  <si>
    <t>Averly</t>
  </si>
  <si>
    <t>Soft Close Storage Bench</t>
  </si>
  <si>
    <t>PF000767;PP000164</t>
  </si>
  <si>
    <t>CSNSTORES,HDDS,KIRKLANDDS,MACY02F,NEBFUR01,OVERSTOCK01,ROOMECOM,ZOLA</t>
  </si>
  <si>
    <t>MP105-0189</t>
  </si>
  <si>
    <t>Ashcroft</t>
  </si>
  <si>
    <t>Jaxon</t>
  </si>
  <si>
    <t>Jayden</t>
  </si>
  <si>
    <t>PF001127</t>
  </si>
  <si>
    <t>AMERSIGNDS,ASHFURNDS,CSNSTORES,HDDS,KIRKLANDDS,LAMPDS,OVERSTOCK01</t>
  </si>
  <si>
    <t>MP105-0998</t>
  </si>
  <si>
    <t>CSNSTORES,KIRKLANDDS,LAMPDS,OVERSTOCK01,ROOMECOM,TGTDVS</t>
  </si>
  <si>
    <t>MP105-0614</t>
  </si>
  <si>
    <t>Crawford</t>
  </si>
  <si>
    <t>Maye</t>
  </si>
  <si>
    <t>Neale</t>
  </si>
  <si>
    <t>PP000742</t>
  </si>
  <si>
    <t>CASTLEGATE,CSNSTORES,HDDS,ZOLA</t>
  </si>
  <si>
    <t>MP105-1087</t>
  </si>
  <si>
    <t>Farrah</t>
  </si>
  <si>
    <t>Lovisa</t>
  </si>
  <si>
    <t>Lianna</t>
  </si>
  <si>
    <t>12/30/2020</t>
  </si>
  <si>
    <t>CSNSTORES,KIRKLANDDS,MACY02F,OVERSTOCK01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</si>
  <si>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</si>
  <si>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</si>
  <si>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</si>
  <si>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</si>
  <si>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</si>
  <si>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</si>
  <si>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CSNSTORES,HDDS,JCPENNEY01,OVERSTOCK01,ROOMECOM,TGTDVS</t>
  </si>
  <si>
    <t>MP105-0806</t>
  </si>
  <si>
    <t>Heath</t>
  </si>
  <si>
    <t>Denali</t>
  </si>
  <si>
    <t>Sunnycrest</t>
  </si>
  <si>
    <t>Soft Close Storage Accent Bench</t>
  </si>
  <si>
    <t>PP001151</t>
  </si>
  <si>
    <t>4/16/2019</t>
  </si>
  <si>
    <t>CSNSTORES,KOHLDSN,MACY02F,ROOMECOM</t>
  </si>
  <si>
    <t>7/27/2019</t>
  </si>
  <si>
    <t>MP105-1222</t>
  </si>
  <si>
    <t>Ivan</t>
  </si>
  <si>
    <t>Leland</t>
  </si>
  <si>
    <t>Accent Bench with Lower Shelf</t>
  </si>
  <si>
    <t>FPF18-0195</t>
  </si>
  <si>
    <t>Shandra II</t>
  </si>
  <si>
    <t>Tessa</t>
  </si>
  <si>
    <t>Tahlia</t>
  </si>
  <si>
    <t>PF000635;PP000260</t>
  </si>
  <si>
    <t>3/5/2024</t>
  </si>
  <si>
    <t>AMAZONDS,AMERSIGNDS,CASTLEGATE,CSNSTORES,HDDS,KOHLDSN</t>
  </si>
  <si>
    <t>FPF18-0502</t>
  </si>
  <si>
    <t>PF000752;PP000260</t>
  </si>
  <si>
    <t>AMERSIGNDS,CSNSTORES,KOHLDSN,MACY02F,NEBFUR01,OVERSTOCK01,Zulily</t>
  </si>
  <si>
    <t>7/20/2016</t>
  </si>
  <si>
    <t>FPF18-0503</t>
  </si>
  <si>
    <t>PF000753;PP000260</t>
  </si>
  <si>
    <t>8/8/2016</t>
  </si>
  <si>
    <t>FUR105-0042</t>
  </si>
  <si>
    <t>PF000818;PP000260</t>
  </si>
  <si>
    <t>ASHFURNDS,CASTLEGATE,KIRKLANDDS,OVERSTOCK01</t>
  </si>
  <si>
    <t>FPF18-0197</t>
  </si>
  <si>
    <t>PF000636;PP000260</t>
  </si>
  <si>
    <t>3/12/2024</t>
  </si>
  <si>
    <t>AMAZONDS,AMERSIGNDS,ASHFURNDS,CASTLEGATE,HDDS,JCPENNEY01,OVERSTOCK01,ROOMECOM</t>
  </si>
  <si>
    <t>2/17/2015</t>
  </si>
  <si>
    <t>MP105-1192</t>
  </si>
  <si>
    <t>BENCH</t>
  </si>
  <si>
    <t>Linea</t>
  </si>
  <si>
    <t>Irvington</t>
  </si>
  <si>
    <t>Lyndale</t>
  </si>
  <si>
    <t>Upholstered Modern Accent Bench</t>
  </si>
  <si>
    <t>12/12/2022</t>
  </si>
  <si>
    <t>MP105-1140</t>
  </si>
  <si>
    <t>Boyden</t>
  </si>
  <si>
    <t>Stellar</t>
  </si>
  <si>
    <t>Charmaine</t>
  </si>
  <si>
    <t>Upholstered Soft Close Storage Bench with Gold Metal Legs</t>
  </si>
  <si>
    <t>3/23/2022</t>
  </si>
  <si>
    <t>MP105-1185</t>
  </si>
  <si>
    <t>Bradford</t>
  </si>
  <si>
    <t>Julie</t>
  </si>
  <si>
    <t>Blakely</t>
  </si>
  <si>
    <t>Upholstered Accent Bench</t>
  </si>
  <si>
    <t>MP105-1213</t>
  </si>
  <si>
    <t>Klara</t>
  </si>
  <si>
    <t>Edgar</t>
  </si>
  <si>
    <t>Hugo</t>
  </si>
  <si>
    <t>Wood and Upholstered Soft Close Storage Bench</t>
  </si>
  <si>
    <t>Brown/Tan</t>
  </si>
  <si>
    <t>4/18/2023</t>
  </si>
  <si>
    <t>MP105-1122</t>
  </si>
  <si>
    <t>CSNSTORES,HDDS,JCPENNEY01,KOHLDSN,OVERSTOCK01,TGTDVS</t>
  </si>
  <si>
    <t>MP101-0984</t>
  </si>
  <si>
    <t>OTTOMAN</t>
  </si>
  <si>
    <t>Lindsey</t>
  </si>
  <si>
    <t>Alice</t>
  </si>
  <si>
    <t>Kylie</t>
  </si>
  <si>
    <t>Tufted Square Cocktail Ottoman</t>
  </si>
  <si>
    <t>5/18/2020</t>
  </si>
  <si>
    <t>CSNSTORES,JCPENNEY01,KIRKLANDDS,MACY02F,OVERSTOCK01</t>
  </si>
  <si>
    <t>FPF18-0200</t>
  </si>
  <si>
    <t>PF000637;PP000193</t>
  </si>
  <si>
    <t>AMAZONDS,CASTLEGATE,MACY02F,OVERSTOCK01,ROOMECOM</t>
  </si>
  <si>
    <t>MP101-1137</t>
  </si>
  <si>
    <t>1/10/2022</t>
  </si>
  <si>
    <t>FPF18-0255</t>
  </si>
  <si>
    <t>Aspen</t>
  </si>
  <si>
    <t>Isaac</t>
  </si>
  <si>
    <t>Soft Close Storage Ottoman</t>
  </si>
  <si>
    <t>PF000679;PP000088</t>
  </si>
  <si>
    <t>AMERSIGNDS,CSNSTORES,KIRKLANDDS,MACY02F,NEBFUR01,OVERSTOCK01,TGTDVS,ZOLA,Zulily</t>
  </si>
  <si>
    <t>12/31/2015</t>
  </si>
  <si>
    <t>6/2/2015</t>
  </si>
  <si>
    <t>MP101-1002</t>
  </si>
  <si>
    <t>9/1/2020</t>
  </si>
  <si>
    <t>FPF18-0256</t>
  </si>
  <si>
    <t>PF000680;PP000088</t>
  </si>
  <si>
    <t>AMERSIGNDS,CASTLEGATE,CSNSTORES,LAMPDS,ROOMECOM,TGTDVS</t>
  </si>
  <si>
    <t>6/9/2015</t>
  </si>
  <si>
    <t>FPF18-0241</t>
  </si>
  <si>
    <t>Carlyle</t>
  </si>
  <si>
    <t>Effie</t>
  </si>
  <si>
    <t>Reese</t>
  </si>
  <si>
    <t>Cocktail Square Ottoman</t>
  </si>
  <si>
    <t>PF000668;PP000113</t>
  </si>
  <si>
    <t>7/14/2015</t>
  </si>
  <si>
    <t>FPF18-0228</t>
  </si>
  <si>
    <t>Adam</t>
  </si>
  <si>
    <t>Bowen</t>
  </si>
  <si>
    <t>Storage Ottoman</t>
  </si>
  <si>
    <t>PF000660;PP000132</t>
  </si>
  <si>
    <t>2/13/2015</t>
  </si>
  <si>
    <t>MP101-0199</t>
  </si>
  <si>
    <t>Ferris</t>
  </si>
  <si>
    <t>Aberdeen</t>
  </si>
  <si>
    <t>Oval Ottoman</t>
  </si>
  <si>
    <t>PF001087</t>
  </si>
  <si>
    <t>MP101-0712</t>
  </si>
  <si>
    <t>8/2/2018</t>
  </si>
  <si>
    <t>CASTLEGATE,CSNSTORES,DESINC,KIRKLANDDS</t>
  </si>
  <si>
    <t>MP101-1214</t>
  </si>
  <si>
    <t>Harriet</t>
  </si>
  <si>
    <t>Madrona</t>
  </si>
  <si>
    <t>Loring</t>
  </si>
  <si>
    <t>Upholstered Round Cocktail Ottoman with Metal Base 34" Dia</t>
  </si>
  <si>
    <t>FPF18-0090</t>
  </si>
  <si>
    <t>Kelsey</t>
  </si>
  <si>
    <t>Avery</t>
  </si>
  <si>
    <t>Round Pouf Ottoman</t>
  </si>
  <si>
    <t>PF000595;PP000187</t>
  </si>
  <si>
    <t>AMAZONDS,CSNSTORES,KIRKLANDDS,ROOMECOM</t>
  </si>
  <si>
    <t>FPF18-0169</t>
  </si>
  <si>
    <t>PF000628;PP000187</t>
  </si>
  <si>
    <t>MP101-0893</t>
  </si>
  <si>
    <t>PP000187</t>
  </si>
  <si>
    <t>7/9/2019</t>
  </si>
  <si>
    <t>AMERSIGNDS,CASTLEGATE,KIRKLANDDS,OVERSTOCK01</t>
  </si>
  <si>
    <t>MP101-0214</t>
  </si>
  <si>
    <t>PF001090;PP000187</t>
  </si>
  <si>
    <t>ASHFURNDS,CASTLEGATE,CSNSTORES,KOHLDSN</t>
  </si>
  <si>
    <t>11/9/2017</t>
  </si>
  <si>
    <t>MP101-0213</t>
  </si>
  <si>
    <t>PF001089;PP000187</t>
  </si>
  <si>
    <t>11/13/2017</t>
  </si>
  <si>
    <t>MP101-1132</t>
  </si>
  <si>
    <t>Kipling</t>
  </si>
  <si>
    <t>Alina</t>
  </si>
  <si>
    <t>Blake</t>
  </si>
  <si>
    <t>Oval Cocktail Ottoman</t>
  </si>
  <si>
    <t>Dark Grey</t>
  </si>
  <si>
    <t>1/19/2022</t>
  </si>
  <si>
    <t>Zulily</t>
  </si>
  <si>
    <t>FUR101-0044</t>
  </si>
  <si>
    <t>Martin</t>
  </si>
  <si>
    <t>Mathew</t>
  </si>
  <si>
    <t>Surfboard Tufted Ottoman</t>
  </si>
  <si>
    <t>PF000815;PP000207</t>
  </si>
  <si>
    <t>12/30/2016</t>
  </si>
  <si>
    <t>FPF18-0263</t>
  </si>
  <si>
    <t>PF000684;PP000207</t>
  </si>
  <si>
    <t>4/7/2024</t>
  </si>
  <si>
    <t>AMAZONDS,CASTLEGATE,KIRKLANDDS,OVERSTOCK01,ROOMECOM</t>
  </si>
  <si>
    <t>4/15/2015</t>
  </si>
  <si>
    <t>MP101-0711</t>
  </si>
  <si>
    <t>KIRKLANDDS,ROOMECOM</t>
  </si>
  <si>
    <t>FPF18-0264</t>
  </si>
  <si>
    <t>PF000685;PP000207</t>
  </si>
  <si>
    <t>AMAZONDS,KIRKLANDDS,MACY02F,NEBFUR01,OVERSTOCK01</t>
  </si>
  <si>
    <t>4/28/2015</t>
  </si>
  <si>
    <t>MP101-0226</t>
  </si>
  <si>
    <t>Miller</t>
  </si>
  <si>
    <t>Javier</t>
  </si>
  <si>
    <t>Millie</t>
  </si>
  <si>
    <t>Round Storage Ottoman</t>
  </si>
  <si>
    <t>Cream/Brown</t>
  </si>
  <si>
    <t>PF000281;PP000213</t>
  </si>
  <si>
    <t>6/9/2017</t>
  </si>
  <si>
    <t>9/18/2017</t>
  </si>
  <si>
    <t>MP101-0225</t>
  </si>
  <si>
    <t>Denim/Brown</t>
  </si>
  <si>
    <t>PF000280;PP000213</t>
  </si>
  <si>
    <t>CSNSTORES,LAMPDS,OVERSTOCK01</t>
  </si>
  <si>
    <t>MP101-1045</t>
  </si>
  <si>
    <t>Light Grey/Brown</t>
  </si>
  <si>
    <t>8/21/2020</t>
  </si>
  <si>
    <t>OVERSTOCK01,ROOMECOM</t>
  </si>
  <si>
    <t>FPF18-0211</t>
  </si>
  <si>
    <t>Hazel</t>
  </si>
  <si>
    <t>Round Ottoman with Shoe Holder Insert</t>
  </si>
  <si>
    <t>PF000643;PP000255</t>
  </si>
  <si>
    <t>1/21/2015</t>
  </si>
  <si>
    <t>FPF18-0179</t>
  </si>
  <si>
    <t>Shelley</t>
  </si>
  <si>
    <t>Allison</t>
  </si>
  <si>
    <t>Keira</t>
  </si>
  <si>
    <t>Square Storage Ottoman with Pillows</t>
  </si>
  <si>
    <t>PF000632;PP000261</t>
  </si>
  <si>
    <t>1/6/2015</t>
  </si>
  <si>
    <t>MP101-1135</t>
  </si>
  <si>
    <t>Tracey</t>
  </si>
  <si>
    <t>Sally</t>
  </si>
  <si>
    <t>Faux Leather Cocktail Ottoman</t>
  </si>
  <si>
    <t>3/21/2022</t>
  </si>
  <si>
    <t>MP101-1164</t>
  </si>
  <si>
    <t>Square Shape Button-tufted Upholstered Metal Base Ottoman/Coffee Table</t>
  </si>
  <si>
    <t>4/19/2022</t>
  </si>
  <si>
    <t>CSNSTORES,JCPENNEY01,TGTDVS</t>
  </si>
  <si>
    <t>MP138-0128</t>
  </si>
  <si>
    <t>BOOKCASE/SHELF</t>
  </si>
  <si>
    <t>BOOKCASE</t>
  </si>
  <si>
    <t>Shelf / Bookcase</t>
  </si>
  <si>
    <t>PF001180;PP000227</t>
  </si>
  <si>
    <t>5/1/2017</t>
  </si>
  <si>
    <t>MP131-1061</t>
  </si>
  <si>
    <t>3/17/2024</t>
  </si>
  <si>
    <t>CSNSTORES,DESINC,KIRKLANDDS,OVERSTOCK01</t>
  </si>
  <si>
    <t>MP131-1179</t>
  </si>
  <si>
    <t>Darley</t>
  </si>
  <si>
    <t>Pagosa</t>
  </si>
  <si>
    <t>Callan</t>
  </si>
  <si>
    <t>3-Shelf Bookcase with Storage Cabinet</t>
  </si>
  <si>
    <t>7/21/2022</t>
  </si>
  <si>
    <t>MP131-0977</t>
  </si>
  <si>
    <t>Seymore</t>
  </si>
  <si>
    <t>Fort</t>
  </si>
  <si>
    <t>Winley</t>
  </si>
  <si>
    <t>Bookcase</t>
  </si>
  <si>
    <t>Brown/Bronze</t>
  </si>
  <si>
    <t>1/8/2020</t>
  </si>
  <si>
    <t>MP115-1240</t>
  </si>
  <si>
    <t>BED</t>
  </si>
  <si>
    <t>Baylor</t>
  </si>
  <si>
    <t>Cheshire</t>
  </si>
  <si>
    <t>Lotte</t>
  </si>
  <si>
    <t>Canopy Bed Queen</t>
  </si>
  <si>
    <t>10/19/2023</t>
  </si>
  <si>
    <t>MP133-0532</t>
  </si>
  <si>
    <t>BUFFET</t>
  </si>
  <si>
    <t>Folio</t>
  </si>
  <si>
    <t>Doughrty</t>
  </si>
  <si>
    <t>Tilden</t>
  </si>
  <si>
    <t>Buffet</t>
  </si>
  <si>
    <t>PP000633</t>
  </si>
  <si>
    <t>12/6/2017</t>
  </si>
  <si>
    <t>6/21/2018</t>
  </si>
  <si>
    <t>MP133-0533</t>
  </si>
  <si>
    <t>Arbor</t>
  </si>
  <si>
    <t>Bliss</t>
  </si>
  <si>
    <t>PP000634</t>
  </si>
  <si>
    <t>11/30/2017</t>
  </si>
  <si>
    <t>4/6/2018</t>
  </si>
  <si>
    <t>MP133-0713</t>
  </si>
  <si>
    <t>Verona</t>
  </si>
  <si>
    <t>Nevaeh</t>
  </si>
  <si>
    <t>Stella</t>
  </si>
  <si>
    <t>Dining Buffet Server Quaterfoil Design Kitchen Storage Cabinet with Mirrored Doors</t>
  </si>
  <si>
    <t>8/11/2018</t>
  </si>
  <si>
    <t>MP102-0854</t>
  </si>
  <si>
    <t>CHAISE</t>
  </si>
  <si>
    <t>Trinity</t>
  </si>
  <si>
    <t>Brett</t>
  </si>
  <si>
    <t>Peony</t>
  </si>
  <si>
    <t>Accent Chaise</t>
  </si>
  <si>
    <t>PP001194</t>
  </si>
  <si>
    <t>6/4/2019</t>
  </si>
  <si>
    <t>MP122-0923</t>
  </si>
  <si>
    <t>DESK</t>
  </si>
  <si>
    <t>Adela</t>
  </si>
  <si>
    <t>Andrea</t>
  </si>
  <si>
    <t>Adalyn</t>
  </si>
  <si>
    <t>Writing Desk</t>
  </si>
  <si>
    <t>FPF17-0188</t>
  </si>
  <si>
    <t>Desk</t>
  </si>
  <si>
    <t>PF000539;PP000121</t>
  </si>
  <si>
    <t>ASHFURNDS,ROOMECOM</t>
  </si>
  <si>
    <t>MP122-1136</t>
  </si>
  <si>
    <t>Kirtley</t>
  </si>
  <si>
    <t>Abram</t>
  </si>
  <si>
    <t>Writing Desk With Drawer</t>
  </si>
  <si>
    <t>MP122-0097</t>
  </si>
  <si>
    <t>PF001174;PP000227</t>
  </si>
  <si>
    <t>CASTLEGATE,CSNSTORES,LAMPDS,OVERSTOCK01</t>
  </si>
  <si>
    <t>2/8/2017</t>
  </si>
  <si>
    <t>MP122-0203</t>
  </si>
  <si>
    <t>Rigby</t>
  </si>
  <si>
    <t>Marion</t>
  </si>
  <si>
    <t>3 Drawer Writing Desk</t>
  </si>
  <si>
    <t>Pecan/Blue</t>
  </si>
  <si>
    <t>PF001175</t>
  </si>
  <si>
    <t>MP122-0900</t>
  </si>
  <si>
    <t>White/Pecan</t>
  </si>
  <si>
    <t>PP001311</t>
  </si>
  <si>
    <t>2/26/2020</t>
  </si>
  <si>
    <t>MP106-0383</t>
  </si>
  <si>
    <t>LOVESEAT &amp; SOFA</t>
  </si>
  <si>
    <t>SETTEE</t>
  </si>
  <si>
    <t>Calla</t>
  </si>
  <si>
    <t>Delaney</t>
  </si>
  <si>
    <t>Swoop Arm Settee</t>
  </si>
  <si>
    <t>Blue/Brown</t>
  </si>
  <si>
    <t>PF001132;PP000091</t>
  </si>
  <si>
    <t>10/19/2017</t>
  </si>
  <si>
    <t>MP106-0995</t>
  </si>
  <si>
    <t>Stanford</t>
  </si>
  <si>
    <t>Berkley</t>
  </si>
  <si>
    <t>Capella</t>
  </si>
  <si>
    <t>Settee</t>
  </si>
  <si>
    <t>6/26/2020</t>
  </si>
  <si>
    <t>MP106-0384</t>
  </si>
  <si>
    <t>PF001133;PP000266</t>
  </si>
  <si>
    <t>7/12/2017</t>
  </si>
  <si>
    <t>MP106-0897</t>
  </si>
  <si>
    <t>Willshire</t>
  </si>
  <si>
    <t>Garfield</t>
  </si>
  <si>
    <t>Edison</t>
  </si>
  <si>
    <t>Beige/ Reclaimed Natural</t>
  </si>
  <si>
    <t>PP001313</t>
  </si>
  <si>
    <t>9/2/2019</t>
  </si>
  <si>
    <t>MP109-0791</t>
  </si>
  <si>
    <t>OFFICE CHAIR</t>
  </si>
  <si>
    <t>Gable</t>
  </si>
  <si>
    <t>Klaus</t>
  </si>
  <si>
    <t>Office Chair</t>
  </si>
  <si>
    <t>6/24/2019</t>
  </si>
  <si>
    <t>II100-0360</t>
  </si>
  <si>
    <t>Kelly</t>
  </si>
  <si>
    <t>Light Brown</t>
  </si>
  <si>
    <t>AMERSIGNDS,ASHFURNDS,CASTLEGATE,CSNSTORES,MACY02F,OVERSTOCK01,ROOMECOM,ZOLA</t>
  </si>
  <si>
    <t>11/8/2018</t>
  </si>
  <si>
    <t>IIF18-0049</t>
  </si>
  <si>
    <t>Novak</t>
  </si>
  <si>
    <t>Lounge Chair</t>
  </si>
  <si>
    <t>PF000206</t>
  </si>
  <si>
    <t>ASHFURNDS,BLK01,CASTLEGATE,CSNSTORES,MACY02F,OVERSTOCK01,ROOMECOM,TGTDVS</t>
  </si>
  <si>
    <t>II110-0397</t>
  </si>
  <si>
    <t>2/28/2020</t>
  </si>
  <si>
    <t>CASTLEGATE,CSNSTORES,HDDS,JCPENNEY01,MACY02F,NEBFUR01,OVERSTOCK01,TGTDVS</t>
  </si>
  <si>
    <t>II100-0434</t>
  </si>
  <si>
    <t>12/1/2020</t>
  </si>
  <si>
    <t>CASTLEGATE,MACY02F,TGTDVS</t>
  </si>
  <si>
    <t>II110-0522</t>
  </si>
  <si>
    <t>II100-0435</t>
  </si>
  <si>
    <t>II100-0487</t>
  </si>
  <si>
    <t>2/8/2023</t>
  </si>
  <si>
    <t>II100-0166</t>
  </si>
  <si>
    <t>Rocket</t>
  </si>
  <si>
    <t>Lounge</t>
  </si>
  <si>
    <t>PF000128;PP000049</t>
  </si>
  <si>
    <t>4/12/2018</t>
  </si>
  <si>
    <t>II100-0088</t>
  </si>
  <si>
    <t>Blue/Pecan</t>
  </si>
  <si>
    <t>PF000121;PP000049</t>
  </si>
  <si>
    <t>12/12/2017</t>
  </si>
  <si>
    <t>II110-0396</t>
  </si>
  <si>
    <t>AMAZONDS,CASTLEGATE,CSNSTORES,JCPENNEY01,KIRKLANDDS,MACY02F,TGTDVS</t>
  </si>
  <si>
    <t>FPF18-0350</t>
  </si>
  <si>
    <t>PF000010;PP000049</t>
  </si>
  <si>
    <t>6/23/2016</t>
  </si>
  <si>
    <t>IIF18-0058</t>
  </si>
  <si>
    <t>PF000209;PP000049</t>
  </si>
  <si>
    <t>CSNSTORES,MACY02F,TGTDVS</t>
  </si>
  <si>
    <t>10/3/2016</t>
  </si>
  <si>
    <t>II100-0267</t>
  </si>
  <si>
    <t>Shasta</t>
  </si>
  <si>
    <t>PP000646</t>
  </si>
  <si>
    <t>1/11/2018</t>
  </si>
  <si>
    <t>7/9/2018</t>
  </si>
  <si>
    <t>II100-0078</t>
  </si>
  <si>
    <t>Scott</t>
  </si>
  <si>
    <t>Cream/Morrocco</t>
  </si>
  <si>
    <t>PF000836</t>
  </si>
  <si>
    <t>MACY02F,TGTDVS,ZOLA</t>
  </si>
  <si>
    <t>II100-0257</t>
  </si>
  <si>
    <t>10/24/2017</t>
  </si>
  <si>
    <t>HOUZZ,MACY02F</t>
  </si>
  <si>
    <t>2/11/2018</t>
  </si>
  <si>
    <t>II100-0219</t>
  </si>
  <si>
    <t>Boomerang</t>
  </si>
  <si>
    <t>PF000109</t>
  </si>
  <si>
    <t>CASTLEGATE,CSNSTORES,LAMPDS</t>
  </si>
  <si>
    <t>II100-0044</t>
  </si>
  <si>
    <t>Mustard Yellow/Pecan</t>
  </si>
  <si>
    <t>PF000109;PP000013</t>
  </si>
  <si>
    <t>6/20/2017</t>
  </si>
  <si>
    <t>FPF18-0414</t>
  </si>
  <si>
    <t>Crackle</t>
  </si>
  <si>
    <t>PF000018;PP000022</t>
  </si>
  <si>
    <t>4/12/2017</t>
  </si>
  <si>
    <t>IIF18-0054</t>
  </si>
  <si>
    <t>PF000207;PP000022</t>
  </si>
  <si>
    <t>AMERSIGNDS,CASTLEGATE,CSNSTORES,HDDS,OVERSTOCK01</t>
  </si>
  <si>
    <t>8/2/2016</t>
  </si>
  <si>
    <t>II100-0168</t>
  </si>
  <si>
    <t>PF000129;PP000022</t>
  </si>
  <si>
    <t>4/8/2018</t>
  </si>
  <si>
    <t>II100-0452</t>
  </si>
  <si>
    <t>Easton</t>
  </si>
  <si>
    <t>Low Profile Accent Chair</t>
  </si>
  <si>
    <t>2/15/2021</t>
  </si>
  <si>
    <t>II100-0048</t>
  </si>
  <si>
    <t>Taupe/Natural</t>
  </si>
  <si>
    <t>PF000111;PP000027</t>
  </si>
  <si>
    <t>CASTLEGATE,CSNSTORES,HOUZZ,LAMPDS,MACY02F,ROOMECOM</t>
  </si>
  <si>
    <t>1/4/2017</t>
  </si>
  <si>
    <t>II100-0291</t>
  </si>
  <si>
    <t>Madden</t>
  </si>
  <si>
    <t>1/27/2018</t>
  </si>
  <si>
    <t>II100-0486</t>
  </si>
  <si>
    <t>IIF18-0046</t>
  </si>
  <si>
    <t>Malibu</t>
  </si>
  <si>
    <t>PF000204;PP000035</t>
  </si>
  <si>
    <t>6/1/2016</t>
  </si>
  <si>
    <t>II100-0399</t>
  </si>
  <si>
    <t>10/13/2020</t>
  </si>
  <si>
    <t>II100-0488</t>
  </si>
  <si>
    <t>1/12/2023</t>
  </si>
  <si>
    <t>II100-0489</t>
  </si>
  <si>
    <t>Melbourne</t>
  </si>
  <si>
    <t>Light Blue/Natural</t>
  </si>
  <si>
    <t>6/22/2022</t>
  </si>
  <si>
    <t>IIF18-0142</t>
  </si>
  <si>
    <t>PF000219</t>
  </si>
  <si>
    <t>5/17/2017</t>
  </si>
  <si>
    <t>ROOMECOM,TGTDVS</t>
  </si>
  <si>
    <t>12/29/2016</t>
  </si>
  <si>
    <t>II110-0455</t>
  </si>
  <si>
    <t>Newport</t>
  </si>
  <si>
    <t>8/10/2021</t>
  </si>
  <si>
    <t>ASHFURNDS,CASTLEGATE,CSNSTORES,LAMPDS,OVERSTOCK01</t>
  </si>
  <si>
    <t>II100-0063</t>
  </si>
  <si>
    <t>PF000835;PP000045</t>
  </si>
  <si>
    <t>5/12/2017</t>
  </si>
  <si>
    <t>AMERSIGNDS,ASHFURNDS,CASTLEGATE,KIRKLANDDS,MACY02F,OVERSTOCK01</t>
  </si>
  <si>
    <t>12/9/2016</t>
  </si>
  <si>
    <t>II110-0391</t>
  </si>
  <si>
    <t>10/7/2019</t>
  </si>
  <si>
    <t>ASHFURNDS,CASTLEGATE,CSNSTORES,KOHLDSN,OVERSTOCK01</t>
  </si>
  <si>
    <t>II100-0382</t>
  </si>
  <si>
    <t>ASHFURNDS,CASTLEGATE,OVERSTOCK01</t>
  </si>
  <si>
    <t>II110-0388</t>
  </si>
  <si>
    <t>10/8/2019</t>
  </si>
  <si>
    <t>ASHFURNDS,CASTLEGATE,CSNSTORES,MACY02F,TGTDVS</t>
  </si>
  <si>
    <t>IIF18-0015</t>
  </si>
  <si>
    <t>Pale Green</t>
  </si>
  <si>
    <t>PF000954;PP000045</t>
  </si>
  <si>
    <t>Microfiber</t>
  </si>
  <si>
    <t>5/30/2016</t>
  </si>
  <si>
    <t>II100-0468</t>
  </si>
  <si>
    <t>1/3/2022</t>
  </si>
  <si>
    <t>CASTLEGATE,CSNSTORES,KOHLDSN,LAMPDS,OVERSTOCK01</t>
  </si>
  <si>
    <t>II100-0357</t>
  </si>
  <si>
    <t>Noe</t>
  </si>
  <si>
    <t>CASTLEGATE,CSNSTORES,HDDS</t>
  </si>
  <si>
    <t>7/30/2018</t>
  </si>
  <si>
    <t>II100-0324</t>
  </si>
  <si>
    <t>Sonia</t>
  </si>
  <si>
    <t>1/12/2018</t>
  </si>
  <si>
    <t>II100-0332</t>
  </si>
  <si>
    <t>Ventura</t>
  </si>
  <si>
    <t>CSNSTORES,HOUZZ,Zulily</t>
  </si>
  <si>
    <t>10/12/2018</t>
  </si>
  <si>
    <t>FPF18-0383</t>
  </si>
  <si>
    <t>Waldorf</t>
  </si>
  <si>
    <t>PF000016;PP000062</t>
  </si>
  <si>
    <t>ASHFURNDS,LAMPDS,ROOMECOM</t>
  </si>
  <si>
    <t>11/30/2016</t>
  </si>
  <si>
    <t>II100-0193</t>
  </si>
  <si>
    <t>CSNSTORES,NEBFUR01,ROOMECOM</t>
  </si>
  <si>
    <t>II100-0512</t>
  </si>
  <si>
    <t>Oslo</t>
  </si>
  <si>
    <t>Faux Leather Woven Accent Chair</t>
  </si>
  <si>
    <t>II100-0470</t>
  </si>
  <si>
    <t>Ryan</t>
  </si>
  <si>
    <t>Metal Frame Accent Chair</t>
  </si>
  <si>
    <t>II100-0495</t>
  </si>
  <si>
    <t>Handcrafted Rattan Upholstered Accent Arm Chair</t>
  </si>
  <si>
    <t>2/23/2023</t>
  </si>
  <si>
    <t>II100-0494</t>
  </si>
  <si>
    <t>Ferguson</t>
  </si>
  <si>
    <t>Faux Leather Accent Chair</t>
  </si>
  <si>
    <t>II100-0461</t>
  </si>
  <si>
    <t>Finley</t>
  </si>
  <si>
    <t>1/13/2022</t>
  </si>
  <si>
    <t>AMAZONDS,CSNSTORES,HDDS</t>
  </si>
  <si>
    <t>II100-0476</t>
  </si>
  <si>
    <t>Lacey</t>
  </si>
  <si>
    <t>Upholstered Button Tufted Accent Chair</t>
  </si>
  <si>
    <t>II100-0462</t>
  </si>
  <si>
    <t>Roxie</t>
  </si>
  <si>
    <t>FPF20-0338</t>
  </si>
  <si>
    <t>Tacoma</t>
  </si>
  <si>
    <t>24" Counter stool</t>
  </si>
  <si>
    <t>PF000794;PP000055</t>
  </si>
  <si>
    <t>5/23/2016</t>
  </si>
  <si>
    <t>II104-0251</t>
  </si>
  <si>
    <t>PP000055</t>
  </si>
  <si>
    <t>7/18/2018</t>
  </si>
  <si>
    <t>II104-0481</t>
  </si>
  <si>
    <t>Adams</t>
  </si>
  <si>
    <t>Faux Leather Swivel Counter Stool</t>
  </si>
  <si>
    <t>4/20/2022</t>
  </si>
  <si>
    <t>II104-0224</t>
  </si>
  <si>
    <t>PP000013</t>
  </si>
  <si>
    <t>12/28/2017</t>
  </si>
  <si>
    <t>II104-0480</t>
  </si>
  <si>
    <t>1/13/2023</t>
  </si>
  <si>
    <t>IIF20-0050</t>
  </si>
  <si>
    <t>PF000225;PP000022</t>
  </si>
  <si>
    <t>7/17/2016</t>
  </si>
  <si>
    <t>FPF20-0312</t>
  </si>
  <si>
    <t>Lancaster</t>
  </si>
  <si>
    <t>Counter Stool with Back</t>
  </si>
  <si>
    <t>Amber</t>
  </si>
  <si>
    <t>PF000784;PP000034</t>
  </si>
  <si>
    <t>6/2/2016</t>
  </si>
  <si>
    <t>II104-0429</t>
  </si>
  <si>
    <t>Oak/Silver</t>
  </si>
  <si>
    <t>11/10/2020</t>
  </si>
  <si>
    <t>AMAZONDS,AMERSIGNDS,CSNSTORES,JCPENNEY01,OVERSTOCK01</t>
  </si>
  <si>
    <t>II104-0490</t>
  </si>
  <si>
    <t>Marino</t>
  </si>
  <si>
    <t>Backless Upholstered Counter Stool 26"H</t>
  </si>
  <si>
    <t>1/10/2023</t>
  </si>
  <si>
    <t>II104-0370</t>
  </si>
  <si>
    <t>Oaktown</t>
  </si>
  <si>
    <t>Cream/Reclaimed Grey</t>
  </si>
  <si>
    <t>II104-0511</t>
  </si>
  <si>
    <t>Faux Leather Woven Counter Stool 24"H</t>
  </si>
  <si>
    <t>II104-0504</t>
  </si>
  <si>
    <t>Rogue</t>
  </si>
  <si>
    <t>Armless 360 Degree Swivel Counter Stool 25"H</t>
  </si>
  <si>
    <t>II101-0120</t>
  </si>
  <si>
    <t>TRESTLE</t>
  </si>
  <si>
    <t>Reclaimed Brown/ Gun Metal</t>
  </si>
  <si>
    <t>PF000846;PP000060</t>
  </si>
  <si>
    <t>7/7/2017</t>
  </si>
  <si>
    <t>3/9/2018</t>
  </si>
  <si>
    <t>IIF20-0051</t>
  </si>
  <si>
    <t>Barstool</t>
  </si>
  <si>
    <t>PF000226;PP000022</t>
  </si>
  <si>
    <t>7/28/2016</t>
  </si>
  <si>
    <t>II104-0378</t>
  </si>
  <si>
    <t>Frazier</t>
  </si>
  <si>
    <t>Counter Stool 24" With Back</t>
  </si>
  <si>
    <t>II104-0030</t>
  </si>
  <si>
    <t>Counter stool/Barstool (adjustable height)</t>
  </si>
  <si>
    <t>PF000847;PP000029</t>
  </si>
  <si>
    <t>CSNSTORES,OVERSTOCK01,TGTDVS,Zulily</t>
  </si>
  <si>
    <t>3/27/2017</t>
  </si>
  <si>
    <t>II104-0463</t>
  </si>
  <si>
    <t>Henrick</t>
  </si>
  <si>
    <t>II104-0210</t>
  </si>
  <si>
    <t>Backless Bar Stool with Swivel Seat</t>
  </si>
  <si>
    <t>PP000580</t>
  </si>
  <si>
    <t>7/15/2018</t>
  </si>
  <si>
    <t>IIF20-0106</t>
  </si>
  <si>
    <t>PF000981;PP000055</t>
  </si>
  <si>
    <t>II100-0041</t>
  </si>
  <si>
    <t>BAR STOOL|BARSTOOL</t>
  </si>
  <si>
    <t>Renu</t>
  </si>
  <si>
    <t>Bar Stool with Backrest</t>
  </si>
  <si>
    <t>PF000834;PP000048</t>
  </si>
  <si>
    <t>7/6/2017</t>
  </si>
  <si>
    <t>1/16/2017</t>
  </si>
  <si>
    <t>IIF20-0104</t>
  </si>
  <si>
    <t>BAR STOOL|DINING CHAIR</t>
  </si>
  <si>
    <t>Barstool with Back</t>
  </si>
  <si>
    <t>Amber/Graphite</t>
  </si>
  <si>
    <t>PF000980;PP000034</t>
  </si>
  <si>
    <t>4/11/2017</t>
  </si>
  <si>
    <t>8/22/2016</t>
  </si>
  <si>
    <t>IIF17-0045</t>
  </si>
  <si>
    <t>Coffee Table with Tempered Glass</t>
  </si>
  <si>
    <t>Pecan</t>
  </si>
  <si>
    <t>PF000178;PP000049</t>
  </si>
  <si>
    <t>II120-0425</t>
  </si>
  <si>
    <t>Mercer</t>
  </si>
  <si>
    <t>10/22/2020</t>
  </si>
  <si>
    <t>4/11/2024</t>
  </si>
  <si>
    <t>MACY02F,NEBFUR01</t>
  </si>
  <si>
    <t>FPF17-0356</t>
  </si>
  <si>
    <t>PP000039</t>
  </si>
  <si>
    <t>II120-0241</t>
  </si>
  <si>
    <t>Walker</t>
  </si>
  <si>
    <t>PF004043</t>
  </si>
  <si>
    <t>5/14/2018</t>
  </si>
  <si>
    <t>IIF17-0010</t>
  </si>
  <si>
    <t>Blaze</t>
  </si>
  <si>
    <t>Triangle Wood Coffee table</t>
  </si>
  <si>
    <t>PF000934;PP000012</t>
  </si>
  <si>
    <t>AMAZONDS,CSNSTORES,HOUZZ,OVERSTOCK01,ZOLA</t>
  </si>
  <si>
    <t>5/26/2016</t>
  </si>
  <si>
    <t>II120-0427</t>
  </si>
  <si>
    <t>II120-0553</t>
  </si>
  <si>
    <t>Honey</t>
  </si>
  <si>
    <t>Fluted Hexagon Coffee Table</t>
  </si>
  <si>
    <t>II120-0568</t>
  </si>
  <si>
    <t>Keegan</t>
  </si>
  <si>
    <t>Round Mixed Material Coffee Table with Shelf</t>
  </si>
  <si>
    <t>Oak/Marble</t>
  </si>
  <si>
    <t>6/28/2024</t>
  </si>
  <si>
    <t>IIF17-0148</t>
  </si>
  <si>
    <t>Milo</t>
  </si>
  <si>
    <t>PP000041</t>
  </si>
  <si>
    <t>5/10/2017</t>
  </si>
  <si>
    <t>5/28/2017</t>
  </si>
  <si>
    <t>FPF17-0346</t>
  </si>
  <si>
    <t>Sheridan</t>
  </si>
  <si>
    <t>Oval coffee Table</t>
  </si>
  <si>
    <t>PF000547;PP000050</t>
  </si>
  <si>
    <t>ASHFURNDS,KIRKLANDDS,MACY02F,OVERSTOCK01,ROOMECOM</t>
  </si>
  <si>
    <t>II120-0404</t>
  </si>
  <si>
    <t>Wilson</t>
  </si>
  <si>
    <t>9/2/2020</t>
  </si>
  <si>
    <t>II120-0265</t>
  </si>
  <si>
    <t>Counter Table</t>
  </si>
  <si>
    <t>11/7/2017</t>
  </si>
  <si>
    <t>CSNSTORES,LAMPDS,OVERSTOCK01,ROOMECOM</t>
  </si>
  <si>
    <t>FPF17-0296</t>
  </si>
  <si>
    <t>Triangle Wood Side Table</t>
  </si>
  <si>
    <t>PF000578;PP000012</t>
  </si>
  <si>
    <t>AMAZONDS,ASHFURNDS,CSNSTORES,DESINC,HOUZZ,JCPENNEY01,OVERSTOCK01,TGTDVS,ZOLA,Zulily</t>
  </si>
  <si>
    <t>II120-0428</t>
  </si>
  <si>
    <t>AMAZONDS,CSNSTORES,HOUZZ,LAMPDS,OVERSTOCK01,TGTDVS</t>
  </si>
  <si>
    <t>IIF17-0149</t>
  </si>
  <si>
    <t>7/5/2017</t>
  </si>
  <si>
    <t>II120-0465</t>
  </si>
  <si>
    <t>Evan</t>
  </si>
  <si>
    <t>Round Glass Coffee Table</t>
  </si>
  <si>
    <t>1/14/2022</t>
  </si>
  <si>
    <t>FPF20-0322</t>
  </si>
  <si>
    <t>Monterey</t>
  </si>
  <si>
    <t>64" Console Table</t>
  </si>
  <si>
    <t>64"W</t>
  </si>
  <si>
    <t>PF000791;PP000043</t>
  </si>
  <si>
    <t>3/7/2024</t>
  </si>
  <si>
    <t>CASTLEGATE,CSNSTORES,HDDS,LAMPDS,OVERSTOCK01</t>
  </si>
  <si>
    <t>II120-0509</t>
  </si>
  <si>
    <t>54" Console table</t>
  </si>
  <si>
    <t>54"W</t>
  </si>
  <si>
    <t>2/24/2023</t>
  </si>
  <si>
    <t>II120-0459</t>
  </si>
  <si>
    <t>12/8/2021</t>
  </si>
  <si>
    <t>CSNSTORES,KIRKLANDDS,OVERSTOCK01,TGTDVS</t>
  </si>
  <si>
    <t>II120-0575</t>
  </si>
  <si>
    <t>II120-0566</t>
  </si>
  <si>
    <t>Skye</t>
  </si>
  <si>
    <t>Round Coffee Table with Shelf</t>
  </si>
  <si>
    <t>II105-0525</t>
  </si>
  <si>
    <t>Bailey</t>
  </si>
  <si>
    <t>Boucle Flip Top Storage Bench</t>
  </si>
  <si>
    <t>6/8/2023</t>
  </si>
  <si>
    <t>II105-0090</t>
  </si>
  <si>
    <t>Bench</t>
  </si>
  <si>
    <t>PF000140;PP000013</t>
  </si>
  <si>
    <t>7/18/2017</t>
  </si>
  <si>
    <t>II105-0401</t>
  </si>
  <si>
    <t>9/28/2020</t>
  </si>
  <si>
    <t>CSNSTORES,KIRKLANDDS,LAMPDS,MACY02F,OVERSTOCK01</t>
  </si>
  <si>
    <t>II105-0256</t>
  </si>
  <si>
    <t>Seadrift</t>
  </si>
  <si>
    <t>PF004044</t>
  </si>
  <si>
    <t>AMAZONDS,BLK01,HOUZZ,KIRKLANDDS,MACY02F,OVERSTOCK01</t>
  </si>
  <si>
    <t>II105-0562</t>
  </si>
  <si>
    <t>Steve</t>
  </si>
  <si>
    <t>Boucle Waterfall Bench</t>
  </si>
  <si>
    <t>42"W</t>
  </si>
  <si>
    <t>II105-0567</t>
  </si>
  <si>
    <t>52"W</t>
  </si>
  <si>
    <t>II105-0524</t>
  </si>
  <si>
    <t>PP001874</t>
  </si>
  <si>
    <t>6/13/2023</t>
  </si>
  <si>
    <t>II105-0569</t>
  </si>
  <si>
    <t>II105-0466</t>
  </si>
  <si>
    <t>April</t>
  </si>
  <si>
    <t>II105-0546</t>
  </si>
  <si>
    <t>Arcadia</t>
  </si>
  <si>
    <t>Accent Bench with Storage and Upholstered Cushion</t>
  </si>
  <si>
    <t>Walnut Brown</t>
  </si>
  <si>
    <t>II105-0460</t>
  </si>
  <si>
    <t>Marcie</t>
  </si>
  <si>
    <t>II130-0497</t>
  </si>
  <si>
    <t>Seagate</t>
  </si>
  <si>
    <t>Handcrafted Seagrass 2-Door Accent chest</t>
  </si>
  <si>
    <t>II130-0406</t>
  </si>
  <si>
    <t>Krista</t>
  </si>
  <si>
    <t>Accent Cabinet</t>
  </si>
  <si>
    <t>II125-0458</t>
  </si>
  <si>
    <t>Wynn</t>
  </si>
  <si>
    <t>Pull Up Table</t>
  </si>
  <si>
    <t>3/10/2022</t>
  </si>
  <si>
    <t>CSNSTORES,KIRKLANDDS,KOHLDSN</t>
  </si>
  <si>
    <t>IIF17-0009</t>
  </si>
  <si>
    <t>Jayce</t>
  </si>
  <si>
    <t>Mid Century Wood End table</t>
  </si>
  <si>
    <t>PF000933</t>
  </si>
  <si>
    <t>7/8/2016</t>
  </si>
  <si>
    <t>FPF17-0324</t>
  </si>
  <si>
    <t>PF000580;PP000066</t>
  </si>
  <si>
    <t>AMAZONDS,CSNSTORES,KOHLDSN,OVERSTOCK01,ROOMECOM,ZOLA</t>
  </si>
  <si>
    <t>IIF17-0082</t>
  </si>
  <si>
    <t>OCCASIONAL TABLE|PEDESTAL</t>
  </si>
  <si>
    <t>30" Pedestal</t>
  </si>
  <si>
    <t>IIF19-0030</t>
  </si>
  <si>
    <t>Clark</t>
  </si>
  <si>
    <t>Bed with 2 Nightstands</t>
  </si>
  <si>
    <t>PP000018</t>
  </si>
  <si>
    <t>IIF19-0031</t>
  </si>
  <si>
    <t>8/5/2017</t>
  </si>
  <si>
    <t>2/9/2018</t>
  </si>
  <si>
    <t>II115-0555</t>
  </si>
  <si>
    <t>Jameson</t>
  </si>
  <si>
    <t>Woven Faux Leather Bed Queen</t>
  </si>
  <si>
    <t>12/21/2023</t>
  </si>
  <si>
    <t>II115-0417</t>
  </si>
  <si>
    <t>Mallory</t>
  </si>
  <si>
    <t xml:space="preserve">Mallory </t>
  </si>
  <si>
    <t>Queen Bed</t>
  </si>
  <si>
    <t>1/13/2021</t>
  </si>
  <si>
    <t>II115-0432</t>
  </si>
  <si>
    <t>King Bed</t>
  </si>
  <si>
    <t>II115-0419</t>
  </si>
  <si>
    <t>2/17/2022</t>
  </si>
  <si>
    <t>II115-0502</t>
  </si>
  <si>
    <t>Sunset Cliff</t>
  </si>
  <si>
    <t>Wood Queen Bed</t>
  </si>
  <si>
    <t>5/18/2023</t>
  </si>
  <si>
    <t>II122-0033</t>
  </si>
  <si>
    <t>PF000894;PP000034</t>
  </si>
  <si>
    <t>II122-0451</t>
  </si>
  <si>
    <t>Reclaimed White</t>
  </si>
  <si>
    <t>2/11/2021</t>
  </si>
  <si>
    <t>II112-0520</t>
  </si>
  <si>
    <t>DINING BENCH</t>
  </si>
  <si>
    <t>Frank</t>
  </si>
  <si>
    <t>Dining Bench</t>
  </si>
  <si>
    <t>II105-0313</t>
  </si>
  <si>
    <t>Sonoma</t>
  </si>
  <si>
    <t>4/15/2019</t>
  </si>
  <si>
    <t>II112-0447</t>
  </si>
  <si>
    <t>5/28/2021</t>
  </si>
  <si>
    <t>AMAZONDS,CSNSTORES,KOHLDSN</t>
  </si>
  <si>
    <t>IIF20-0057</t>
  </si>
  <si>
    <t>Brooklyn</t>
  </si>
  <si>
    <t>Dining Arm Chair (Set of 2)</t>
  </si>
  <si>
    <t>PF000231;PP000014</t>
  </si>
  <si>
    <t>KIRKLANDDS,OVERSTOCK01</t>
  </si>
  <si>
    <t>11/14/2016</t>
  </si>
  <si>
    <t>II100-0031</t>
  </si>
  <si>
    <t>Dining Chair(Set of 2)</t>
  </si>
  <si>
    <t>PF000832;PP000029</t>
  </si>
  <si>
    <t>2/21/2017</t>
  </si>
  <si>
    <t>FPF20-0377</t>
  </si>
  <si>
    <t>Dining Chair</t>
  </si>
  <si>
    <t>PF000795;PP000034</t>
  </si>
  <si>
    <t>II100-0117</t>
  </si>
  <si>
    <t>Nola</t>
  </si>
  <si>
    <t>Orange/Dark Brown</t>
  </si>
  <si>
    <t>PF000127</t>
  </si>
  <si>
    <t>FPF20-0337</t>
  </si>
  <si>
    <t>PF000793;PP000055</t>
  </si>
  <si>
    <t>II108-0523</t>
  </si>
  <si>
    <t>Benson</t>
  </si>
  <si>
    <t>Upholstered Dining Chairs with Arms (Set of 2)</t>
  </si>
  <si>
    <t>IIF20-0040</t>
  </si>
  <si>
    <t>PF000220;PP000013</t>
  </si>
  <si>
    <t>II108-0223</t>
  </si>
  <si>
    <t>II108-0521</t>
  </si>
  <si>
    <t>Upholstered Dining Chair (Set of 2)</t>
  </si>
  <si>
    <t>6/28/2023</t>
  </si>
  <si>
    <t>II108-0508</t>
  </si>
  <si>
    <t>Armless Dining Chair Set of 2</t>
  </si>
  <si>
    <t>II108-0364</t>
  </si>
  <si>
    <t>CASTLEGATE,HDDS,JCPENNEY01,MACY02F,OVERSTOCK01,TGTDVS</t>
  </si>
  <si>
    <t>II108-0500</t>
  </si>
  <si>
    <t>Lemmy</t>
  </si>
  <si>
    <t>Armless Upholstered Dining Chair Set of 2</t>
  </si>
  <si>
    <t>12/16/2022</t>
  </si>
  <si>
    <t>II108-0469</t>
  </si>
  <si>
    <t>Nadia</t>
  </si>
  <si>
    <t>II108-0371</t>
  </si>
  <si>
    <t>CSNSTORES,DESINC,HDDS,HOUZZ,JCPENNEY01,OVERSTOCK01,TGTDVS</t>
  </si>
  <si>
    <t>9/30/2019</t>
  </si>
  <si>
    <t>II108-0479</t>
  </si>
  <si>
    <t>5/19/2022</t>
  </si>
  <si>
    <t>II108-0457</t>
  </si>
  <si>
    <t>Oliver</t>
  </si>
  <si>
    <t>Dining Side Chair Set of 2</t>
  </si>
  <si>
    <t>Cream/Grey</t>
  </si>
  <si>
    <t>3/15/2022</t>
  </si>
  <si>
    <t>CSNSTORES,DESINC</t>
  </si>
  <si>
    <t>II108-0317</t>
  </si>
  <si>
    <t>Dining Side Chair(Set of 2pcs)</t>
  </si>
  <si>
    <t>7/10/2018</t>
  </si>
  <si>
    <t>II108-0510</t>
  </si>
  <si>
    <t>Faux Leather Woven Dining Chairs Set of 2</t>
  </si>
  <si>
    <t>II108-0314</t>
  </si>
  <si>
    <t xml:space="preserve">Dining  Side Chair(Set of 2pcs)</t>
  </si>
  <si>
    <t>8/20/2018</t>
  </si>
  <si>
    <t>II108-0450</t>
  </si>
  <si>
    <t>5/4/2021</t>
  </si>
  <si>
    <t>II108-0449</t>
  </si>
  <si>
    <t>5/3/2021</t>
  </si>
  <si>
    <t>IIF20-0028</t>
  </si>
  <si>
    <t>Round Dining/Pub Table</t>
  </si>
  <si>
    <t>PF000975;PP000018</t>
  </si>
  <si>
    <t>II121-0501</t>
  </si>
  <si>
    <t>II121-0519</t>
  </si>
  <si>
    <t>Dining Table 76"</t>
  </si>
  <si>
    <t>II121-0499</t>
  </si>
  <si>
    <t>Kennedy</t>
  </si>
  <si>
    <t>44" Round Dining Table</t>
  </si>
  <si>
    <t>IIF20-0023</t>
  </si>
  <si>
    <t>Rectangle Dining Table</t>
  </si>
  <si>
    <t>PP000034</t>
  </si>
  <si>
    <t>2/24/2024</t>
  </si>
  <si>
    <t>II121-0036</t>
  </si>
  <si>
    <t>Round Dining/Gathering Table</t>
  </si>
  <si>
    <t>PF000886;PP000034</t>
  </si>
  <si>
    <t>II121-0433</t>
  </si>
  <si>
    <t>II121-0417</t>
  </si>
  <si>
    <t>Oval Dining Table</t>
  </si>
  <si>
    <t>2/18/2024</t>
  </si>
  <si>
    <t>II121-0315</t>
  </si>
  <si>
    <t>Extension Dining Table</t>
  </si>
  <si>
    <t>5/25/2019</t>
  </si>
  <si>
    <t>II121-0039</t>
  </si>
  <si>
    <t>Round Bar Table</t>
  </si>
  <si>
    <t>PF000887;PP000048</t>
  </si>
  <si>
    <t>II121-0311</t>
  </si>
  <si>
    <t>CASTLEGATE,CSNSTORES,HOUZZ,KIRKLANDDS,OVERSTOCK01</t>
  </si>
  <si>
    <t>II121-0446</t>
  </si>
  <si>
    <t>II121-0445</t>
  </si>
  <si>
    <t>IIF19-0021</t>
  </si>
  <si>
    <t>DRESSER/CHEST</t>
  </si>
  <si>
    <t>DRESSER</t>
  </si>
  <si>
    <t>3 Drawer Dresser</t>
  </si>
  <si>
    <t>PF000965;PP000034</t>
  </si>
  <si>
    <t>5/16/2018</t>
  </si>
  <si>
    <t>II116-0070</t>
  </si>
  <si>
    <t>Light Brown Multi/Gun Metal</t>
  </si>
  <si>
    <t>PF000864;PP000048</t>
  </si>
  <si>
    <t>8/29/2017</t>
  </si>
  <si>
    <t>II116-0496</t>
  </si>
  <si>
    <t>Handcrafted Seagrass Headboard Queen</t>
  </si>
  <si>
    <t>Global Inspired|Transitional</t>
  </si>
  <si>
    <t>CSNSTORES,ZOLA</t>
  </si>
  <si>
    <t>II116-0231</t>
  </si>
  <si>
    <t>PF004058</t>
  </si>
  <si>
    <t>IIF18-0016</t>
  </si>
  <si>
    <t>Loveseat</t>
  </si>
  <si>
    <t>PF000955;PP000045</t>
  </si>
  <si>
    <t>9/23/2022</t>
  </si>
  <si>
    <t>IIF18-0096</t>
  </si>
  <si>
    <t>Sofa</t>
  </si>
  <si>
    <t>PF000957;PP000045</t>
  </si>
  <si>
    <t>II106-0226</t>
  </si>
  <si>
    <t>PF000143</t>
  </si>
  <si>
    <t>12/30/2017</t>
  </si>
  <si>
    <t>4/29/2018</t>
  </si>
  <si>
    <t>FPF18-0351</t>
  </si>
  <si>
    <t>PF000011;PP000049</t>
  </si>
  <si>
    <t>6/20/2016</t>
  </si>
  <si>
    <t>II103-0498</t>
  </si>
  <si>
    <t>Bonn</t>
  </si>
  <si>
    <t>II103-0564</t>
  </si>
  <si>
    <t>II103-0563</t>
  </si>
  <si>
    <t>II103-0355</t>
  </si>
  <si>
    <t>Nina</t>
  </si>
  <si>
    <t>Swivel Lounge Chair, Star Based Swivel</t>
  </si>
  <si>
    <t>II136-0554</t>
  </si>
  <si>
    <t>NIGHTSTAND</t>
  </si>
  <si>
    <t>Modern One Drawer Waterfall Nightstand</t>
  </si>
  <si>
    <t>12/29/2023</t>
  </si>
  <si>
    <t>II136-0456</t>
  </si>
  <si>
    <t>Jeremy</t>
  </si>
  <si>
    <t>Storage Nightstand</t>
  </si>
  <si>
    <t>Off-White/Grey</t>
  </si>
  <si>
    <t>3/9/2022</t>
  </si>
  <si>
    <t>II136-0308</t>
  </si>
  <si>
    <t>Off-White/Navy</t>
  </si>
  <si>
    <t>7/5/2018</t>
  </si>
  <si>
    <t>IIF19-0020</t>
  </si>
  <si>
    <t>Nightstand</t>
  </si>
  <si>
    <t>PF000964;PP000034</t>
  </si>
  <si>
    <t>CSNSTORES,KOHLDSN,LAMPDS,OVERSTOCK01</t>
  </si>
  <si>
    <t>4/9/2018</t>
  </si>
  <si>
    <t>II136-0418</t>
  </si>
  <si>
    <t>II136-0067</t>
  </si>
  <si>
    <t>Solid Wood Nightstand</t>
  </si>
  <si>
    <t>Light Brown Multi</t>
  </si>
  <si>
    <t>PF000903;PP000048</t>
  </si>
  <si>
    <t>5/15/2017</t>
  </si>
  <si>
    <t>II136-0398</t>
  </si>
  <si>
    <t>11/26/2019</t>
  </si>
  <si>
    <t>II136-0307</t>
  </si>
  <si>
    <t>Stinson</t>
  </si>
  <si>
    <t>II136-0503</t>
  </si>
  <si>
    <t>1-Drawer Nightstand with Shelf</t>
  </si>
  <si>
    <t>II109-0493</t>
  </si>
  <si>
    <t>Faux Leather Armless Office Chair</t>
  </si>
  <si>
    <t>II101-0288</t>
  </si>
  <si>
    <t>Beverly</t>
  </si>
  <si>
    <t>Round stool</t>
  </si>
  <si>
    <t>Tan/Gold</t>
  </si>
  <si>
    <t>II101-0473</t>
  </si>
  <si>
    <t>Maise</t>
  </si>
  <si>
    <t>Ottoman</t>
  </si>
  <si>
    <t>II101-0474</t>
  </si>
  <si>
    <t>Marta</t>
  </si>
  <si>
    <t>Storage Round Ottoman</t>
  </si>
  <si>
    <t>II100-0483</t>
  </si>
  <si>
    <t>SECTIONAL SOFA</t>
  </si>
  <si>
    <t>Metro</t>
  </si>
  <si>
    <t>Modular Corner Chair</t>
  </si>
  <si>
    <t>Corner Chair</t>
  </si>
  <si>
    <t>5/5/2022</t>
  </si>
  <si>
    <t>II100-0544</t>
  </si>
  <si>
    <t>Molly</t>
  </si>
  <si>
    <t>Modular Armless Chair</t>
  </si>
  <si>
    <t>Armless Chair</t>
  </si>
  <si>
    <t>II100-0543</t>
  </si>
  <si>
    <t>II100-0506</t>
  </si>
  <si>
    <t>Silver Grey</t>
  </si>
  <si>
    <t>1/31/2023</t>
  </si>
  <si>
    <t>II100-0505</t>
  </si>
  <si>
    <t>II101-0545</t>
  </si>
  <si>
    <t>Modular Ottoman</t>
  </si>
  <si>
    <t>II101-0507</t>
  </si>
  <si>
    <t>MPS108-0296</t>
  </si>
  <si>
    <t>Ultra</t>
  </si>
  <si>
    <t>Dining Side Chair (set of 2)</t>
  </si>
  <si>
    <t>Light Green Multi</t>
  </si>
  <si>
    <t>12/31/2020</t>
  </si>
  <si>
    <t>MPS108-0302</t>
  </si>
  <si>
    <t>MPS108-0286</t>
  </si>
  <si>
    <t>1/10/2020</t>
  </si>
  <si>
    <t>4/20/2024</t>
  </si>
  <si>
    <t>MPS108-0156</t>
  </si>
  <si>
    <t>AMAZONDS,CASTLEGATE,MACY02F,OVERSCONSIGN,OVERSTOCK01</t>
  </si>
  <si>
    <t>1/14/2019</t>
  </si>
  <si>
    <t>MPS108-0294</t>
  </si>
  <si>
    <t>Helena</t>
  </si>
  <si>
    <t>Dining Side Chair</t>
  </si>
  <si>
    <t>11/4/2020</t>
  </si>
  <si>
    <t>BLK01,CSNSTORES</t>
  </si>
  <si>
    <t>MPS100-0115</t>
  </si>
  <si>
    <t>PF001230;PP000300</t>
  </si>
  <si>
    <t>MPS108-0152</t>
  </si>
  <si>
    <t>Hutton</t>
  </si>
  <si>
    <t>CSNSTORES,HOUZZ,MACY02F,OVERSTOCK01,TGTDVS</t>
  </si>
  <si>
    <t>3/25/2018</t>
  </si>
  <si>
    <t>MPS100-0042</t>
  </si>
  <si>
    <t>Marie</t>
  </si>
  <si>
    <t>Beige/Light Natural</t>
  </si>
  <si>
    <t>PF001222;PP000305</t>
  </si>
  <si>
    <t>5/2/2024</t>
  </si>
  <si>
    <t>1/9/2017</t>
  </si>
  <si>
    <t>MPS136-0060</t>
  </si>
  <si>
    <t>Beckett</t>
  </si>
  <si>
    <t>Morocco Brown</t>
  </si>
  <si>
    <t>PF001288;PP000288</t>
  </si>
  <si>
    <t>5/30/2017</t>
  </si>
  <si>
    <t>MPS136-0288</t>
  </si>
  <si>
    <t>Antique Cream</t>
  </si>
  <si>
    <t>9/15/2020</t>
  </si>
  <si>
    <t>MPS136-0003</t>
  </si>
  <si>
    <t>Victoria</t>
  </si>
  <si>
    <t>Light Natural</t>
  </si>
  <si>
    <t>PF001286;PP000311</t>
  </si>
  <si>
    <t>ASHFURNDS,CSNSTORES,KIRKLANDDS,OVERSTOCK01,TGTDVS</t>
  </si>
  <si>
    <t>10/26/2016</t>
  </si>
  <si>
    <t>MPS136-0181</t>
  </si>
  <si>
    <t>Bedside Table</t>
  </si>
  <si>
    <t>1/10/2018</t>
  </si>
  <si>
    <t>MPS100-0108</t>
  </si>
  <si>
    <t>Collin</t>
  </si>
  <si>
    <t>Arm Chair</t>
  </si>
  <si>
    <t>Grey/Black</t>
  </si>
  <si>
    <t>PF001228</t>
  </si>
  <si>
    <t>MPS100-0155</t>
  </si>
  <si>
    <t>Windsor</t>
  </si>
  <si>
    <t>10/10/2017</t>
  </si>
  <si>
    <t>CSNSTORES,KIRKLANDDS,MACY02F</t>
  </si>
  <si>
    <t>MPS100-0303</t>
  </si>
  <si>
    <t>Arm chair</t>
  </si>
  <si>
    <t>Cream/Dark Brown</t>
  </si>
  <si>
    <t>MPS105-0298</t>
  </si>
  <si>
    <t>Tufted Accent Bench</t>
  </si>
  <si>
    <t>Light Grey/Natural</t>
  </si>
  <si>
    <t>MPS130-0299</t>
  </si>
  <si>
    <t>2 Drawer Accent Chest</t>
  </si>
  <si>
    <t>MPS130-0293</t>
  </si>
  <si>
    <t>MPS135-0049</t>
  </si>
  <si>
    <t>BAR CART</t>
  </si>
  <si>
    <t>Bar Cart</t>
  </si>
  <si>
    <t>Antique Gold</t>
  </si>
  <si>
    <t>PF000513;PP000303</t>
  </si>
  <si>
    <t>CSNSTORES,MACY02F,OVERSTOCK01,ZOLA</t>
  </si>
  <si>
    <t>MPS104-0301</t>
  </si>
  <si>
    <t>25.5" Upholstered Counter Stool</t>
  </si>
  <si>
    <t>2/1/2022</t>
  </si>
  <si>
    <t>MPS104-0300</t>
  </si>
  <si>
    <t>MPS115-0287</t>
  </si>
  <si>
    <t>Bed</t>
  </si>
  <si>
    <t>9/25/2020</t>
  </si>
  <si>
    <t>MPS115-0058</t>
  </si>
  <si>
    <t>PP000288</t>
  </si>
  <si>
    <t>MPS115-0261B</t>
  </si>
  <si>
    <t>Alston</t>
  </si>
  <si>
    <t>Rails:81"L X 3"W X 2"T; Support Legs:2"W X 2"D" X 8"H</t>
  </si>
  <si>
    <t>MPS115-0261A</t>
  </si>
  <si>
    <t>HB:64.5"W X 52"H X 2.5"T; FB:64.5" X 38"H X 2.5"T</t>
  </si>
  <si>
    <t>MPS121-0295</t>
  </si>
  <si>
    <t>Round Dining Table</t>
  </si>
  <si>
    <t>1/8/2021</t>
  </si>
  <si>
    <t>CASTLEGATE,CSNSTORES,HOUZZ</t>
  </si>
  <si>
    <t>MPS137-0117</t>
  </si>
  <si>
    <t>6-Drawer Dresser</t>
  </si>
  <si>
    <t>PF001292;PP000311</t>
  </si>
  <si>
    <t>4/25/2017</t>
  </si>
  <si>
    <t>MPS137-0004</t>
  </si>
  <si>
    <t>Small Dresser</t>
  </si>
  <si>
    <t>PF001290;PP000311</t>
  </si>
  <si>
    <t>CASTLEGATE,CSNSTORES,KIRKLANDDS</t>
  </si>
  <si>
    <t>10/15/2016</t>
  </si>
  <si>
    <t>MPS120-0123</t>
  </si>
  <si>
    <t>Bordeaux</t>
  </si>
  <si>
    <t>White/Gold</t>
  </si>
  <si>
    <t>PF000504;PP000290</t>
  </si>
  <si>
    <t>AMERSIGNDS,ASHFURNDS,CSNSTORES,HOUZZ,KOHLDSN,ROOMECOM</t>
  </si>
  <si>
    <t>12/14/2017</t>
  </si>
  <si>
    <t>MPS120-0050</t>
  </si>
  <si>
    <t>Porter</t>
  </si>
  <si>
    <t>Rectangle Coffee Table</t>
  </si>
  <si>
    <t>PF000486;PP000307</t>
  </si>
  <si>
    <t>CSNSTORES,HOUZZ,OVERSTOCK01,ROOMECOM</t>
  </si>
  <si>
    <t>MPS120-0125</t>
  </si>
  <si>
    <t>PF000506;PP000290</t>
  </si>
  <si>
    <t>AMERSIGNDS,CSNSTORES,LAMPDS,TGTDVS</t>
  </si>
  <si>
    <t>12/4/2017</t>
  </si>
  <si>
    <t>MPS120-0020</t>
  </si>
  <si>
    <t>Ebony</t>
  </si>
  <si>
    <t>PF001265;PP000304</t>
  </si>
  <si>
    <t>9/28/2016</t>
  </si>
  <si>
    <t>MPS120-0124</t>
  </si>
  <si>
    <t>PF000505;PP000290</t>
  </si>
  <si>
    <t>AMERSIGNDS,CSNSTORES,MACY02F,OVERSTOCK01</t>
  </si>
  <si>
    <t>MPS107-0033</t>
  </si>
  <si>
    <t>Gordon</t>
  </si>
  <si>
    <t>Modular Sofa Left Arm</t>
  </si>
  <si>
    <t>PF001251;PP000296</t>
  </si>
  <si>
    <t>5/2/2017</t>
  </si>
  <si>
    <t>12/12/2016</t>
  </si>
  <si>
    <t>MT100-0018</t>
  </si>
  <si>
    <t>Isla</t>
  </si>
  <si>
    <t>Accent Armchair</t>
  </si>
  <si>
    <t>PP001282</t>
  </si>
  <si>
    <t>AMAZONDS,CSNSTORES,KIRKLANDDS,MACY02F,OVERSTOCK01,ROOMECOM</t>
  </si>
  <si>
    <t>10/21/2019</t>
  </si>
  <si>
    <t>MT100-0136</t>
  </si>
  <si>
    <t>12/29/2020</t>
  </si>
  <si>
    <t>AMAZONDS,ASHFURNDS,CSNSTORES,MACY02F,OVERSTOCK01</t>
  </si>
  <si>
    <t>MT100-0157</t>
  </si>
  <si>
    <t>2/28/2023</t>
  </si>
  <si>
    <t>MT100-0106</t>
  </si>
  <si>
    <t>Decker</t>
  </si>
  <si>
    <t>8/29/2020</t>
  </si>
  <si>
    <t>AMAZONDS,CSNSTORES,KIRKLANDDS,MACY02F,OVERSTOCK01</t>
  </si>
  <si>
    <t>MT100-0001</t>
  </si>
  <si>
    <t>PP001268</t>
  </si>
  <si>
    <t>CSNSTORES,KIRKLANDDS,OVERSTOCK01</t>
  </si>
  <si>
    <t>11/20/2019</t>
  </si>
  <si>
    <t>MT100-0155</t>
  </si>
  <si>
    <t>Anna</t>
  </si>
  <si>
    <t>Arm Accent Chair</t>
  </si>
  <si>
    <t>7/14/2022</t>
  </si>
  <si>
    <t>MT100-0053</t>
  </si>
  <si>
    <t>PP001261</t>
  </si>
  <si>
    <t>10/23/2019</t>
  </si>
  <si>
    <t>MT100-0126</t>
  </si>
  <si>
    <t>Braxton</t>
  </si>
  <si>
    <t>MT100-0069</t>
  </si>
  <si>
    <t>Halleck</t>
  </si>
  <si>
    <t>ASHFURNDS,LAMPDS,OVERSTOCK01</t>
  </si>
  <si>
    <t>MT100-0123</t>
  </si>
  <si>
    <t>Jayco</t>
  </si>
  <si>
    <t>MT100-0177</t>
  </si>
  <si>
    <t>10/3/2023</t>
  </si>
  <si>
    <t>MT100-0113</t>
  </si>
  <si>
    <t>Winston</t>
  </si>
  <si>
    <t>1/22/2021</t>
  </si>
  <si>
    <t>MT100-0148</t>
  </si>
  <si>
    <t>Maribelle</t>
  </si>
  <si>
    <t>Beige/Blue</t>
  </si>
  <si>
    <t>MT100-0149</t>
  </si>
  <si>
    <t>Samba</t>
  </si>
  <si>
    <t>MT100-0176</t>
  </si>
  <si>
    <t>Whitney</t>
  </si>
  <si>
    <t>MT Bedford|Farm House</t>
  </si>
  <si>
    <t>MT100-1190</t>
  </si>
  <si>
    <t>Fayette</t>
  </si>
  <si>
    <t>Tufted Accent Arm Chair</t>
  </si>
  <si>
    <t>Traditional|Farm House</t>
  </si>
  <si>
    <t>MT100-0137</t>
  </si>
  <si>
    <t>Manhattan</t>
  </si>
  <si>
    <t>8/27/2021</t>
  </si>
  <si>
    <t>MT100-1183</t>
  </si>
  <si>
    <t>Jada</t>
  </si>
  <si>
    <t>11/2/2022</t>
  </si>
  <si>
    <t>MT100-0140</t>
  </si>
  <si>
    <t>Malcom</t>
  </si>
  <si>
    <t>Wing Back Accent Chair</t>
  </si>
  <si>
    <t>MT100-1203</t>
  </si>
  <si>
    <t>Morgan</t>
  </si>
  <si>
    <t>Cane Accent Chair with Removable Back Cushion</t>
  </si>
  <si>
    <t>MT100-1204</t>
  </si>
  <si>
    <t>Philippe</t>
  </si>
  <si>
    <t>Morocco Brown/Taupe</t>
  </si>
  <si>
    <t>MT100-0166</t>
  </si>
  <si>
    <t>Remo</t>
  </si>
  <si>
    <t>MT103-0008</t>
  </si>
  <si>
    <t>Skirted Swivel Chair</t>
  </si>
  <si>
    <t>PP001274</t>
  </si>
  <si>
    <t>6/11/2019</t>
  </si>
  <si>
    <t>11/5/2019</t>
  </si>
  <si>
    <t>MT103-1199</t>
  </si>
  <si>
    <t>MT103-1196</t>
  </si>
  <si>
    <t>12/22/2023</t>
  </si>
  <si>
    <t>MT103-0170</t>
  </si>
  <si>
    <t>12/14/2022</t>
  </si>
  <si>
    <t>MT103-1198</t>
  </si>
  <si>
    <t>Tan Multi</t>
  </si>
  <si>
    <t>12/1/2023</t>
  </si>
  <si>
    <t>MT103-0132</t>
  </si>
  <si>
    <t xml:space="preserve">Amber </t>
  </si>
  <si>
    <t>2/12/2021</t>
  </si>
  <si>
    <t>MT103-0049</t>
  </si>
  <si>
    <t>PP001258</t>
  </si>
  <si>
    <t>6/14/2019</t>
  </si>
  <si>
    <t>MACY02F,OVERSTOCK01,ZOLA,Zulily</t>
  </si>
  <si>
    <t>MT103-1208</t>
  </si>
  <si>
    <t>Christian</t>
  </si>
  <si>
    <t>Swivel Armchair</t>
  </si>
  <si>
    <t>MT103-0161</t>
  </si>
  <si>
    <t>6/27/2023</t>
  </si>
  <si>
    <t>MT103-1188</t>
  </si>
  <si>
    <t>Madrid</t>
  </si>
  <si>
    <t>360 Degree Upholstered Swivel Chair</t>
  </si>
  <si>
    <t>MT103-0143</t>
  </si>
  <si>
    <t>Osborne</t>
  </si>
  <si>
    <t>360 Degree Swivel Chair</t>
  </si>
  <si>
    <t>MT105-0156</t>
  </si>
  <si>
    <t>Caymus</t>
  </si>
  <si>
    <t>Caymu</t>
  </si>
  <si>
    <t>Rectangular Soft Close Storage Bench</t>
  </si>
  <si>
    <t>12/6/2022</t>
  </si>
  <si>
    <t>MT105-0139</t>
  </si>
  <si>
    <t>Highland</t>
  </si>
  <si>
    <t>Tufted Accent Bench with Shelf</t>
  </si>
  <si>
    <t>6/17/2024</t>
  </si>
  <si>
    <t>MT105-0151</t>
  </si>
  <si>
    <t>Secor</t>
  </si>
  <si>
    <t>Upholstered Accent Bench with Metal Base</t>
  </si>
  <si>
    <t>MT105-0168</t>
  </si>
  <si>
    <t>Sloane</t>
  </si>
  <si>
    <t>MT105-0147</t>
  </si>
  <si>
    <t>Eve</t>
  </si>
  <si>
    <t>2/11/2022</t>
  </si>
  <si>
    <t>MT105-0128</t>
  </si>
  <si>
    <t>Harstrom</t>
  </si>
  <si>
    <t>STRIPES 15</t>
  </si>
  <si>
    <t>2/16/2021</t>
  </si>
  <si>
    <t>MT105-0159</t>
  </si>
  <si>
    <t>6/9/2023</t>
  </si>
  <si>
    <t>MT105-0072</t>
  </si>
  <si>
    <t>MT130-1211</t>
  </si>
  <si>
    <t>Woven Cane Accent Cabinet</t>
  </si>
  <si>
    <t>Toasted Almond</t>
  </si>
  <si>
    <t>4/14/2024</t>
  </si>
  <si>
    <t>MT130-0111</t>
  </si>
  <si>
    <t>Allister</t>
  </si>
  <si>
    <t>9/18/2020</t>
  </si>
  <si>
    <t>AMAZONDS,CSNSTORES,LAMPDS,OVERSTOCK01</t>
  </si>
  <si>
    <t>MT130-1212</t>
  </si>
  <si>
    <t>Ayanna</t>
  </si>
  <si>
    <t>Accent Cabinet with Lower Shelf</t>
  </si>
  <si>
    <t>Reclaimed Wheat</t>
  </si>
  <si>
    <t>MT135-0036</t>
  </si>
  <si>
    <t>Lionel</t>
  </si>
  <si>
    <t>Two Tier Bar Cart on Wheels</t>
  </si>
  <si>
    <t>PP001245</t>
  </si>
  <si>
    <t>MT104-1184</t>
  </si>
  <si>
    <t>Connor</t>
  </si>
  <si>
    <t>Upholstered Counter stool 25"H</t>
  </si>
  <si>
    <t>MT104-0141</t>
  </si>
  <si>
    <t>25" Upholstered Counter Stool</t>
  </si>
  <si>
    <t>MT104-1185</t>
  </si>
  <si>
    <t>Fiona</t>
  </si>
  <si>
    <t>9/19/2022</t>
  </si>
  <si>
    <t>MT104-0085</t>
  </si>
  <si>
    <t>2/11/2020</t>
  </si>
  <si>
    <t>MT104-0169</t>
  </si>
  <si>
    <t>Handcrafted Rattan Counter Stool 25" H</t>
  </si>
  <si>
    <t>3/24/2024</t>
  </si>
  <si>
    <t>MT104-1194</t>
  </si>
  <si>
    <t>Natural Whitewash</t>
  </si>
  <si>
    <t>11/16/2023</t>
  </si>
  <si>
    <t>MT104-0142</t>
  </si>
  <si>
    <t>Wheaton</t>
  </si>
  <si>
    <t>MT115-1206</t>
  </si>
  <si>
    <t>Kenna</t>
  </si>
  <si>
    <t>1/22/2024</t>
  </si>
  <si>
    <t>MT115-1210</t>
  </si>
  <si>
    <t>Woven Cane Queen Platform Bed</t>
  </si>
  <si>
    <t>MT122-0092</t>
  </si>
  <si>
    <t>Sharkey</t>
  </si>
  <si>
    <t>MT122-0145</t>
  </si>
  <si>
    <t>Tabitha</t>
  </si>
  <si>
    <t>Solid Wood Desk with 1 Drawer and turned legs</t>
  </si>
  <si>
    <t>CSNSTORES,KIRKLANDDS,TGTDVS</t>
  </si>
  <si>
    <t>MT108-1197</t>
  </si>
  <si>
    <t>Elmcrest</t>
  </si>
  <si>
    <t>Upholstered Dining Chair with Nailhead Trim</t>
  </si>
  <si>
    <t>Beige Stripe</t>
  </si>
  <si>
    <t>1/26/2024</t>
  </si>
  <si>
    <t>MT108-0063</t>
  </si>
  <si>
    <t>7/30/2020</t>
  </si>
  <si>
    <t>MT108-0158</t>
  </si>
  <si>
    <t>Soft Green</t>
  </si>
  <si>
    <t>MT108-1186</t>
  </si>
  <si>
    <t>Upholstered Dining Chair with Turned Wood Legs Set of 2</t>
  </si>
  <si>
    <t>MT108-0093</t>
  </si>
  <si>
    <t>Holls</t>
  </si>
  <si>
    <t>3/24/2020</t>
  </si>
  <si>
    <t>MT108-0154</t>
  </si>
  <si>
    <t>Winfield</t>
  </si>
  <si>
    <t>Upholstered Dining chair Set of 2</t>
  </si>
  <si>
    <t>MT108-0079</t>
  </si>
  <si>
    <t>3/10/2020</t>
  </si>
  <si>
    <t>MT108-0160</t>
  </si>
  <si>
    <t>MT121-1195</t>
  </si>
  <si>
    <t>Parsons Dining Table</t>
  </si>
  <si>
    <t>MT121-1187</t>
  </si>
  <si>
    <t>Rectangular Wood Dining Table</t>
  </si>
  <si>
    <t>Brown/Distressed White</t>
  </si>
  <si>
    <t>MT121-0112</t>
  </si>
  <si>
    <t>Tristan</t>
  </si>
  <si>
    <t>Rectangular Dining Table (2 pedestal leg)</t>
  </si>
  <si>
    <t>MT116-0164</t>
  </si>
  <si>
    <t>Channel Tufted Queen Headboard</t>
  </si>
  <si>
    <t>MT116-0165</t>
  </si>
  <si>
    <t>Channel Tufted King Headboard</t>
  </si>
  <si>
    <t>MT106-1205</t>
  </si>
  <si>
    <t>MT136-1207</t>
  </si>
  <si>
    <t>MT136-1209</t>
  </si>
  <si>
    <t>Woven Cane Nightstand</t>
  </si>
  <si>
    <t>MT120-0023</t>
  </si>
  <si>
    <t>ACCENT TABLE|END TABLE</t>
  </si>
  <si>
    <t>Fatima</t>
  </si>
  <si>
    <t>Round Accent Table</t>
  </si>
  <si>
    <t>PP001286</t>
  </si>
  <si>
    <t>MT120-0024</t>
  </si>
  <si>
    <t>Harley</t>
  </si>
  <si>
    <t>PP001287</t>
  </si>
  <si>
    <t>AMAZONDS,CSNSTORES,KIRKLANDDS,LAMPDS,MACY02F,OVERSTOCK01,TGTDVS</t>
  </si>
  <si>
    <t>MT120-0026</t>
  </si>
  <si>
    <t>Irisa</t>
  </si>
  <si>
    <t>Reclaimed Oak/Iron</t>
  </si>
  <si>
    <t>PP001289</t>
  </si>
  <si>
    <t>7/12/2019</t>
  </si>
  <si>
    <t>11/25/2019</t>
  </si>
  <si>
    <t>MT120-0025</t>
  </si>
  <si>
    <t>Lia</t>
  </si>
  <si>
    <t>Oval Accent Table</t>
  </si>
  <si>
    <t>PP001288</t>
  </si>
  <si>
    <t>6/19/2019</t>
  </si>
  <si>
    <t>AMAZONDS,MACY02F,OVERSTOCK01</t>
  </si>
  <si>
    <t>MT120-1200</t>
  </si>
  <si>
    <t>Oval Coffee Table with Shelf</t>
  </si>
  <si>
    <t>Reclaimed Greige</t>
  </si>
  <si>
    <t>Farm House|Cottage/Country|MT Bedford</t>
  </si>
  <si>
    <t>MT120-0129</t>
  </si>
  <si>
    <t>Belden</t>
  </si>
  <si>
    <t>Castered Coffee Table</t>
  </si>
  <si>
    <t>3/22/2021</t>
  </si>
  <si>
    <t>MT120-1202</t>
  </si>
  <si>
    <t>Traditional|MT Lily Pond|Coastal</t>
  </si>
  <si>
    <t>MT120-1201</t>
  </si>
  <si>
    <t>2 Door Storage Console Table</t>
  </si>
  <si>
    <t>Transitional|MT Lily Pond|Coastal</t>
  </si>
  <si>
    <t>MT120-1189</t>
  </si>
  <si>
    <t>Caroline</t>
  </si>
  <si>
    <t>Round Coffee Table with Interchangeable Wood and Glass Top</t>
  </si>
  <si>
    <t>8/31/2022</t>
  </si>
  <si>
    <t>MT120-1193</t>
  </si>
  <si>
    <t>Crestview</t>
  </si>
  <si>
    <t>Storage Console Table 36"W</t>
  </si>
  <si>
    <t>36"W x 14"D x 32"H</t>
  </si>
  <si>
    <t>MT120-0167</t>
  </si>
  <si>
    <t>Storage Console Table 31"W</t>
  </si>
  <si>
    <t>31"W x 14"D x 30"H</t>
  </si>
  <si>
    <t>AMAZONDS,CSNSTORES,HOUZZ,OVERSTOCK01,TGTDVS</t>
  </si>
  <si>
    <t>MT120-1191</t>
  </si>
  <si>
    <t>Fluted 2-drawer Storage Console Table</t>
  </si>
  <si>
    <t>10/28/2023</t>
  </si>
  <si>
    <t>MT120-1192</t>
  </si>
  <si>
    <t>Fluted 2-drawer Coffee Table</t>
  </si>
  <si>
    <t>MT120-0150</t>
  </si>
  <si>
    <t>Sadie</t>
  </si>
  <si>
    <t>Round Coffee table</t>
  </si>
  <si>
    <t>AMAZONDS,CSNSTORES,KIRKLANDDS,OVERSTOCK01,TGTDVS</t>
  </si>
  <si>
    <t>MT101-0171</t>
  </si>
  <si>
    <t>Bonnieville</t>
  </si>
  <si>
    <t>Upholstered Button Tufted Accent Ottoman</t>
  </si>
  <si>
    <t>MT101-0172</t>
  </si>
  <si>
    <t>MT101-0135</t>
  </si>
  <si>
    <t>Cedric</t>
  </si>
  <si>
    <t>Accent Ottoman</t>
  </si>
  <si>
    <t>2/1/2021</t>
  </si>
  <si>
    <t>MT101-0011</t>
  </si>
  <si>
    <t>Clara</t>
  </si>
  <si>
    <t>PP001277</t>
  </si>
  <si>
    <t>1/6/2020</t>
  </si>
  <si>
    <t>MT101-0013</t>
  </si>
  <si>
    <t>Ellen</t>
  </si>
  <si>
    <t>PP001279</t>
  </si>
  <si>
    <t>6/22/2019</t>
  </si>
  <si>
    <t>10/29/2019</t>
  </si>
  <si>
    <t>MT101-0014</t>
  </si>
  <si>
    <t>Cocktail Ottoman</t>
  </si>
  <si>
    <t>12/18/2019</t>
  </si>
  <si>
    <t>MT101-0146</t>
  </si>
  <si>
    <t>Terri</t>
  </si>
  <si>
    <t>Skirted Tufted 32" Round Ottoman</t>
  </si>
  <si>
    <t>AMAZONDS,BLK01,CSNSTORES,OVERSTOCK01,TGTDVS</t>
  </si>
  <si>
    <t>5DS108-0025</t>
  </si>
  <si>
    <t>510 Design</t>
  </si>
  <si>
    <t>Everly</t>
  </si>
  <si>
    <t>Upholstered Channel-back Dining Chair Set of 2</t>
  </si>
  <si>
    <t>7/5/2023</t>
  </si>
  <si>
    <t>5DS108-0042</t>
  </si>
  <si>
    <t>Light Taupe</t>
  </si>
  <si>
    <t>5/11/2024</t>
  </si>
  <si>
    <t>5DS108-0034</t>
  </si>
  <si>
    <t>5DS105-0021</t>
  </si>
  <si>
    <t>Flip-top Upholstered Storage Bench</t>
  </si>
  <si>
    <t>5DS105-0036</t>
  </si>
  <si>
    <t>1/27/2024</t>
  </si>
  <si>
    <t>5DS105-0053</t>
  </si>
  <si>
    <t>Light Grey 2</t>
  </si>
  <si>
    <t>5DS105-0043</t>
  </si>
  <si>
    <t>5DS105-0029</t>
  </si>
  <si>
    <t>5DS105-0013</t>
  </si>
  <si>
    <t>Cheshire Accent Bench</t>
  </si>
  <si>
    <t>ASHFURNDS,JCPENNEY01</t>
  </si>
  <si>
    <t>5DS105-0012</t>
  </si>
  <si>
    <t>Zeus</t>
  </si>
  <si>
    <t>Zeus Accent Bench</t>
  </si>
  <si>
    <t>1/7/2022</t>
  </si>
  <si>
    <t>5DS100-0026</t>
  </si>
  <si>
    <t>Dani</t>
  </si>
  <si>
    <t>Tufted back Accent Chair</t>
  </si>
  <si>
    <t>6/26/2023</t>
  </si>
  <si>
    <t>5DS100-0040</t>
  </si>
  <si>
    <t>5DS100-0039</t>
  </si>
  <si>
    <t>Denim Blue</t>
  </si>
  <si>
    <t>5DS100-0028</t>
  </si>
  <si>
    <t>5DS100-0038</t>
  </si>
  <si>
    <t>Grey 2</t>
  </si>
  <si>
    <t>5DS100-0027</t>
  </si>
  <si>
    <t>Navy Blue</t>
  </si>
  <si>
    <t>ZOLA</t>
  </si>
  <si>
    <t>5DS100-0031</t>
  </si>
  <si>
    <t>Jeanie</t>
  </si>
  <si>
    <t>Rolled Arm Accent Chair</t>
  </si>
  <si>
    <t>5DS100-0030</t>
  </si>
  <si>
    <t>5DS100-0037</t>
  </si>
  <si>
    <t>Juno</t>
  </si>
  <si>
    <t>5DS100-0023</t>
  </si>
  <si>
    <t>5DS100-0054</t>
  </si>
  <si>
    <t>6/22/2024</t>
  </si>
  <si>
    <t>5DS100-0032</t>
  </si>
  <si>
    <t>5DS100-0033</t>
  </si>
  <si>
    <t>Paula</t>
  </si>
  <si>
    <t>Slipcover Accent Armchair</t>
  </si>
  <si>
    <t>5DS100-0020</t>
  </si>
  <si>
    <t>6/21/2023</t>
  </si>
  <si>
    <t>5DS100-0035</t>
  </si>
  <si>
    <t>5DS100-0019</t>
  </si>
  <si>
    <t>5DS100-0041</t>
  </si>
  <si>
    <t>5DS115-0007</t>
  </si>
  <si>
    <t>Catalina</t>
  </si>
  <si>
    <t>Catalina Queen Platform Bed</t>
  </si>
  <si>
    <t>10/6/2021</t>
  </si>
  <si>
    <t>5DS115-0008</t>
  </si>
  <si>
    <t>Catalina King Platform Bed</t>
  </si>
  <si>
    <t>Temp Discontinued</t>
  </si>
  <si>
    <t>5DS115-0002</t>
  </si>
  <si>
    <t>Rowen</t>
  </si>
  <si>
    <t>Rowen Full Platform Bed</t>
  </si>
  <si>
    <t>Full</t>
  </si>
  <si>
    <t>9/9/2021</t>
  </si>
  <si>
    <t>5DS115-0003</t>
  </si>
  <si>
    <t>Rowen Queen Platform Bed</t>
  </si>
  <si>
    <t>9/11/2021</t>
  </si>
  <si>
    <t>5DS115-0004</t>
  </si>
  <si>
    <t>Rowen King Platform Bed</t>
  </si>
  <si>
    <t>5DS122-0009</t>
  </si>
  <si>
    <t xml:space="preserve">Carlyle  Desk</t>
  </si>
  <si>
    <t>5DS122-0010</t>
  </si>
  <si>
    <t>Laurel</t>
  </si>
  <si>
    <t>Laurel Desk</t>
  </si>
  <si>
    <t>5DS120-0011</t>
  </si>
  <si>
    <t>Monarch Coffee Table</t>
  </si>
  <si>
    <t>Dark Coffee/Black</t>
  </si>
  <si>
    <t>HH120-0255</t>
  </si>
  <si>
    <t>Harbor House</t>
  </si>
  <si>
    <t>Ashby</t>
  </si>
  <si>
    <t>Side Table</t>
  </si>
  <si>
    <t>9/6/2018</t>
  </si>
  <si>
    <t>MCC105-0014</t>
  </si>
  <si>
    <t>Jocelyn</t>
  </si>
  <si>
    <t>Storage Bench</t>
  </si>
  <si>
    <t>MCC105-0015</t>
  </si>
  <si>
    <t>MCC105-0007</t>
  </si>
  <si>
    <t>MCC100-0006</t>
  </si>
  <si>
    <t>Atlas</t>
  </si>
  <si>
    <t>MCC100-0012</t>
  </si>
  <si>
    <t>Hampden</t>
  </si>
  <si>
    <t>5/26/2022</t>
  </si>
  <si>
    <t>MCC100-0010</t>
  </si>
  <si>
    <t>MCC100-0011</t>
  </si>
  <si>
    <t>MCC104-0019</t>
  </si>
  <si>
    <t>Facet</t>
  </si>
  <si>
    <t>MCC104-0008</t>
  </si>
  <si>
    <t>MCC104-0021</t>
  </si>
  <si>
    <t>7/5/2021</t>
  </si>
  <si>
    <t>MCC104-0020</t>
  </si>
  <si>
    <t>MCC108-0018</t>
  </si>
  <si>
    <t>Copley</t>
  </si>
  <si>
    <t>MCC108-0017</t>
  </si>
  <si>
    <t>MCC101-0016</t>
  </si>
  <si>
    <t>5DS153-0014</t>
  </si>
  <si>
    <t>LGT</t>
  </si>
  <si>
    <t>LGT-TABLE LAMPS</t>
  </si>
  <si>
    <t>TABLE TASK LAMPS</t>
  </si>
  <si>
    <t>Ellipse</t>
  </si>
  <si>
    <t>Curved Glass Table Lamp, Set of 2</t>
  </si>
  <si>
    <t>3/30/2018</t>
  </si>
  <si>
    <t>AMERSIGNDS,CSNSTORES,JCPENNEY01,KIRKLANDDS,MACY02,OVERSTOCK01,ROOMECOM,TGTDVS,Zulily</t>
  </si>
  <si>
    <t>5DS153-0018</t>
  </si>
  <si>
    <t>9/12/2018</t>
  </si>
  <si>
    <t>CSNSTORES,JCPENNEY01,OVERSTOCK01,Zulily</t>
  </si>
  <si>
    <t>10/9/2018</t>
  </si>
  <si>
    <t>5DS153-0019</t>
  </si>
  <si>
    <t>AMERSIGNDS,CSNSTORES,KIRKLANDDS,OVERSTOCK01</t>
  </si>
  <si>
    <t>5DS153-0020</t>
  </si>
  <si>
    <t>5/25/2024</t>
  </si>
  <si>
    <t>4/30/2019</t>
  </si>
  <si>
    <t>5DS153-0001</t>
  </si>
  <si>
    <t>Clarity</t>
  </si>
  <si>
    <t>Glass Cylinder Table Lamp Set of 2</t>
  </si>
  <si>
    <t>CSNSTORES,MACY02,OVERSTOCK01,ROOMECOM</t>
  </si>
  <si>
    <t>7/16/2018</t>
  </si>
  <si>
    <t>5DS153-1157</t>
  </si>
  <si>
    <t>2/6/2021</t>
  </si>
  <si>
    <t>ASHFURNDS,KIRKLANDDS,KOHLDSN,OVERSTOCK01</t>
  </si>
  <si>
    <t>9/4/2023</t>
  </si>
  <si>
    <t>MP153-0204</t>
  </si>
  <si>
    <t>Geometric Glass Table Lamp</t>
  </si>
  <si>
    <t>10/3/2019</t>
  </si>
  <si>
    <t>AMAZONDS,AMERSIGNDS,JCPENNEY01,KOHLDSN,MACY02,OVERSTOCK01,ROOMECOM,TGTDVS</t>
  </si>
  <si>
    <t>1/13/2020</t>
  </si>
  <si>
    <t>5DS153-0041</t>
  </si>
  <si>
    <t>Bayard</t>
  </si>
  <si>
    <t>Embossed Ceramic Table Lamp</t>
  </si>
  <si>
    <t>12/23/2021</t>
  </si>
  <si>
    <t>AMERSIGNDS,KOHLDSN</t>
  </si>
  <si>
    <t>9/14/2023</t>
  </si>
  <si>
    <t>5DS153-0031</t>
  </si>
  <si>
    <t>Cortina</t>
  </si>
  <si>
    <t>Ombre Glass Table Lamp, Set of 2</t>
  </si>
  <si>
    <t>AMERSIGNDS,CSNSTORES,JCPENNEY01,KIRKLANDDS,KOHLDSN,MACY02,OVERSTOCK01,ROOMECOM,TGTDVS</t>
  </si>
  <si>
    <t>2/24/2019</t>
  </si>
  <si>
    <t>3/27/2019</t>
  </si>
  <si>
    <t>5DS153-1158</t>
  </si>
  <si>
    <t>1/19/2021</t>
  </si>
  <si>
    <t>ASHFURNDS,Zulily</t>
  </si>
  <si>
    <t>5DS153-0008</t>
  </si>
  <si>
    <t>Covey</t>
  </si>
  <si>
    <t>5DS153-0045</t>
  </si>
  <si>
    <t>Crewe</t>
  </si>
  <si>
    <t>Textured Resin Table Lamp</t>
  </si>
  <si>
    <t>AMAZONDS,KOHLDSN,OVERSTOCK01</t>
  </si>
  <si>
    <t>5/15/2023</t>
  </si>
  <si>
    <t>5DS153-0029</t>
  </si>
  <si>
    <t>Driggs</t>
  </si>
  <si>
    <t>Ceramic Textured Table Lamp</t>
  </si>
  <si>
    <t>Ivory/Grey</t>
  </si>
  <si>
    <t>JCPENNEY01,KIRKLANDDS,KOHLDSN,ROOMECOM,TGTDVS</t>
  </si>
  <si>
    <t>5DS153-0030</t>
  </si>
  <si>
    <t>Gypsy</t>
  </si>
  <si>
    <t>Embossed Boho Table Lamp</t>
  </si>
  <si>
    <t>12/7/2018</t>
  </si>
  <si>
    <t>5/7/2019</t>
  </si>
  <si>
    <t>5DS153-0021</t>
  </si>
  <si>
    <t>Harmony</t>
  </si>
  <si>
    <t>Angular Glass Table Lamp, Set of 2</t>
  </si>
  <si>
    <t>10/17/2018</t>
  </si>
  <si>
    <t>5DS153-0049</t>
  </si>
  <si>
    <t>Liora</t>
  </si>
  <si>
    <t>2-Tone Ceramic Table Lamp Set of 2</t>
  </si>
  <si>
    <t>1/21/2024</t>
  </si>
  <si>
    <t>Ready To Offer</t>
  </si>
  <si>
    <t>5DS153-0047</t>
  </si>
  <si>
    <t>Sage Green/Gold</t>
  </si>
  <si>
    <t>5DS153-0048</t>
  </si>
  <si>
    <t>White/Silver</t>
  </si>
  <si>
    <t>5DS153-0039</t>
  </si>
  <si>
    <t>Macey</t>
  </si>
  <si>
    <t>Geometric Ceramic Table Lamp</t>
  </si>
  <si>
    <t>5DS153-0037</t>
  </si>
  <si>
    <t>Nicolo</t>
  </si>
  <si>
    <t>Textured Ceramic Table Lamp</t>
  </si>
  <si>
    <t>AMERSIGNDS,JCPENNEY01,KOHLDSN</t>
  </si>
  <si>
    <t>12/11/2023</t>
  </si>
  <si>
    <t>5DS153-0036</t>
  </si>
  <si>
    <t>5DS153-0023</t>
  </si>
  <si>
    <t>Ranier</t>
  </si>
  <si>
    <t>Iridescent Glass Table Lamp</t>
  </si>
  <si>
    <t>Iridescent</t>
  </si>
  <si>
    <t>AMAZONDS,AMERSIGNDS,ROOMECOM</t>
  </si>
  <si>
    <t>3/18/2019</t>
  </si>
  <si>
    <t>5DS153-0017</t>
  </si>
  <si>
    <t>Saxony</t>
  </si>
  <si>
    <t>Metallic Glass Table Lamp</t>
  </si>
  <si>
    <t>9/26/2018</t>
  </si>
  <si>
    <t>5DS153-0046</t>
  </si>
  <si>
    <t>Zusa</t>
  </si>
  <si>
    <t>Metal 2-Light Globe Table Lamp</t>
  </si>
  <si>
    <t>Gold/White</t>
  </si>
  <si>
    <t>2/10/2023</t>
  </si>
  <si>
    <t>CSNSTORES,JCPENNEY01,KOHLDSN,TGTDVS</t>
  </si>
  <si>
    <t>8/7/2023</t>
  </si>
  <si>
    <t>5DS150-0044</t>
  </si>
  <si>
    <t>LGT-CHANDELIERS</t>
  </si>
  <si>
    <t>CHANDELIERS</t>
  </si>
  <si>
    <t>Devon</t>
  </si>
  <si>
    <t>6-Light Chandelier with Bowl Shaped Glass Shades</t>
  </si>
  <si>
    <t>5DS150-0042</t>
  </si>
  <si>
    <t>6-Light Metal Chandelier</t>
  </si>
  <si>
    <t>3/4/2022</t>
  </si>
  <si>
    <t>FB153-1158</t>
  </si>
  <si>
    <t>Hampton Hill</t>
  </si>
  <si>
    <t>Celine</t>
  </si>
  <si>
    <t>10/18/2021</t>
  </si>
  <si>
    <t>KIRKLANDDS,KOHLDSN,MACY02</t>
  </si>
  <si>
    <t>FB153-1174</t>
  </si>
  <si>
    <t>Ashbourne</t>
  </si>
  <si>
    <t>Embossed Floral Resin Table Lamp</t>
  </si>
  <si>
    <t>FB153-1175</t>
  </si>
  <si>
    <t>Auburn</t>
  </si>
  <si>
    <t>24" H Table Lamp with Marble Base</t>
  </si>
  <si>
    <t>8/14/2023</t>
  </si>
  <si>
    <t>FB153-1167</t>
  </si>
  <si>
    <t>Blythe</t>
  </si>
  <si>
    <t>Resin Table Lamp</t>
  </si>
  <si>
    <t>MPS153-0025</t>
  </si>
  <si>
    <t>Rectangular Ceramic Table Lamp</t>
  </si>
  <si>
    <t>PF002829</t>
  </si>
  <si>
    <t>FB153-1155</t>
  </si>
  <si>
    <t>Fulton</t>
  </si>
  <si>
    <t>Concrete Table Lamp</t>
  </si>
  <si>
    <t>Black/Grey</t>
  </si>
  <si>
    <t>1/27/2021</t>
  </si>
  <si>
    <t>ASHFURNDS,OVERSTOCK01</t>
  </si>
  <si>
    <t>11/8/2021</t>
  </si>
  <si>
    <t>MPS153-0079</t>
  </si>
  <si>
    <t>Gold/Grey/Black</t>
  </si>
  <si>
    <t>PF003223</t>
  </si>
  <si>
    <t>10/20/2017</t>
  </si>
  <si>
    <t>AMAZONDS,AMERSIGNDS,CSNSTORES,HOUZZ,OVERSTOCK01</t>
  </si>
  <si>
    <t>2/16/2018</t>
  </si>
  <si>
    <t>FB153-1168</t>
  </si>
  <si>
    <t>Livy</t>
  </si>
  <si>
    <t>Oval Textured Ceramic Table Lamp</t>
  </si>
  <si>
    <t>Silver Base/White Shade</t>
  </si>
  <si>
    <t>FB153-1178</t>
  </si>
  <si>
    <t>Luxuria</t>
  </si>
  <si>
    <t>Textured Glass and Acrylic Base Table Lamp</t>
  </si>
  <si>
    <t>FB153-1180</t>
  </si>
  <si>
    <t>Mercury</t>
  </si>
  <si>
    <t>MP153-0179</t>
  </si>
  <si>
    <t>Macon</t>
  </si>
  <si>
    <t>Glass Cylinder Table Lamp</t>
  </si>
  <si>
    <t>Clear</t>
  </si>
  <si>
    <t>8/23/2018</t>
  </si>
  <si>
    <t>FB153-1181</t>
  </si>
  <si>
    <t>Maelle</t>
  </si>
  <si>
    <t>Blue Aqua Swirl Blown Glass Table Lamp</t>
  </si>
  <si>
    <t>MP153-0144</t>
  </si>
  <si>
    <t>Prague</t>
  </si>
  <si>
    <t>Alabaster Table Lamp</t>
  </si>
  <si>
    <t>PF003238</t>
  </si>
  <si>
    <t>MP153-0001</t>
  </si>
  <si>
    <t>Tate</t>
  </si>
  <si>
    <t>Boho Textured Ceramic Table Lamp</t>
  </si>
  <si>
    <t>PF002834</t>
  </si>
  <si>
    <t>AMAZONDS,AMERSIGNDS,CSNSTORES,OVERSTOCK01</t>
  </si>
  <si>
    <t>FB153-1187</t>
  </si>
  <si>
    <t>Zazie</t>
  </si>
  <si>
    <t>Ceramic Genie Table Lamp</t>
  </si>
  <si>
    <t>FB153-1186</t>
  </si>
  <si>
    <t>FB153-1185</t>
  </si>
  <si>
    <t>FB153-1182</t>
  </si>
  <si>
    <t>Zirconia</t>
  </si>
  <si>
    <t>Faceted Blue Glass Table Lamp</t>
  </si>
  <si>
    <t>FB153-1184</t>
  </si>
  <si>
    <t>Faceted Brown Glass Table Lamp</t>
  </si>
  <si>
    <t>FB153-1183</t>
  </si>
  <si>
    <t>Faceted Green Glass Table Lamp</t>
  </si>
  <si>
    <t>FB150-1160</t>
  </si>
  <si>
    <t>4-Light Glass Drum Shade Chandelier</t>
  </si>
  <si>
    <t>5/16/2022</t>
  </si>
  <si>
    <t>FB150-1162</t>
  </si>
  <si>
    <t>Alexis</t>
  </si>
  <si>
    <t>Antique Brass/Black</t>
  </si>
  <si>
    <t>MP150-0194</t>
  </si>
  <si>
    <t>Brighton</t>
  </si>
  <si>
    <t>6-Light Farmhouse Metal Chandelier</t>
  </si>
  <si>
    <t>Matte Black</t>
  </si>
  <si>
    <t>3/26/2019</t>
  </si>
  <si>
    <t>5/12/2022</t>
  </si>
  <si>
    <t>FB150-1169</t>
  </si>
  <si>
    <t>Fairmount</t>
  </si>
  <si>
    <t>8-Light Traditional Chandelier with Drum Shades</t>
  </si>
  <si>
    <t>Black/Silver</t>
  </si>
  <si>
    <t>FB150-1159</t>
  </si>
  <si>
    <t>Melrose</t>
  </si>
  <si>
    <t>2-Light Beaded Chandelier</t>
  </si>
  <si>
    <t>Antique Brass/White</t>
  </si>
  <si>
    <t>FB150-1170</t>
  </si>
  <si>
    <t>Nava</t>
  </si>
  <si>
    <t>3-Light Metal Chandelier with Adjustable Chain</t>
  </si>
  <si>
    <t>7/13/2023</t>
  </si>
  <si>
    <t>FB150-1153</t>
  </si>
  <si>
    <t>Presidio</t>
  </si>
  <si>
    <t>5-Light Black Drum Shade Chandelier</t>
  </si>
  <si>
    <t>Gold/Black</t>
  </si>
  <si>
    <t>1/28/2021</t>
  </si>
  <si>
    <t>AMAZONDS,AMERSIGNDS,KIRKLANDDS,LAMPDS,OVERSTOCK01,TGTDVS</t>
  </si>
  <si>
    <t>MPS150-0067</t>
  </si>
  <si>
    <t>5-Light White Drum Shade Chandelier</t>
  </si>
  <si>
    <t>PF003212</t>
  </si>
  <si>
    <t>10/6/2017</t>
  </si>
  <si>
    <t>AMAZON,CASTLEGATE,CSNSTORES,LAMPDS,OVERSTOCK01,TGTDVS</t>
  </si>
  <si>
    <t>MPS150-0107</t>
  </si>
  <si>
    <t>Silver/White</t>
  </si>
  <si>
    <t>AMAZONDS,CASTLEGATE,CSNSTORES,HOUZZ,KOHLDSN,OVERSTOCK01</t>
  </si>
  <si>
    <t>FB150-1163</t>
  </si>
  <si>
    <t>Savor</t>
  </si>
  <si>
    <t>6-Light Traditional Candelabra Styled Chandelier</t>
  </si>
  <si>
    <t>5/4/2022</t>
  </si>
  <si>
    <t>8/21/2023</t>
  </si>
  <si>
    <t>FB154-1164</t>
  </si>
  <si>
    <t>LGT-FLOOR LAMPS</t>
  </si>
  <si>
    <t>FLOOR LAMPS</t>
  </si>
  <si>
    <t>Aster</t>
  </si>
  <si>
    <t>Angular Arched Metal Floor Lamp</t>
  </si>
  <si>
    <t>CSNSTORES,JCPENNEY01,KIRKLANDDS,KOHLDSN,OVERSTOCK01,TGTDVS,ZOLA</t>
  </si>
  <si>
    <t>FB154-1177</t>
  </si>
  <si>
    <t>9/1/2023</t>
  </si>
  <si>
    <t>FB154-1172</t>
  </si>
  <si>
    <t>Attwell</t>
  </si>
  <si>
    <t>Arched Metal Floor Lamp</t>
  </si>
  <si>
    <t>MP154-0200</t>
  </si>
  <si>
    <t>Arched Floor Lamp with Marble Base</t>
  </si>
  <si>
    <t>10/14/2019</t>
  </si>
  <si>
    <t>AMAZONDS,OVERSTOCK01,ZOLA</t>
  </si>
  <si>
    <t>12/27/2023</t>
  </si>
  <si>
    <t>FB154-1165</t>
  </si>
  <si>
    <t>Bellow</t>
  </si>
  <si>
    <t>Uplight Floor Lamp with Mercury Glass Shade</t>
  </si>
  <si>
    <t>Antique Brass</t>
  </si>
  <si>
    <t>AMERSIGNDS,CSNSTORES,JCPENNEY01,KIRKLANDDS,OVERSTOCK01</t>
  </si>
  <si>
    <t>6/11/2023</t>
  </si>
  <si>
    <t>6/29/2023</t>
  </si>
  <si>
    <t>FB154-1166</t>
  </si>
  <si>
    <t>Ellsworth</t>
  </si>
  <si>
    <t>Asymmetrical Adjustable Height Metal Floor Lamp</t>
  </si>
  <si>
    <t>MP151-0198</t>
  </si>
  <si>
    <t>LGT-PENDANTS</t>
  </si>
  <si>
    <t>PENDANTS</t>
  </si>
  <si>
    <t>Bell Shaped Glass Pendant</t>
  </si>
  <si>
    <t>Dia.9"</t>
  </si>
  <si>
    <t>Bronze/Clear</t>
  </si>
  <si>
    <t>AMAZONDS,AMERSIGNDS,CSNSTORES,HOUZZ,KIRKLANDDS,KOHLDSN,LAMPDS,OVERSTOCK01,TGTDVS</t>
  </si>
  <si>
    <t>FB151-1188</t>
  </si>
  <si>
    <t>Gold/Amber</t>
  </si>
  <si>
    <t>FB151-1171</t>
  </si>
  <si>
    <t>Gold/Blue</t>
  </si>
  <si>
    <t>9/7/2022</t>
  </si>
  <si>
    <t>FB151-1179</t>
  </si>
  <si>
    <t>Dia.13"</t>
  </si>
  <si>
    <t>Gold/Clear</t>
  </si>
  <si>
    <t>MP151-0123</t>
  </si>
  <si>
    <t>PF002875</t>
  </si>
  <si>
    <t>AMAZON,AMAZONDS,AMERSIGNDS,CSNSTORES,HOUZZ,KIRKLANDDS,LAMPDS,OVERSTOCK01,TGTDVS</t>
  </si>
  <si>
    <t>3/28/2018</t>
  </si>
  <si>
    <t>MP151-0199</t>
  </si>
  <si>
    <t>Silver/Clear</t>
  </si>
  <si>
    <t>AMAZONDS,CSNSTORES,HOUZZ,LAMPDS</t>
  </si>
  <si>
    <t>FB151-1161</t>
  </si>
  <si>
    <t>Elm</t>
  </si>
  <si>
    <t>Bell-Shaped Glass Pendant</t>
  </si>
  <si>
    <t>Smoke Grey</t>
  </si>
  <si>
    <t>FB155-1173</t>
  </si>
  <si>
    <t>LGT-SCONCES</t>
  </si>
  <si>
    <t>SCONCES</t>
  </si>
  <si>
    <t>Metal Wall Sconce with Cylinder Shade, Set of 2</t>
  </si>
  <si>
    <t>11/18/2022</t>
  </si>
  <si>
    <t>7/10/2023</t>
  </si>
  <si>
    <t>FB155-1176</t>
  </si>
  <si>
    <t>Dove</t>
  </si>
  <si>
    <t>Double Tube 2-Light Wall Sconce</t>
  </si>
  <si>
    <t>Frosted glass/gold</t>
  </si>
  <si>
    <t>8/9/2023</t>
  </si>
  <si>
    <t>FB155-1182</t>
  </si>
  <si>
    <t>Luminex</t>
  </si>
  <si>
    <t>White Ceramic Wall Sconce with Adjustable Swing Arm</t>
  </si>
  <si>
    <t>II153-0106</t>
  </si>
  <si>
    <t>Jayda</t>
  </si>
  <si>
    <t>AMERSIGNDS,JCPENNEY01,MACY02</t>
  </si>
  <si>
    <t>II153-0113</t>
  </si>
  <si>
    <t>Agape</t>
  </si>
  <si>
    <t>Boho Ceramic Table Lamp</t>
  </si>
  <si>
    <t>12/22/2021</t>
  </si>
  <si>
    <t>II153-0156</t>
  </si>
  <si>
    <t>Alarid</t>
  </si>
  <si>
    <t>16" Ceramic Table Lamp</t>
  </si>
  <si>
    <t>II153-0108</t>
  </si>
  <si>
    <t>Anzio</t>
  </si>
  <si>
    <t>Ceramic Table Lamp</t>
  </si>
  <si>
    <t>II153-0127</t>
  </si>
  <si>
    <t>Bower</t>
  </si>
  <si>
    <t>2-Light Metal Table Lamp with Chimney Shades</t>
  </si>
  <si>
    <t>II153-0147</t>
  </si>
  <si>
    <t>Bromley</t>
  </si>
  <si>
    <t>Two Tone Pull-chain Table Lamp</t>
  </si>
  <si>
    <t>Gold/Brown</t>
  </si>
  <si>
    <t>7/24/2023</t>
  </si>
  <si>
    <t>II153-0148</t>
  </si>
  <si>
    <t>Bryson</t>
  </si>
  <si>
    <t>Dome-Shaped 2-Light Metal Table Lamp</t>
  </si>
  <si>
    <t>II153-0006</t>
  </si>
  <si>
    <t>Chrislie</t>
  </si>
  <si>
    <t>Triangular Table Lamp</t>
  </si>
  <si>
    <t>PF002782</t>
  </si>
  <si>
    <t>10/18/2016</t>
  </si>
  <si>
    <t>II153-0023</t>
  </si>
  <si>
    <t>Contour</t>
  </si>
  <si>
    <t>PF002798</t>
  </si>
  <si>
    <t>AMAZONDS,KOHLDSN,OVERSTOCK01,TGTDVS</t>
  </si>
  <si>
    <t>11/21/2016</t>
  </si>
  <si>
    <t>II153-0154</t>
  </si>
  <si>
    <t>Elixir</t>
  </si>
  <si>
    <t>Gold Hourglass Metal Table Lamp</t>
  </si>
  <si>
    <t>II153-0107</t>
  </si>
  <si>
    <t>Ceramic Table Lamp with Handles</t>
  </si>
  <si>
    <t>II153-0150</t>
  </si>
  <si>
    <t>Flinn</t>
  </si>
  <si>
    <t>23" Resin Table Lamp with Faux Wood Texture</t>
  </si>
  <si>
    <t>II153-0146</t>
  </si>
  <si>
    <t>Grace Ivy</t>
  </si>
  <si>
    <t>Textured Dot Table Lamp</t>
  </si>
  <si>
    <t>7/27/2023</t>
  </si>
  <si>
    <t>MPS153-0086</t>
  </si>
  <si>
    <t>Holloway</t>
  </si>
  <si>
    <t>Marble Base Table Lamp</t>
  </si>
  <si>
    <t>II153-0112</t>
  </si>
  <si>
    <t>Kenlyn</t>
  </si>
  <si>
    <t>II153-0126</t>
  </si>
  <si>
    <t>Kittery</t>
  </si>
  <si>
    <t>Metal Table Lamp with Glass Drum Shade</t>
  </si>
  <si>
    <t>Black Base/Frosted Shade</t>
  </si>
  <si>
    <t>AMERSIGNDS,OVERSTOCK01,TGTDVS,ZOLA</t>
  </si>
  <si>
    <t>II153-0152</t>
  </si>
  <si>
    <t>Laguna</t>
  </si>
  <si>
    <t>Laguna Rattan Weave Table Lamp</t>
  </si>
  <si>
    <t>Gold/Natural</t>
  </si>
  <si>
    <t>5DS153-0050</t>
  </si>
  <si>
    <t>Lumivive</t>
  </si>
  <si>
    <t>17" Mercury Glass Table Lamp</t>
  </si>
  <si>
    <t>II153-0144</t>
  </si>
  <si>
    <t>Nelia</t>
  </si>
  <si>
    <t>Frosted Glass Globe Resin Table Lamp</t>
  </si>
  <si>
    <t>II153-0129</t>
  </si>
  <si>
    <t>Triangular Ceramic and Wood Table Lamp</t>
  </si>
  <si>
    <t>White Base/Cream Shade</t>
  </si>
  <si>
    <t>9/18/2023</t>
  </si>
  <si>
    <t>II153-0007</t>
  </si>
  <si>
    <t>Arched Metal Table Lamp with Glass Globe Bulb</t>
  </si>
  <si>
    <t>PF002783</t>
  </si>
  <si>
    <t>II153-0155</t>
  </si>
  <si>
    <t>ZenGlossy</t>
  </si>
  <si>
    <t>Asymmetrical Ceramic Table Lamp</t>
  </si>
  <si>
    <t>Artisan</t>
  </si>
  <si>
    <t>II150-0130</t>
  </si>
  <si>
    <t>Abbott</t>
  </si>
  <si>
    <t>4-Light Metal Shade Chandelier</t>
  </si>
  <si>
    <t>II151-0133</t>
  </si>
  <si>
    <t>5-Light Chandelier with Frosted Glass Globe Bulbs</t>
  </si>
  <si>
    <t>5-Light</t>
  </si>
  <si>
    <t>Farm House|Transitional</t>
  </si>
  <si>
    <t>II151-0134</t>
  </si>
  <si>
    <t>3-Light Chandelier with Frosted Glass Globe Bulbs</t>
  </si>
  <si>
    <t>3-Light</t>
  </si>
  <si>
    <t>11/22/2023</t>
  </si>
  <si>
    <t>II150-0121</t>
  </si>
  <si>
    <t>6-light Ombre Glass Globe Chandelier</t>
  </si>
  <si>
    <t>Antique Brass/Amber</t>
  </si>
  <si>
    <t>AMAZONDS,KIRKLANDDS</t>
  </si>
  <si>
    <t>8/31/2023</t>
  </si>
  <si>
    <t>II150-0153</t>
  </si>
  <si>
    <t>Calista</t>
  </si>
  <si>
    <t>8-Light Metal Chandelier with Globe Bulbs</t>
  </si>
  <si>
    <t>II150-0010</t>
  </si>
  <si>
    <t>Cyrus</t>
  </si>
  <si>
    <t>6-Globe Light Architectural Metal Chandelier</t>
  </si>
  <si>
    <t>PF002786</t>
  </si>
  <si>
    <t>II150-0011</t>
  </si>
  <si>
    <t>PF002787</t>
  </si>
  <si>
    <t>II150-0140</t>
  </si>
  <si>
    <t>Ely</t>
  </si>
  <si>
    <t>3-Light Spiked Chandelier</t>
  </si>
  <si>
    <t>Matte Black /Gold</t>
  </si>
  <si>
    <t>Glam/Luxury|Industrial</t>
  </si>
  <si>
    <t>II150-0118</t>
  </si>
  <si>
    <t>5-Light Metal Chandelier</t>
  </si>
  <si>
    <t>II150-0131</t>
  </si>
  <si>
    <t>Gardham</t>
  </si>
  <si>
    <t>8-Light Sputnik Sphere Chandelier</t>
  </si>
  <si>
    <t>II150-0122</t>
  </si>
  <si>
    <t>6-Light Frosted Glass Globe Linear Chandelier</t>
  </si>
  <si>
    <t>II150-0119</t>
  </si>
  <si>
    <t>11/27/2023</t>
  </si>
  <si>
    <t>II150-0009</t>
  </si>
  <si>
    <t>12-Light Chandelier with Oversized Globe Bulbs</t>
  </si>
  <si>
    <t>PF002785</t>
  </si>
  <si>
    <t>HOUZZ,OVERSTOCK01,ZOLA</t>
  </si>
  <si>
    <t>II150-0008</t>
  </si>
  <si>
    <t>PF002784</t>
  </si>
  <si>
    <t>II150-0077</t>
  </si>
  <si>
    <t>8/5/2018</t>
  </si>
  <si>
    <t>II150-0132</t>
  </si>
  <si>
    <t>Renzetti</t>
  </si>
  <si>
    <t>6-Light Contemporary Candelabra Styled Chandelier</t>
  </si>
  <si>
    <t>II150-0149</t>
  </si>
  <si>
    <t>Serenitie</t>
  </si>
  <si>
    <t>5-Light Linear Chandelier</t>
  </si>
  <si>
    <t>10/25/2023</t>
  </si>
  <si>
    <t>II150-0116</t>
  </si>
  <si>
    <t>Trenton</t>
  </si>
  <si>
    <t>6-Light Chandelier with Cylinder Glass Shades</t>
  </si>
  <si>
    <t>9/11/2023</t>
  </si>
  <si>
    <t>II154-0123</t>
  </si>
  <si>
    <t>Arched Metal Floor Lamp with Chimney Shade</t>
  </si>
  <si>
    <t>II154-0124</t>
  </si>
  <si>
    <t>Bristol</t>
  </si>
  <si>
    <t>Arched Metal Floor Lamp with Frosted Glass Shade</t>
  </si>
  <si>
    <t>Matte Black Base/Frosted Shade</t>
  </si>
  <si>
    <t>MPS154-0087</t>
  </si>
  <si>
    <t>3-Globe Light Floor Lamp with Marble Base</t>
  </si>
  <si>
    <t>10/16/2018</t>
  </si>
  <si>
    <t>II154-0117</t>
  </si>
  <si>
    <t>Keller</t>
  </si>
  <si>
    <t>Adjustable Arched Floor Lamp with Drum Shade</t>
  </si>
  <si>
    <t>Oil Rubbed Bronze/Cream</t>
  </si>
  <si>
    <t>OVERSTOCK01,ZOLA</t>
  </si>
  <si>
    <t>FPF21-0367</t>
  </si>
  <si>
    <t>Pacific</t>
  </si>
  <si>
    <t>Metal Tripod Floor Lamp with Glass Shade</t>
  </si>
  <si>
    <t>PF002773</t>
  </si>
  <si>
    <t>AMERSIGNDS,CSNSTORES,MACY02,NEBFUR01,OVERSTOCK01</t>
  </si>
  <si>
    <t>8/1/2016</t>
  </si>
  <si>
    <t>1/6/2017</t>
  </si>
  <si>
    <t>II154-0091</t>
  </si>
  <si>
    <t>II152-0142</t>
  </si>
  <si>
    <t>LGT-FLUSHMOUNTS</t>
  </si>
  <si>
    <t>FLUSHMOUNTS</t>
  </si>
  <si>
    <t>Mililani</t>
  </si>
  <si>
    <t>Boho Bamboo Flush Mount Ceiling Light</t>
  </si>
  <si>
    <t>II151-0114</t>
  </si>
  <si>
    <t>Farmhouse Metal Pendant</t>
  </si>
  <si>
    <t>II151-0136</t>
  </si>
  <si>
    <t>Geometric Bamboo Pendant</t>
  </si>
  <si>
    <t>II151-0137</t>
  </si>
  <si>
    <t>Bell Shaped Rope Pendant</t>
  </si>
  <si>
    <t>II151-0135</t>
  </si>
  <si>
    <t>Astrid</t>
  </si>
  <si>
    <t>Bowl Shaped Bamboo Pendant</t>
  </si>
  <si>
    <t>II151-0115</t>
  </si>
  <si>
    <t>Jaxson</t>
  </si>
  <si>
    <t>Metal Mesh Pendant</t>
  </si>
  <si>
    <t>II151-0139</t>
  </si>
  <si>
    <t>Orion</t>
  </si>
  <si>
    <t>Natural Rope and Metal Mesh Cylinder Pendant</t>
  </si>
  <si>
    <t>II151-0105</t>
  </si>
  <si>
    <t>Metal Pendant with Drum Shade</t>
  </si>
  <si>
    <t>Plated Nickel</t>
  </si>
  <si>
    <t>II151-0141</t>
  </si>
  <si>
    <t>Ramsey</t>
  </si>
  <si>
    <t>Natural Woven Rope Pendant</t>
  </si>
  <si>
    <t>Matte Black/Natural</t>
  </si>
  <si>
    <t>II151-0120</t>
  </si>
  <si>
    <t>saben</t>
  </si>
  <si>
    <t>2-Tier Layered Shade Pendant</t>
  </si>
  <si>
    <t>II151-0138</t>
  </si>
  <si>
    <t>Wren</t>
  </si>
  <si>
    <t>Bell Shaped Bamboo Pendant</t>
  </si>
  <si>
    <t>7/28/2023</t>
  </si>
  <si>
    <t>II155-0145</t>
  </si>
  <si>
    <t>Rattan Weave Wall Sconce</t>
  </si>
  <si>
    <t>MT154-0036</t>
  </si>
  <si>
    <t>Hunts</t>
  </si>
  <si>
    <t>Metal Floor Lamp</t>
  </si>
  <si>
    <t>1/29/2020</t>
  </si>
  <si>
    <t>AMAZONDS,MACY02,OVERSTOCK01,ROOMECOM,TGTDVS</t>
  </si>
  <si>
    <t>10/11/2023</t>
  </si>
  <si>
    <t>MT154-0070</t>
  </si>
  <si>
    <t>Aelorian</t>
  </si>
  <si>
    <t>Floor Lamp 59"H</t>
  </si>
  <si>
    <t>AMAZON,AMAZONDS,CSNSTORES,JCPENNEY01,OVERSTOCK01</t>
  </si>
  <si>
    <t>9/6/2023</t>
  </si>
  <si>
    <t>MT154-0065</t>
  </si>
  <si>
    <t>Charlton</t>
  </si>
  <si>
    <t>Metal Floor Lamp with Glass Cylinder Shade</t>
  </si>
  <si>
    <t>MT154-0050</t>
  </si>
  <si>
    <t>Clyde</t>
  </si>
  <si>
    <t>Metal Tripod Floor Lamp 60"H</t>
  </si>
  <si>
    <t>8/4/2021</t>
  </si>
  <si>
    <t>MT154-0071</t>
  </si>
  <si>
    <t>Nassau</t>
  </si>
  <si>
    <t>Metal Bamboo Floor Lamp 60"H</t>
  </si>
  <si>
    <t>Black/Natural</t>
  </si>
  <si>
    <t>MT150-0066</t>
  </si>
  <si>
    <t>8-Light Traditional Metal Chandelier</t>
  </si>
  <si>
    <t>Glossy White</t>
  </si>
  <si>
    <t>MT151-0067</t>
  </si>
  <si>
    <t>Camden</t>
  </si>
  <si>
    <t>4-Light Glass Bowl Shaped Chandelier</t>
  </si>
  <si>
    <t>MT153-0078</t>
  </si>
  <si>
    <t>Table Lamp 28"H</t>
  </si>
  <si>
    <t>MT153-0053</t>
  </si>
  <si>
    <t>Astoria</t>
  </si>
  <si>
    <t>Resin Buffet Table Lamp</t>
  </si>
  <si>
    <t>MT153-0049</t>
  </si>
  <si>
    <t>CSNSTORES,JCPENNEY01,KIRKLANDDS,KOHLDSN,OVERSTOCK01,TGTDVS</t>
  </si>
  <si>
    <t>8/27/2023</t>
  </si>
  <si>
    <t>MT153-0068</t>
  </si>
  <si>
    <t>Doyer</t>
  </si>
  <si>
    <t>Metal Table Lamp</t>
  </si>
  <si>
    <t>MT153-0051</t>
  </si>
  <si>
    <t>Glendale</t>
  </si>
  <si>
    <t>Ribbed Ceramic Table Lamp</t>
  </si>
  <si>
    <t>10/25/2021</t>
  </si>
  <si>
    <t>7/25/2023</t>
  </si>
  <si>
    <t>MT153-0072</t>
  </si>
  <si>
    <t>Hawley</t>
  </si>
  <si>
    <t>Faux Leather Table Lamp</t>
  </si>
  <si>
    <t>11/15/2023</t>
  </si>
  <si>
    <t>MT153-0015</t>
  </si>
  <si>
    <t>Jemma</t>
  </si>
  <si>
    <t>9/25/2019</t>
  </si>
  <si>
    <t>11/13/2022</t>
  </si>
  <si>
    <t>MT153-0069</t>
  </si>
  <si>
    <t>Landsdown</t>
  </si>
  <si>
    <t>Black Faceted Table Lamp 24.25"H</t>
  </si>
  <si>
    <t>11/14/2023</t>
  </si>
  <si>
    <t>MT153-0077</t>
  </si>
  <si>
    <t>Mystique</t>
  </si>
  <si>
    <t>Blue Ceramic Ginger Jar Table Lamp</t>
  </si>
  <si>
    <t>MT153-0073</t>
  </si>
  <si>
    <t>Provencal</t>
  </si>
  <si>
    <t>29"H Resin Table Lamp Set of 2</t>
  </si>
  <si>
    <t>12/9/2023</t>
  </si>
  <si>
    <t>MPS150-0093</t>
  </si>
  <si>
    <t>Layered Capiz Chandelier</t>
  </si>
  <si>
    <t>12/9/2017</t>
  </si>
  <si>
    <t>AMAZON,CSNSTORES,JCPENNEY01,LAMPDS,OVERSTOCK01,TGTDVS,Zulily</t>
  </si>
  <si>
    <t>UH154-0051</t>
  </si>
  <si>
    <t>Alta</t>
  </si>
  <si>
    <t>3-Light Metal Floor Lamp</t>
  </si>
  <si>
    <t>JCPENNEY01,ROOMECOM</t>
  </si>
  <si>
    <t>11/28/2018</t>
  </si>
  <si>
    <t>UH153-0057</t>
  </si>
  <si>
    <t>Borel</t>
  </si>
  <si>
    <t>Ombre Glass Table Lamp</t>
  </si>
  <si>
    <t>10/4/2017</t>
  </si>
  <si>
    <t>AMERSIGNDS,ASHFURNDS,CSNSTORES,JCPENNEY01,OVERSTOCK01,ROOMECOM</t>
  </si>
  <si>
    <t>7/11/2018</t>
  </si>
  <si>
    <t>UH153-0099</t>
  </si>
  <si>
    <t>AMERSIGNDS,CSNSTORES,DESINC,HOUZZ,JCPENNEY01,KIRKLANDDS,KOHLDSN,OVERSTOCK01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</si>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</sst>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14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91</v>
      </c>
      <c r="H6" s="2" t="s">
        <v>91</v>
      </c>
      <c r="I6" s="2" t="s">
        <v>92</v>
      </c>
      <c r="J6" s="2" t="s">
        <v>93</v>
      </c>
      <c r="K6" s="2" t="s">
        <v>94</v>
      </c>
      <c r="L6" s="3">
        <v>36.42</v>
      </c>
      <c r="M6" s="3">
        <v>38.24</v>
      </c>
      <c r="N6" s="3">
        <v>76.49</v>
      </c>
      <c r="O6" s="2" t="s">
        <v>95</v>
      </c>
      <c r="P6" s="2" t="s">
        <v>96</v>
      </c>
      <c r="Q6" s="2" t="s">
        <v>97</v>
      </c>
      <c r="R6" s="2" t="s">
        <v>98</v>
      </c>
      <c r="S6" s="2" t="s">
        <v>99</v>
      </c>
      <c r="T6" s="2" t="s">
        <v>98</v>
      </c>
      <c r="U6" s="2" t="s">
        <v>100</v>
      </c>
      <c r="V6" s="2" t="s">
        <v>101</v>
      </c>
      <c r="W6" s="2" t="s">
        <v>102</v>
      </c>
      <c r="X6" s="2" t="s">
        <v>103</v>
      </c>
      <c r="Y6" s="2" t="s">
        <v>104</v>
      </c>
      <c r="Z6" s="4">
        <v>141</v>
      </c>
      <c r="AA6" s="4">
        <f>=ROUNDDOWN(9.4,0)</f>
      </c>
      <c r="AB6" s="5">
        <v>15</v>
      </c>
      <c r="AC6" s="2" t="s">
        <v>105</v>
      </c>
      <c r="AD6" s="4">
        <v>150</v>
      </c>
      <c r="AE6" s="4">
        <v>250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98</v>
      </c>
      <c r="AM6" s="4"/>
      <c r="AN6" s="4"/>
      <c r="AO6" s="7">
        <v>0</v>
      </c>
      <c r="AP6" s="4">
        <v>2</v>
      </c>
      <c r="AQ6" s="8">
        <v>94.48</v>
      </c>
      <c r="AR6" s="4"/>
      <c r="AS6" s="8"/>
      <c r="AT6" s="7"/>
      <c r="AU6" s="7"/>
      <c r="AV6" s="4">
        <v>2</v>
      </c>
      <c r="AW6" s="8">
        <v>94.48</v>
      </c>
      <c r="AX6" s="4"/>
      <c r="AY6" s="8"/>
      <c r="AZ6" s="7"/>
      <c r="BA6" s="7"/>
      <c r="BB6" s="7">
        <v>1</v>
      </c>
      <c r="BC6" s="4">
        <v>2</v>
      </c>
      <c r="BD6" s="8">
        <v>94.48</v>
      </c>
      <c r="BE6" s="4"/>
      <c r="BF6" s="8"/>
      <c r="BG6" s="7"/>
      <c r="BH6" s="7"/>
      <c r="BI6" s="7">
        <v>1</v>
      </c>
      <c r="BJ6" s="4">
        <v>19</v>
      </c>
      <c r="BK6" s="8">
        <v>842.24</v>
      </c>
      <c r="BL6" s="2" t="s">
        <v>106</v>
      </c>
      <c r="BM6" s="7">
        <v>0.1053</v>
      </c>
      <c r="BN6" s="7">
        <v>0.1122</v>
      </c>
      <c r="BO6" s="4">
        <v>2</v>
      </c>
      <c r="BP6" s="8">
        <v>94.48</v>
      </c>
      <c r="BQ6" s="4"/>
      <c r="BR6" s="8"/>
      <c r="BS6" s="7"/>
      <c r="BT6" s="7"/>
      <c r="BU6" s="2" t="s">
        <v>107</v>
      </c>
      <c r="BV6" s="2" t="s">
        <v>95</v>
      </c>
      <c r="BW6" s="2" t="s">
        <v>108</v>
      </c>
      <c r="BX6" s="2" t="s">
        <v>109</v>
      </c>
      <c r="BY6" s="2" t="s">
        <v>110</v>
      </c>
      <c r="BZ6" s="2" t="s">
        <v>98</v>
      </c>
    </row>
    <row r="7">
      <c r="A7" s="2" t="s">
        <v>111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112</v>
      </c>
      <c r="G7" s="2" t="s">
        <v>112</v>
      </c>
      <c r="H7" s="2" t="s">
        <v>112</v>
      </c>
      <c r="I7" s="2" t="s">
        <v>113</v>
      </c>
      <c r="J7" s="2" t="s">
        <v>93</v>
      </c>
      <c r="K7" s="2" t="s">
        <v>114</v>
      </c>
      <c r="L7" s="3">
        <v>31.08</v>
      </c>
      <c r="M7" s="3">
        <v>32.63</v>
      </c>
      <c r="N7" s="3">
        <v>65.44</v>
      </c>
      <c r="O7" s="2" t="s">
        <v>95</v>
      </c>
      <c r="P7" s="2" t="s">
        <v>115</v>
      </c>
      <c r="Q7" s="2" t="s">
        <v>97</v>
      </c>
      <c r="R7" s="2" t="s">
        <v>98</v>
      </c>
      <c r="S7" s="2" t="s">
        <v>116</v>
      </c>
      <c r="T7" s="2" t="s">
        <v>98</v>
      </c>
      <c r="U7" s="2" t="s">
        <v>117</v>
      </c>
      <c r="V7" s="2" t="s">
        <v>118</v>
      </c>
      <c r="W7" s="2" t="s">
        <v>102</v>
      </c>
      <c r="X7" s="2" t="s">
        <v>119</v>
      </c>
      <c r="Y7" s="2" t="s">
        <v>120</v>
      </c>
      <c r="Z7" s="4">
        <v>127</v>
      </c>
      <c r="AA7" s="4">
        <f>=ROUNDDOWN(57.7272727272727,0)</f>
      </c>
      <c r="AB7" s="5">
        <v>2.2</v>
      </c>
      <c r="AC7" s="2" t="s">
        <v>98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98</v>
      </c>
      <c r="AM7" s="4"/>
      <c r="AN7" s="4"/>
      <c r="AO7" s="7">
        <v>0</v>
      </c>
      <c r="AP7" s="4">
        <v>1</v>
      </c>
      <c r="AQ7" s="8">
        <v>40.32</v>
      </c>
      <c r="AR7" s="4"/>
      <c r="AS7" s="8"/>
      <c r="AT7" s="7"/>
      <c r="AU7" s="7"/>
      <c r="AV7" s="4">
        <v>1</v>
      </c>
      <c r="AW7" s="8">
        <v>40.32</v>
      </c>
      <c r="AX7" s="4"/>
      <c r="AY7" s="8"/>
      <c r="AZ7" s="7"/>
      <c r="BA7" s="7"/>
      <c r="BB7" s="7">
        <v>1</v>
      </c>
      <c r="BC7" s="4">
        <v>1</v>
      </c>
      <c r="BD7" s="8">
        <v>40.32</v>
      </c>
      <c r="BE7" s="4"/>
      <c r="BF7" s="8"/>
      <c r="BG7" s="7"/>
      <c r="BH7" s="7"/>
      <c r="BI7" s="7">
        <v>1</v>
      </c>
      <c r="BJ7" s="4">
        <v>1</v>
      </c>
      <c r="BK7" s="8">
        <v>40.32</v>
      </c>
      <c r="BL7" s="2" t="s">
        <v>121</v>
      </c>
      <c r="BM7" s="7">
        <v>1</v>
      </c>
      <c r="BN7" s="7">
        <v>1</v>
      </c>
      <c r="BO7" s="4">
        <v>1</v>
      </c>
      <c r="BP7" s="8">
        <v>40.32</v>
      </c>
      <c r="BQ7" s="4"/>
      <c r="BR7" s="8"/>
      <c r="BS7" s="7"/>
      <c r="BT7" s="7"/>
      <c r="BU7" s="2" t="s">
        <v>107</v>
      </c>
      <c r="BV7" s="2" t="s">
        <v>95</v>
      </c>
      <c r="BW7" s="2" t="s">
        <v>122</v>
      </c>
      <c r="BX7" s="2" t="s">
        <v>123</v>
      </c>
      <c r="BY7" s="2" t="s">
        <v>110</v>
      </c>
      <c r="BZ7" s="2" t="s">
        <v>98</v>
      </c>
    </row>
    <row r="8">
      <c r="A8" s="2" t="s">
        <v>124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125</v>
      </c>
      <c r="G8" s="2" t="s">
        <v>125</v>
      </c>
      <c r="H8" s="2" t="s">
        <v>125</v>
      </c>
      <c r="I8" s="2" t="s">
        <v>126</v>
      </c>
      <c r="J8" s="2" t="s">
        <v>93</v>
      </c>
      <c r="K8" s="2" t="s">
        <v>127</v>
      </c>
      <c r="L8" s="3">
        <v>23.99</v>
      </c>
      <c r="M8" s="3">
        <v>25.19</v>
      </c>
      <c r="N8" s="3">
        <v>52.69</v>
      </c>
      <c r="O8" s="2" t="s">
        <v>95</v>
      </c>
      <c r="P8" s="2" t="s">
        <v>96</v>
      </c>
      <c r="Q8" s="2" t="s">
        <v>97</v>
      </c>
      <c r="R8" s="2" t="s">
        <v>98</v>
      </c>
      <c r="S8" s="2" t="s">
        <v>128</v>
      </c>
      <c r="T8" s="2" t="s">
        <v>98</v>
      </c>
      <c r="U8" s="2" t="s">
        <v>117</v>
      </c>
      <c r="V8" s="2" t="s">
        <v>101</v>
      </c>
      <c r="W8" s="2" t="s">
        <v>103</v>
      </c>
      <c r="X8" s="2" t="s">
        <v>102</v>
      </c>
      <c r="Y8" s="2" t="s">
        <v>120</v>
      </c>
      <c r="Z8" s="4">
        <v>201</v>
      </c>
      <c r="AA8" s="4">
        <f>=ROUNDDOWN(10.5789473684211,0)</f>
      </c>
      <c r="AB8" s="5">
        <v>19</v>
      </c>
      <c r="AC8" s="2" t="s">
        <v>105</v>
      </c>
      <c r="AD8" s="4">
        <v>400</v>
      </c>
      <c r="AE8" s="4">
        <v>474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98</v>
      </c>
      <c r="AM8" s="4"/>
      <c r="AN8" s="4"/>
      <c r="AO8" s="7">
        <v>0</v>
      </c>
      <c r="AP8" s="4">
        <v>1</v>
      </c>
      <c r="AQ8" s="8">
        <v>29.48</v>
      </c>
      <c r="AR8" s="4"/>
      <c r="AS8" s="8"/>
      <c r="AT8" s="7"/>
      <c r="AU8" s="7"/>
      <c r="AV8" s="4">
        <v>1</v>
      </c>
      <c r="AW8" s="8">
        <v>29.48</v>
      </c>
      <c r="AX8" s="4"/>
      <c r="AY8" s="8"/>
      <c r="AZ8" s="7"/>
      <c r="BA8" s="7"/>
      <c r="BB8" s="7">
        <v>1</v>
      </c>
      <c r="BC8" s="4">
        <v>1</v>
      </c>
      <c r="BD8" s="8">
        <v>29.48</v>
      </c>
      <c r="BE8" s="4" t="s">
        <v>98</v>
      </c>
      <c r="BF8" s="8" t="s">
        <v>98</v>
      </c>
      <c r="BG8" s="7" t="s">
        <v>98</v>
      </c>
      <c r="BH8" s="7" t="s">
        <v>98</v>
      </c>
      <c r="BI8" s="7">
        <v>1</v>
      </c>
      <c r="BJ8" s="4">
        <v>12</v>
      </c>
      <c r="BK8" s="8">
        <v>377.64</v>
      </c>
      <c r="BL8" s="2" t="s">
        <v>129</v>
      </c>
      <c r="BM8" s="7">
        <v>0.0833</v>
      </c>
      <c r="BN8" s="7">
        <v>0.0781</v>
      </c>
      <c r="BO8" s="4">
        <v>1</v>
      </c>
      <c r="BP8" s="8">
        <v>29.48</v>
      </c>
      <c r="BQ8" s="4"/>
      <c r="BR8" s="8"/>
      <c r="BS8" s="7"/>
      <c r="BT8" s="7"/>
      <c r="BU8" s="2" t="s">
        <v>107</v>
      </c>
      <c r="BV8" s="2" t="s">
        <v>95</v>
      </c>
      <c r="BW8" s="2" t="s">
        <v>130</v>
      </c>
      <c r="BX8" s="2" t="s">
        <v>131</v>
      </c>
      <c r="BY8" s="2" t="s">
        <v>110</v>
      </c>
      <c r="BZ8" s="2" t="s">
        <v>98</v>
      </c>
    </row>
    <row r="9">
      <c r="A9" s="2" t="s">
        <v>132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125</v>
      </c>
      <c r="G9" s="2" t="s">
        <v>125</v>
      </c>
      <c r="H9" s="2" t="s">
        <v>125</v>
      </c>
      <c r="I9" s="2" t="s">
        <v>126</v>
      </c>
      <c r="J9" s="2" t="s">
        <v>93</v>
      </c>
      <c r="K9" s="2" t="s">
        <v>133</v>
      </c>
      <c r="L9" s="3">
        <v>23.99</v>
      </c>
      <c r="M9" s="3">
        <v>25.19</v>
      </c>
      <c r="N9" s="3">
        <v>52.69</v>
      </c>
      <c r="O9" s="2" t="s">
        <v>95</v>
      </c>
      <c r="P9" s="2" t="s">
        <v>134</v>
      </c>
      <c r="Q9" s="2" t="s">
        <v>97</v>
      </c>
      <c r="R9" s="2" t="s">
        <v>98</v>
      </c>
      <c r="S9" s="2" t="s">
        <v>135</v>
      </c>
      <c r="T9" s="2" t="s">
        <v>98</v>
      </c>
      <c r="U9" s="2" t="s">
        <v>117</v>
      </c>
      <c r="V9" s="2" t="s">
        <v>101</v>
      </c>
      <c r="W9" s="2" t="s">
        <v>103</v>
      </c>
      <c r="X9" s="2" t="s">
        <v>102</v>
      </c>
      <c r="Y9" s="2" t="s">
        <v>120</v>
      </c>
      <c r="Z9" s="4">
        <v>137</v>
      </c>
      <c r="AA9" s="4">
        <f>=ROUNDDOWN(11.4166666666667,0)</f>
      </c>
      <c r="AB9" s="5">
        <v>12</v>
      </c>
      <c r="AC9" s="2" t="s">
        <v>136</v>
      </c>
      <c r="AD9" s="4">
        <v>100</v>
      </c>
      <c r="AE9" s="4">
        <v>250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98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/>
      <c r="AW9" s="8"/>
      <c r="AX9" s="4"/>
      <c r="AY9" s="8"/>
      <c r="AZ9" s="7"/>
      <c r="BA9" s="7"/>
      <c r="BB9" s="7"/>
      <c r="BC9" s="4" t="s">
        <v>98</v>
      </c>
      <c r="BD9" s="8" t="s">
        <v>98</v>
      </c>
      <c r="BE9" s="4" t="s">
        <v>98</v>
      </c>
      <c r="BF9" s="8" t="s">
        <v>98</v>
      </c>
      <c r="BG9" s="7" t="s">
        <v>98</v>
      </c>
      <c r="BH9" s="7" t="s">
        <v>98</v>
      </c>
      <c r="BI9" s="7"/>
      <c r="BJ9" s="4">
        <v>13</v>
      </c>
      <c r="BK9" s="8">
        <v>414.44</v>
      </c>
      <c r="BL9" s="2" t="s">
        <v>137</v>
      </c>
      <c r="BM9" s="7"/>
      <c r="BN9" s="7"/>
      <c r="BO9" s="4"/>
      <c r="BP9" s="8"/>
      <c r="BQ9" s="4"/>
      <c r="BR9" s="8"/>
      <c r="BS9" s="7"/>
      <c r="BT9" s="7"/>
      <c r="BU9" s="2" t="s">
        <v>107</v>
      </c>
      <c r="BV9" s="2" t="s">
        <v>95</v>
      </c>
      <c r="BW9" s="2" t="s">
        <v>130</v>
      </c>
      <c r="BX9" s="2" t="s">
        <v>138</v>
      </c>
      <c r="BY9" s="2" t="s">
        <v>110</v>
      </c>
      <c r="BZ9" s="2" t="s">
        <v>98</v>
      </c>
    </row>
    <row r="10">
      <c r="A10" s="2" t="s">
        <v>139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140</v>
      </c>
      <c r="G10" s="2" t="s">
        <v>140</v>
      </c>
      <c r="H10" s="2" t="s">
        <v>140</v>
      </c>
      <c r="I10" s="2" t="s">
        <v>141</v>
      </c>
      <c r="J10" s="2" t="s">
        <v>93</v>
      </c>
      <c r="K10" s="2" t="s">
        <v>114</v>
      </c>
      <c r="L10" s="3">
        <v>46.7</v>
      </c>
      <c r="M10" s="3">
        <v>49.04</v>
      </c>
      <c r="N10" s="3">
        <v>92.64</v>
      </c>
      <c r="O10" s="2" t="s">
        <v>95</v>
      </c>
      <c r="P10" s="2" t="s">
        <v>142</v>
      </c>
      <c r="Q10" s="2" t="s">
        <v>97</v>
      </c>
      <c r="R10" s="2" t="s">
        <v>98</v>
      </c>
      <c r="S10" s="2" t="s">
        <v>143</v>
      </c>
      <c r="T10" s="2" t="s">
        <v>98</v>
      </c>
      <c r="U10" s="2" t="s">
        <v>144</v>
      </c>
      <c r="V10" s="2" t="s">
        <v>145</v>
      </c>
      <c r="W10" s="2" t="s">
        <v>146</v>
      </c>
      <c r="X10" s="2" t="s">
        <v>119</v>
      </c>
      <c r="Y10" s="2" t="s">
        <v>147</v>
      </c>
      <c r="Z10" s="4">
        <v>59</v>
      </c>
      <c r="AA10" s="4">
        <f>=ROUNDDOWN(18.4375,0)</f>
      </c>
      <c r="AB10" s="5">
        <v>3.2</v>
      </c>
      <c r="AC10" s="2" t="s">
        <v>98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98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/>
      <c r="AW10" s="8"/>
      <c r="AX10" s="4"/>
      <c r="AY10" s="8"/>
      <c r="AZ10" s="7"/>
      <c r="BA10" s="7"/>
      <c r="BB10" s="7"/>
      <c r="BC10" s="4"/>
      <c r="BD10" s="8"/>
      <c r="BE10" s="4"/>
      <c r="BF10" s="8"/>
      <c r="BG10" s="7"/>
      <c r="BH10" s="7"/>
      <c r="BI10" s="7"/>
      <c r="BJ10" s="4">
        <v>4</v>
      </c>
      <c r="BK10" s="8">
        <v>225.59</v>
      </c>
      <c r="BL10" s="2" t="s">
        <v>148</v>
      </c>
      <c r="BM10" s="7"/>
      <c r="BN10" s="7"/>
      <c r="BO10" s="4"/>
      <c r="BP10" s="8"/>
      <c r="BQ10" s="4"/>
      <c r="BR10" s="8"/>
      <c r="BS10" s="7"/>
      <c r="BT10" s="7"/>
      <c r="BU10" s="2" t="s">
        <v>107</v>
      </c>
      <c r="BV10" s="2" t="s">
        <v>95</v>
      </c>
      <c r="BW10" s="2" t="s">
        <v>149</v>
      </c>
      <c r="BX10" s="2" t="s">
        <v>150</v>
      </c>
      <c r="BY10" s="2" t="s">
        <v>110</v>
      </c>
      <c r="BZ10" s="2" t="s">
        <v>98</v>
      </c>
    </row>
    <row r="11">
      <c r="A11" s="2" t="s">
        <v>151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152</v>
      </c>
      <c r="G11" s="2" t="s">
        <v>152</v>
      </c>
      <c r="H11" s="2" t="s">
        <v>152</v>
      </c>
      <c r="I11" s="2" t="s">
        <v>153</v>
      </c>
      <c r="J11" s="2" t="s">
        <v>93</v>
      </c>
      <c r="K11" s="2" t="s">
        <v>154</v>
      </c>
      <c r="L11" s="3">
        <v>52.11</v>
      </c>
      <c r="M11" s="3">
        <v>54.72</v>
      </c>
      <c r="N11" s="3">
        <v>109.99</v>
      </c>
      <c r="O11" s="2" t="s">
        <v>155</v>
      </c>
      <c r="P11" s="2" t="s">
        <v>115</v>
      </c>
      <c r="Q11" s="2" t="s">
        <v>97</v>
      </c>
      <c r="R11" s="2" t="s">
        <v>98</v>
      </c>
      <c r="S11" s="2" t="s">
        <v>156</v>
      </c>
      <c r="T11" s="2" t="s">
        <v>98</v>
      </c>
      <c r="U11" s="2" t="s">
        <v>157</v>
      </c>
      <c r="V11" s="2" t="s">
        <v>118</v>
      </c>
      <c r="W11" s="2" t="s">
        <v>102</v>
      </c>
      <c r="X11" s="2" t="s">
        <v>119</v>
      </c>
      <c r="Y11" s="2" t="s">
        <v>104</v>
      </c>
      <c r="Z11" s="4">
        <v>39</v>
      </c>
      <c r="AA11" s="4">
        <f>=ROUNDDOWN(130,0)</f>
      </c>
      <c r="AB11" s="5">
        <v>0.3</v>
      </c>
      <c r="AC11" s="2" t="s">
        <v>98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98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/>
      <c r="AW11" s="8"/>
      <c r="AX11" s="4"/>
      <c r="AY11" s="8"/>
      <c r="AZ11" s="7"/>
      <c r="BA11" s="7"/>
      <c r="BB11" s="7"/>
      <c r="BC11" s="4"/>
      <c r="BD11" s="8"/>
      <c r="BE11" s="4"/>
      <c r="BF11" s="8"/>
      <c r="BG11" s="7"/>
      <c r="BH11" s="7"/>
      <c r="BI11" s="7"/>
      <c r="BJ11" s="4"/>
      <c r="BK11" s="8"/>
      <c r="BL11" s="2" t="s">
        <v>158</v>
      </c>
      <c r="BM11" s="7"/>
      <c r="BN11" s="7"/>
      <c r="BO11" s="4"/>
      <c r="BP11" s="8"/>
      <c r="BQ11" s="4"/>
      <c r="BR11" s="8"/>
      <c r="BS11" s="7"/>
      <c r="BT11" s="7"/>
      <c r="BU11" s="2" t="s">
        <v>107</v>
      </c>
      <c r="BV11" s="2" t="s">
        <v>95</v>
      </c>
      <c r="BW11" s="2" t="s">
        <v>108</v>
      </c>
      <c r="BX11" s="2" t="s">
        <v>98</v>
      </c>
      <c r="BY11" s="2" t="s">
        <v>110</v>
      </c>
      <c r="BZ11" s="2" t="s">
        <v>98</v>
      </c>
    </row>
    <row r="12">
      <c r="A12" s="2" t="s">
        <v>159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160</v>
      </c>
      <c r="G12" s="2" t="s">
        <v>160</v>
      </c>
      <c r="H12" s="2" t="s">
        <v>160</v>
      </c>
      <c r="I12" s="2" t="s">
        <v>161</v>
      </c>
      <c r="J12" s="2" t="s">
        <v>93</v>
      </c>
      <c r="K12" s="2" t="s">
        <v>162</v>
      </c>
      <c r="L12" s="3">
        <v>40.07</v>
      </c>
      <c r="M12" s="3">
        <v>42.07</v>
      </c>
      <c r="N12" s="3">
        <v>76.49</v>
      </c>
      <c r="O12" s="2" t="s">
        <v>95</v>
      </c>
      <c r="P12" s="2" t="s">
        <v>163</v>
      </c>
      <c r="Q12" s="2" t="s">
        <v>97</v>
      </c>
      <c r="R12" s="2" t="s">
        <v>98</v>
      </c>
      <c r="S12" s="2" t="s">
        <v>164</v>
      </c>
      <c r="T12" s="2" t="s">
        <v>98</v>
      </c>
      <c r="U12" s="2" t="s">
        <v>100</v>
      </c>
      <c r="V12" s="2" t="s">
        <v>101</v>
      </c>
      <c r="W12" s="2" t="s">
        <v>102</v>
      </c>
      <c r="X12" s="2" t="s">
        <v>165</v>
      </c>
      <c r="Y12" s="2" t="s">
        <v>166</v>
      </c>
      <c r="Z12" s="4">
        <v>467</v>
      </c>
      <c r="AA12" s="4">
        <f>=ROUNDDOWN(13.3428571428571,0)</f>
      </c>
      <c r="AB12" s="5">
        <v>35</v>
      </c>
      <c r="AC12" s="2" t="s">
        <v>167</v>
      </c>
      <c r="AD12" s="4">
        <v>112</v>
      </c>
      <c r="AE12" s="4">
        <v>500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98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/>
      <c r="AW12" s="8"/>
      <c r="AX12" s="4"/>
      <c r="AY12" s="8"/>
      <c r="AZ12" s="7"/>
      <c r="BA12" s="7"/>
      <c r="BB12" s="7"/>
      <c r="BC12" s="4"/>
      <c r="BD12" s="8"/>
      <c r="BE12" s="4"/>
      <c r="BF12" s="8"/>
      <c r="BG12" s="7"/>
      <c r="BH12" s="7"/>
      <c r="BI12" s="7"/>
      <c r="BJ12" s="4">
        <v>46</v>
      </c>
      <c r="BK12" s="8">
        <v>2179.56</v>
      </c>
      <c r="BL12" s="2" t="s">
        <v>168</v>
      </c>
      <c r="BM12" s="7"/>
      <c r="BN12" s="7"/>
      <c r="BO12" s="4"/>
      <c r="BP12" s="8"/>
      <c r="BQ12" s="4"/>
      <c r="BR12" s="8"/>
      <c r="BS12" s="7"/>
      <c r="BT12" s="7"/>
      <c r="BU12" s="2" t="s">
        <v>107</v>
      </c>
      <c r="BV12" s="2" t="s">
        <v>95</v>
      </c>
      <c r="BW12" s="2" t="s">
        <v>169</v>
      </c>
      <c r="BX12" s="2" t="s">
        <v>170</v>
      </c>
      <c r="BY12" s="2" t="s">
        <v>110</v>
      </c>
      <c r="BZ12" s="2" t="s">
        <v>98</v>
      </c>
    </row>
    <row r="13">
      <c r="A13" s="2" t="s">
        <v>171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172</v>
      </c>
      <c r="G13" s="2" t="s">
        <v>172</v>
      </c>
      <c r="H13" s="2" t="s">
        <v>172</v>
      </c>
      <c r="I13" s="2" t="s">
        <v>173</v>
      </c>
      <c r="J13" s="2" t="s">
        <v>93</v>
      </c>
      <c r="K13" s="2" t="s">
        <v>174</v>
      </c>
      <c r="L13" s="3">
        <v>20.4</v>
      </c>
      <c r="M13" s="3">
        <v>21.42</v>
      </c>
      <c r="N13" s="3">
        <v>42.49</v>
      </c>
      <c r="O13" s="2" t="s">
        <v>95</v>
      </c>
      <c r="P13" s="2" t="s">
        <v>142</v>
      </c>
      <c r="Q13" s="2" t="s">
        <v>97</v>
      </c>
      <c r="R13" s="2" t="s">
        <v>98</v>
      </c>
      <c r="S13" s="2" t="s">
        <v>175</v>
      </c>
      <c r="T13" s="2" t="s">
        <v>98</v>
      </c>
      <c r="U13" s="2" t="s">
        <v>117</v>
      </c>
      <c r="V13" s="2" t="s">
        <v>145</v>
      </c>
      <c r="W13" s="2" t="s">
        <v>146</v>
      </c>
      <c r="X13" s="2" t="s">
        <v>98</v>
      </c>
      <c r="Y13" s="2" t="s">
        <v>176</v>
      </c>
      <c r="Z13" s="4">
        <v>132</v>
      </c>
      <c r="AA13" s="4">
        <f>=ROUNDDOWN(25.3846153846154,0)</f>
      </c>
      <c r="AB13" s="5">
        <v>5.2</v>
      </c>
      <c r="AC13" s="2" t="s">
        <v>177</v>
      </c>
      <c r="AD13" s="4">
        <v>100</v>
      </c>
      <c r="AE13" s="4">
        <v>100</v>
      </c>
      <c r="AF13" s="6">
        <v>63</v>
      </c>
      <c r="AG13" s="6"/>
      <c r="AH13" s="7">
        <v>1</v>
      </c>
      <c r="AI13" s="4"/>
      <c r="AJ13" s="4">
        <f>=ROUNDDOWN({0},0)</f>
      </c>
      <c r="AK13" s="5"/>
      <c r="AL13" s="2" t="s">
        <v>98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/>
      <c r="AW13" s="8"/>
      <c r="AX13" s="4"/>
      <c r="AY13" s="8"/>
      <c r="AZ13" s="7"/>
      <c r="BA13" s="7"/>
      <c r="BB13" s="7"/>
      <c r="BC13" s="4"/>
      <c r="BD13" s="8"/>
      <c r="BE13" s="4"/>
      <c r="BF13" s="8"/>
      <c r="BG13" s="7"/>
      <c r="BH13" s="7"/>
      <c r="BI13" s="7"/>
      <c r="BJ13" s="4">
        <v>1</v>
      </c>
      <c r="BK13" s="8">
        <v>26.2</v>
      </c>
      <c r="BL13" s="2" t="s">
        <v>178</v>
      </c>
      <c r="BM13" s="7"/>
      <c r="BN13" s="7"/>
      <c r="BO13" s="4"/>
      <c r="BP13" s="8"/>
      <c r="BQ13" s="4"/>
      <c r="BR13" s="8"/>
      <c r="BS13" s="7"/>
      <c r="BT13" s="7"/>
      <c r="BU13" s="2" t="s">
        <v>107</v>
      </c>
      <c r="BV13" s="2" t="s">
        <v>95</v>
      </c>
      <c r="BW13" s="2" t="s">
        <v>149</v>
      </c>
      <c r="BX13" s="2" t="s">
        <v>179</v>
      </c>
      <c r="BY13" s="2" t="s">
        <v>110</v>
      </c>
      <c r="BZ13" s="2" t="s">
        <v>98</v>
      </c>
    </row>
    <row r="14">
      <c r="A14" s="2" t="s">
        <v>180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181</v>
      </c>
      <c r="G14" s="2" t="s">
        <v>181</v>
      </c>
      <c r="H14" s="2" t="s">
        <v>181</v>
      </c>
      <c r="I14" s="2" t="s">
        <v>182</v>
      </c>
      <c r="J14" s="2" t="s">
        <v>93</v>
      </c>
      <c r="K14" s="2" t="s">
        <v>183</v>
      </c>
      <c r="L14" s="3">
        <v>47.23</v>
      </c>
      <c r="M14" s="3">
        <v>49.59</v>
      </c>
      <c r="N14" s="3">
        <v>92.14</v>
      </c>
      <c r="O14" s="2" t="s">
        <v>95</v>
      </c>
      <c r="P14" s="2" t="s">
        <v>96</v>
      </c>
      <c r="Q14" s="2" t="s">
        <v>97</v>
      </c>
      <c r="R14" s="2" t="s">
        <v>98</v>
      </c>
      <c r="S14" s="2" t="s">
        <v>184</v>
      </c>
      <c r="T14" s="2" t="s">
        <v>98</v>
      </c>
      <c r="U14" s="2" t="s">
        <v>100</v>
      </c>
      <c r="V14" s="2" t="s">
        <v>101</v>
      </c>
      <c r="W14" s="2" t="s">
        <v>103</v>
      </c>
      <c r="X14" s="2" t="s">
        <v>146</v>
      </c>
      <c r="Y14" s="2" t="s">
        <v>149</v>
      </c>
      <c r="Z14" s="4">
        <v>186</v>
      </c>
      <c r="AA14" s="4">
        <f>=ROUNDDOWN(18.6,0)</f>
      </c>
      <c r="AB14" s="5">
        <v>10</v>
      </c>
      <c r="AC14" s="2" t="s">
        <v>185</v>
      </c>
      <c r="AD14" s="4">
        <v>120</v>
      </c>
      <c r="AE14" s="4">
        <v>120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98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/>
      <c r="AW14" s="8"/>
      <c r="AX14" s="4"/>
      <c r="AY14" s="8"/>
      <c r="AZ14" s="7"/>
      <c r="BA14" s="7"/>
      <c r="BB14" s="7"/>
      <c r="BC14" s="4" t="s">
        <v>98</v>
      </c>
      <c r="BD14" s="8" t="s">
        <v>98</v>
      </c>
      <c r="BE14" s="4" t="s">
        <v>98</v>
      </c>
      <c r="BF14" s="8" t="s">
        <v>98</v>
      </c>
      <c r="BG14" s="7" t="s">
        <v>98</v>
      </c>
      <c r="BH14" s="7" t="s">
        <v>98</v>
      </c>
      <c r="BI14" s="7"/>
      <c r="BJ14" s="4">
        <v>12</v>
      </c>
      <c r="BK14" s="8">
        <v>655.55</v>
      </c>
      <c r="BL14" s="2" t="s">
        <v>186</v>
      </c>
      <c r="BM14" s="7"/>
      <c r="BN14" s="7"/>
      <c r="BO14" s="4"/>
      <c r="BP14" s="8"/>
      <c r="BQ14" s="4"/>
      <c r="BR14" s="8"/>
      <c r="BS14" s="7"/>
      <c r="BT14" s="7"/>
      <c r="BU14" s="2" t="s">
        <v>107</v>
      </c>
      <c r="BV14" s="2" t="s">
        <v>95</v>
      </c>
      <c r="BW14" s="2" t="s">
        <v>122</v>
      </c>
      <c r="BX14" s="2" t="s">
        <v>123</v>
      </c>
      <c r="BY14" s="2" t="s">
        <v>110</v>
      </c>
      <c r="BZ14" s="2" t="s">
        <v>98</v>
      </c>
    </row>
    <row r="15">
      <c r="A15" s="2" t="s">
        <v>187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181</v>
      </c>
      <c r="G15" s="2" t="s">
        <v>181</v>
      </c>
      <c r="H15" s="2" t="s">
        <v>181</v>
      </c>
      <c r="I15" s="2" t="s">
        <v>182</v>
      </c>
      <c r="J15" s="2" t="s">
        <v>93</v>
      </c>
      <c r="K15" s="2" t="s">
        <v>188</v>
      </c>
      <c r="L15" s="3">
        <v>47.23</v>
      </c>
      <c r="M15" s="3">
        <v>49.59</v>
      </c>
      <c r="N15" s="3">
        <v>92.14</v>
      </c>
      <c r="O15" s="2" t="s">
        <v>95</v>
      </c>
      <c r="P15" s="2" t="s">
        <v>163</v>
      </c>
      <c r="Q15" s="2" t="s">
        <v>97</v>
      </c>
      <c r="R15" s="2" t="s">
        <v>98</v>
      </c>
      <c r="S15" s="2" t="s">
        <v>184</v>
      </c>
      <c r="T15" s="2" t="s">
        <v>98</v>
      </c>
      <c r="U15" s="2" t="s">
        <v>100</v>
      </c>
      <c r="V15" s="2" t="s">
        <v>101</v>
      </c>
      <c r="W15" s="2" t="s">
        <v>103</v>
      </c>
      <c r="X15" s="2" t="s">
        <v>146</v>
      </c>
      <c r="Y15" s="2" t="s">
        <v>149</v>
      </c>
      <c r="Z15" s="4">
        <v>337</v>
      </c>
      <c r="AA15" s="4">
        <f>=ROUNDDOWN(25.9230769230769,0)</f>
      </c>
      <c r="AB15" s="5">
        <v>13</v>
      </c>
      <c r="AC15" s="2" t="s">
        <v>98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98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/>
      <c r="AW15" s="8"/>
      <c r="AX15" s="4"/>
      <c r="AY15" s="8"/>
      <c r="AZ15" s="7"/>
      <c r="BA15" s="7"/>
      <c r="BB15" s="7"/>
      <c r="BC15" s="4" t="s">
        <v>98</v>
      </c>
      <c r="BD15" s="8" t="s">
        <v>98</v>
      </c>
      <c r="BE15" s="4" t="s">
        <v>98</v>
      </c>
      <c r="BF15" s="8" t="s">
        <v>98</v>
      </c>
      <c r="BG15" s="7" t="s">
        <v>98</v>
      </c>
      <c r="BH15" s="7" t="s">
        <v>98</v>
      </c>
      <c r="BI15" s="7"/>
      <c r="BJ15" s="4">
        <v>7</v>
      </c>
      <c r="BK15" s="8">
        <v>401.9</v>
      </c>
      <c r="BL15" s="2" t="s">
        <v>189</v>
      </c>
      <c r="BM15" s="7"/>
      <c r="BN15" s="7"/>
      <c r="BO15" s="4"/>
      <c r="BP15" s="8"/>
      <c r="BQ15" s="4"/>
      <c r="BR15" s="8"/>
      <c r="BS15" s="7"/>
      <c r="BT15" s="7"/>
      <c r="BU15" s="2" t="s">
        <v>107</v>
      </c>
      <c r="BV15" s="2" t="s">
        <v>95</v>
      </c>
      <c r="BW15" s="2" t="s">
        <v>122</v>
      </c>
      <c r="BX15" s="2" t="s">
        <v>190</v>
      </c>
      <c r="BY15" s="2" t="s">
        <v>110</v>
      </c>
      <c r="BZ15" s="2" t="s">
        <v>98</v>
      </c>
    </row>
    <row r="16">
      <c r="A16" s="2" t="s">
        <v>191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181</v>
      </c>
      <c r="G16" s="2" t="s">
        <v>181</v>
      </c>
      <c r="H16" s="2" t="s">
        <v>181</v>
      </c>
      <c r="I16" s="2" t="s">
        <v>182</v>
      </c>
      <c r="J16" s="2" t="s">
        <v>93</v>
      </c>
      <c r="K16" s="2" t="s">
        <v>174</v>
      </c>
      <c r="L16" s="3">
        <v>47.23</v>
      </c>
      <c r="M16" s="3">
        <v>49.59</v>
      </c>
      <c r="N16" s="3">
        <v>92.14</v>
      </c>
      <c r="O16" s="2" t="s">
        <v>95</v>
      </c>
      <c r="P16" s="2" t="s">
        <v>163</v>
      </c>
      <c r="Q16" s="2" t="s">
        <v>97</v>
      </c>
      <c r="R16" s="2" t="s">
        <v>98</v>
      </c>
      <c r="S16" s="2" t="s">
        <v>192</v>
      </c>
      <c r="T16" s="2" t="s">
        <v>98</v>
      </c>
      <c r="U16" s="2" t="s">
        <v>100</v>
      </c>
      <c r="V16" s="2" t="s">
        <v>101</v>
      </c>
      <c r="W16" s="2" t="s">
        <v>103</v>
      </c>
      <c r="X16" s="2" t="s">
        <v>98</v>
      </c>
      <c r="Y16" s="2" t="s">
        <v>193</v>
      </c>
      <c r="Z16" s="4">
        <v>261</v>
      </c>
      <c r="AA16" s="4">
        <f>=ROUNDDOWN(16.3125,0)</f>
      </c>
      <c r="AB16" s="5">
        <v>16</v>
      </c>
      <c r="AC16" s="2" t="s">
        <v>194</v>
      </c>
      <c r="AD16" s="4">
        <v>90</v>
      </c>
      <c r="AE16" s="4">
        <v>90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98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 t="s">
        <v>98</v>
      </c>
      <c r="BD16" s="8" t="s">
        <v>98</v>
      </c>
      <c r="BE16" s="4" t="s">
        <v>98</v>
      </c>
      <c r="BF16" s="8" t="s">
        <v>98</v>
      </c>
      <c r="BG16" s="7" t="s">
        <v>98</v>
      </c>
      <c r="BH16" s="7" t="s">
        <v>98</v>
      </c>
      <c r="BI16" s="7"/>
      <c r="BJ16" s="4">
        <v>24</v>
      </c>
      <c r="BK16" s="8">
        <v>1227.76</v>
      </c>
      <c r="BL16" s="2" t="s">
        <v>195</v>
      </c>
      <c r="BM16" s="7"/>
      <c r="BN16" s="7"/>
      <c r="BO16" s="4"/>
      <c r="BP16" s="8"/>
      <c r="BQ16" s="4"/>
      <c r="BR16" s="8"/>
      <c r="BS16" s="7"/>
      <c r="BT16" s="7"/>
      <c r="BU16" s="2" t="s">
        <v>107</v>
      </c>
      <c r="BV16" s="2" t="s">
        <v>95</v>
      </c>
      <c r="BW16" s="2" t="s">
        <v>196</v>
      </c>
      <c r="BX16" s="2" t="s">
        <v>197</v>
      </c>
      <c r="BY16" s="2" t="s">
        <v>110</v>
      </c>
      <c r="BZ16" s="2" t="s">
        <v>98</v>
      </c>
    </row>
    <row r="17">
      <c r="A17" s="2" t="s">
        <v>198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199</v>
      </c>
      <c r="G17" s="2" t="s">
        <v>199</v>
      </c>
      <c r="H17" s="2" t="s">
        <v>199</v>
      </c>
      <c r="I17" s="2" t="s">
        <v>200</v>
      </c>
      <c r="J17" s="2" t="s">
        <v>93</v>
      </c>
      <c r="K17" s="2" t="s">
        <v>201</v>
      </c>
      <c r="L17" s="3">
        <v>28.22</v>
      </c>
      <c r="M17" s="3">
        <v>29.63</v>
      </c>
      <c r="N17" s="3">
        <v>59.49</v>
      </c>
      <c r="O17" s="2" t="s">
        <v>95</v>
      </c>
      <c r="P17" s="2" t="s">
        <v>134</v>
      </c>
      <c r="Q17" s="2" t="s">
        <v>97</v>
      </c>
      <c r="R17" s="2" t="s">
        <v>98</v>
      </c>
      <c r="S17" s="2" t="s">
        <v>202</v>
      </c>
      <c r="T17" s="2" t="s">
        <v>98</v>
      </c>
      <c r="U17" s="2" t="s">
        <v>117</v>
      </c>
      <c r="V17" s="2" t="s">
        <v>203</v>
      </c>
      <c r="W17" s="2" t="s">
        <v>204</v>
      </c>
      <c r="X17" s="2" t="s">
        <v>98</v>
      </c>
      <c r="Y17" s="2" t="s">
        <v>193</v>
      </c>
      <c r="Z17" s="4">
        <v>72</v>
      </c>
      <c r="AA17" s="4">
        <f>=ROUNDDOWN(8,0)</f>
      </c>
      <c r="AB17" s="5">
        <v>9</v>
      </c>
      <c r="AC17" s="2" t="s">
        <v>136</v>
      </c>
      <c r="AD17" s="4">
        <v>100</v>
      </c>
      <c r="AE17" s="4">
        <v>200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98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/>
      <c r="BD17" s="8"/>
      <c r="BE17" s="4"/>
      <c r="BF17" s="8"/>
      <c r="BG17" s="7"/>
      <c r="BH17" s="7"/>
      <c r="BI17" s="7"/>
      <c r="BJ17" s="4">
        <v>4</v>
      </c>
      <c r="BK17" s="8">
        <v>147.83</v>
      </c>
      <c r="BL17" s="2" t="s">
        <v>205</v>
      </c>
      <c r="BM17" s="7"/>
      <c r="BN17" s="7"/>
      <c r="BO17" s="4"/>
      <c r="BP17" s="8"/>
      <c r="BQ17" s="4"/>
      <c r="BR17" s="8"/>
      <c r="BS17" s="7"/>
      <c r="BT17" s="7"/>
      <c r="BU17" s="2" t="s">
        <v>107</v>
      </c>
      <c r="BV17" s="2" t="s">
        <v>95</v>
      </c>
      <c r="BW17" s="2" t="s">
        <v>206</v>
      </c>
      <c r="BX17" s="2" t="s">
        <v>207</v>
      </c>
      <c r="BY17" s="2" t="s">
        <v>110</v>
      </c>
      <c r="BZ17" s="2" t="s">
        <v>98</v>
      </c>
    </row>
    <row r="18">
      <c r="A18" s="2" t="s">
        <v>208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209</v>
      </c>
      <c r="G18" s="2" t="s">
        <v>209</v>
      </c>
      <c r="H18" s="2" t="s">
        <v>209</v>
      </c>
      <c r="I18" s="2" t="s">
        <v>210</v>
      </c>
      <c r="J18" s="2" t="s">
        <v>93</v>
      </c>
      <c r="K18" s="2" t="s">
        <v>211</v>
      </c>
      <c r="L18" s="3">
        <v>58.83</v>
      </c>
      <c r="M18" s="3">
        <v>61.77</v>
      </c>
      <c r="N18" s="3">
        <v>118.74</v>
      </c>
      <c r="O18" s="2" t="s">
        <v>95</v>
      </c>
      <c r="P18" s="2" t="s">
        <v>96</v>
      </c>
      <c r="Q18" s="2" t="s">
        <v>97</v>
      </c>
      <c r="R18" s="2" t="s">
        <v>98</v>
      </c>
      <c r="S18" s="2" t="s">
        <v>212</v>
      </c>
      <c r="T18" s="2" t="s">
        <v>98</v>
      </c>
      <c r="U18" s="2" t="s">
        <v>157</v>
      </c>
      <c r="V18" s="2" t="s">
        <v>118</v>
      </c>
      <c r="W18" s="2" t="s">
        <v>103</v>
      </c>
      <c r="X18" s="2" t="s">
        <v>204</v>
      </c>
      <c r="Y18" s="2" t="s">
        <v>213</v>
      </c>
      <c r="Z18" s="4">
        <v>213</v>
      </c>
      <c r="AA18" s="4">
        <f>=ROUNDDOWN(17.75,0)</f>
      </c>
      <c r="AB18" s="5">
        <v>12</v>
      </c>
      <c r="AC18" s="2" t="s">
        <v>214</v>
      </c>
      <c r="AD18" s="4">
        <v>200</v>
      </c>
      <c r="AE18" s="4">
        <v>200</v>
      </c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98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/>
      <c r="AW18" s="8"/>
      <c r="AX18" s="4"/>
      <c r="AY18" s="8"/>
      <c r="AZ18" s="7"/>
      <c r="BA18" s="7"/>
      <c r="BB18" s="7"/>
      <c r="BC18" s="4"/>
      <c r="BD18" s="8"/>
      <c r="BE18" s="4"/>
      <c r="BF18" s="8"/>
      <c r="BG18" s="7"/>
      <c r="BH18" s="7"/>
      <c r="BI18" s="7"/>
      <c r="BJ18" s="4">
        <v>11</v>
      </c>
      <c r="BK18" s="8">
        <v>568.47</v>
      </c>
      <c r="BL18" s="2" t="s">
        <v>215</v>
      </c>
      <c r="BM18" s="7"/>
      <c r="BN18" s="7"/>
      <c r="BO18" s="4"/>
      <c r="BP18" s="8"/>
      <c r="BQ18" s="4"/>
      <c r="BR18" s="8"/>
      <c r="BS18" s="7"/>
      <c r="BT18" s="7"/>
      <c r="BU18" s="2" t="s">
        <v>107</v>
      </c>
      <c r="BV18" s="2" t="s">
        <v>95</v>
      </c>
      <c r="BW18" s="2" t="s">
        <v>206</v>
      </c>
      <c r="BX18" s="2" t="s">
        <v>179</v>
      </c>
      <c r="BY18" s="2" t="s">
        <v>110</v>
      </c>
      <c r="BZ18" s="2" t="s">
        <v>98</v>
      </c>
    </row>
    <row r="19">
      <c r="A19" s="2" t="s">
        <v>216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217</v>
      </c>
      <c r="G19" s="2" t="s">
        <v>217</v>
      </c>
      <c r="H19" s="2" t="s">
        <v>217</v>
      </c>
      <c r="I19" s="2" t="s">
        <v>218</v>
      </c>
      <c r="J19" s="2" t="s">
        <v>93</v>
      </c>
      <c r="K19" s="2" t="s">
        <v>219</v>
      </c>
      <c r="L19" s="3">
        <v>46.1</v>
      </c>
      <c r="M19" s="3">
        <v>48.4</v>
      </c>
      <c r="N19" s="3">
        <v>96.04</v>
      </c>
      <c r="O19" s="2" t="s">
        <v>95</v>
      </c>
      <c r="P19" s="2" t="s">
        <v>96</v>
      </c>
      <c r="Q19" s="2" t="s">
        <v>97</v>
      </c>
      <c r="R19" s="2" t="s">
        <v>98</v>
      </c>
      <c r="S19" s="2" t="s">
        <v>220</v>
      </c>
      <c r="T19" s="2" t="s">
        <v>98</v>
      </c>
      <c r="U19" s="2" t="s">
        <v>157</v>
      </c>
      <c r="V19" s="2" t="s">
        <v>101</v>
      </c>
      <c r="W19" s="2" t="s">
        <v>103</v>
      </c>
      <c r="X19" s="2" t="s">
        <v>98</v>
      </c>
      <c r="Y19" s="2" t="s">
        <v>221</v>
      </c>
      <c r="Z19" s="4">
        <v>89</v>
      </c>
      <c r="AA19" s="4">
        <f>=ROUNDDOWN(11.125,0)</f>
      </c>
      <c r="AB19" s="5">
        <v>8</v>
      </c>
      <c r="AC19" s="2" t="s">
        <v>222</v>
      </c>
      <c r="AD19" s="4">
        <v>200</v>
      </c>
      <c r="AE19" s="4">
        <v>300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98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/>
      <c r="AW19" s="8"/>
      <c r="AX19" s="4"/>
      <c r="AY19" s="8"/>
      <c r="AZ19" s="7"/>
      <c r="BA19" s="7"/>
      <c r="BB19" s="7"/>
      <c r="BC19" s="4"/>
      <c r="BD19" s="8"/>
      <c r="BE19" s="4"/>
      <c r="BF19" s="8"/>
      <c r="BG19" s="7"/>
      <c r="BH19" s="7"/>
      <c r="BI19" s="7"/>
      <c r="BJ19" s="4">
        <v>6</v>
      </c>
      <c r="BK19" s="8">
        <v>270.17</v>
      </c>
      <c r="BL19" s="2" t="s">
        <v>223</v>
      </c>
      <c r="BM19" s="7"/>
      <c r="BN19" s="7"/>
      <c r="BO19" s="4"/>
      <c r="BP19" s="8"/>
      <c r="BQ19" s="4"/>
      <c r="BR19" s="8"/>
      <c r="BS19" s="7"/>
      <c r="BT19" s="7"/>
      <c r="BU19" s="2" t="s">
        <v>107</v>
      </c>
      <c r="BV19" s="2" t="s">
        <v>95</v>
      </c>
      <c r="BW19" s="2" t="s">
        <v>149</v>
      </c>
      <c r="BX19" s="2" t="s">
        <v>224</v>
      </c>
      <c r="BY19" s="2" t="s">
        <v>110</v>
      </c>
      <c r="BZ19" s="2" t="s">
        <v>98</v>
      </c>
    </row>
    <row r="20">
      <c r="A20" s="2" t="s">
        <v>225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226</v>
      </c>
      <c r="G20" s="2" t="s">
        <v>227</v>
      </c>
      <c r="H20" s="2" t="s">
        <v>226</v>
      </c>
      <c r="I20" s="2" t="s">
        <v>228</v>
      </c>
      <c r="J20" s="2" t="s">
        <v>93</v>
      </c>
      <c r="K20" s="2" t="s">
        <v>114</v>
      </c>
      <c r="L20" s="3">
        <v>34.2</v>
      </c>
      <c r="M20" s="3">
        <v>35.91</v>
      </c>
      <c r="N20" s="3">
        <v>67.99</v>
      </c>
      <c r="O20" s="2" t="s">
        <v>95</v>
      </c>
      <c r="P20" s="2" t="s">
        <v>134</v>
      </c>
      <c r="Q20" s="2" t="s">
        <v>97</v>
      </c>
      <c r="R20" s="2" t="s">
        <v>98</v>
      </c>
      <c r="S20" s="2" t="s">
        <v>229</v>
      </c>
      <c r="T20" s="2" t="s">
        <v>98</v>
      </c>
      <c r="U20" s="2" t="s">
        <v>117</v>
      </c>
      <c r="V20" s="2" t="s">
        <v>145</v>
      </c>
      <c r="W20" s="2" t="s">
        <v>146</v>
      </c>
      <c r="X20" s="2" t="s">
        <v>119</v>
      </c>
      <c r="Y20" s="2" t="s">
        <v>120</v>
      </c>
      <c r="Z20" s="4">
        <v>89</v>
      </c>
      <c r="AA20" s="4">
        <f>=ROUNDDOWN(17.8,0)</f>
      </c>
      <c r="AB20" s="5">
        <v>5</v>
      </c>
      <c r="AC20" s="2" t="s">
        <v>230</v>
      </c>
      <c r="AD20" s="4">
        <v>100</v>
      </c>
      <c r="AE20" s="4">
        <v>100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98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/>
      <c r="AW20" s="8"/>
      <c r="AX20" s="4"/>
      <c r="AY20" s="8"/>
      <c r="AZ20" s="7"/>
      <c r="BA20" s="7"/>
      <c r="BB20" s="7"/>
      <c r="BC20" s="4"/>
      <c r="BD20" s="8"/>
      <c r="BE20" s="4"/>
      <c r="BF20" s="8"/>
      <c r="BG20" s="7"/>
      <c r="BH20" s="7"/>
      <c r="BI20" s="7"/>
      <c r="BJ20" s="4">
        <v>6</v>
      </c>
      <c r="BK20" s="8">
        <v>261.52</v>
      </c>
      <c r="BL20" s="2" t="s">
        <v>231</v>
      </c>
      <c r="BM20" s="7"/>
      <c r="BN20" s="7"/>
      <c r="BO20" s="4"/>
      <c r="BP20" s="8"/>
      <c r="BQ20" s="4"/>
      <c r="BR20" s="8"/>
      <c r="BS20" s="7"/>
      <c r="BT20" s="7"/>
      <c r="BU20" s="2" t="s">
        <v>107</v>
      </c>
      <c r="BV20" s="2" t="s">
        <v>95</v>
      </c>
      <c r="BW20" s="2" t="s">
        <v>122</v>
      </c>
      <c r="BX20" s="2" t="s">
        <v>232</v>
      </c>
      <c r="BY20" s="2" t="s">
        <v>110</v>
      </c>
      <c r="BZ20" s="2" t="s">
        <v>98</v>
      </c>
    </row>
    <row r="21">
      <c r="A21" s="2" t="s">
        <v>233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234</v>
      </c>
      <c r="G21" s="2" t="s">
        <v>234</v>
      </c>
      <c r="H21" s="2" t="s">
        <v>234</v>
      </c>
      <c r="I21" s="2" t="s">
        <v>235</v>
      </c>
      <c r="J21" s="2" t="s">
        <v>93</v>
      </c>
      <c r="K21" s="2" t="s">
        <v>236</v>
      </c>
      <c r="L21" s="3">
        <v>45.85</v>
      </c>
      <c r="M21" s="3">
        <v>48.14</v>
      </c>
      <c r="N21" s="3">
        <v>99.44</v>
      </c>
      <c r="O21" s="2" t="s">
        <v>95</v>
      </c>
      <c r="P21" s="2" t="s">
        <v>134</v>
      </c>
      <c r="Q21" s="2" t="s">
        <v>97</v>
      </c>
      <c r="R21" s="2" t="s">
        <v>98</v>
      </c>
      <c r="S21" s="2" t="s">
        <v>237</v>
      </c>
      <c r="T21" s="2" t="s">
        <v>98</v>
      </c>
      <c r="U21" s="2" t="s">
        <v>117</v>
      </c>
      <c r="V21" s="2" t="s">
        <v>118</v>
      </c>
      <c r="W21" s="2" t="s">
        <v>103</v>
      </c>
      <c r="X21" s="2" t="s">
        <v>98</v>
      </c>
      <c r="Y21" s="2" t="s">
        <v>213</v>
      </c>
      <c r="Z21" s="4">
        <v>50</v>
      </c>
      <c r="AA21" s="4">
        <f>=ROUNDDOWN(5,0)</f>
      </c>
      <c r="AB21" s="5">
        <v>10</v>
      </c>
      <c r="AC21" s="2" t="s">
        <v>167</v>
      </c>
      <c r="AD21" s="4">
        <v>220</v>
      </c>
      <c r="AE21" s="4">
        <v>320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98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/>
      <c r="AW21" s="8"/>
      <c r="AX21" s="4"/>
      <c r="AY21" s="8"/>
      <c r="AZ21" s="7"/>
      <c r="BA21" s="7"/>
      <c r="BB21" s="7"/>
      <c r="BC21" s="4"/>
      <c r="BD21" s="8"/>
      <c r="BE21" s="4"/>
      <c r="BF21" s="8"/>
      <c r="BG21" s="7"/>
      <c r="BH21" s="7"/>
      <c r="BI21" s="7"/>
      <c r="BJ21" s="4">
        <v>4</v>
      </c>
      <c r="BK21" s="8">
        <v>193.55</v>
      </c>
      <c r="BL21" s="2" t="s">
        <v>238</v>
      </c>
      <c r="BM21" s="7"/>
      <c r="BN21" s="7"/>
      <c r="BO21" s="4"/>
      <c r="BP21" s="8"/>
      <c r="BQ21" s="4"/>
      <c r="BR21" s="8"/>
      <c r="BS21" s="7"/>
      <c r="BT21" s="7"/>
      <c r="BU21" s="2" t="s">
        <v>107</v>
      </c>
      <c r="BV21" s="2" t="s">
        <v>95</v>
      </c>
      <c r="BW21" s="2" t="s">
        <v>206</v>
      </c>
      <c r="BX21" s="2" t="s">
        <v>197</v>
      </c>
      <c r="BY21" s="2" t="s">
        <v>110</v>
      </c>
      <c r="BZ21" s="2" t="s">
        <v>98</v>
      </c>
    </row>
    <row r="22">
      <c r="A22" s="2" t="s">
        <v>239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240</v>
      </c>
      <c r="G22" s="2" t="s">
        <v>240</v>
      </c>
      <c r="H22" s="2" t="s">
        <v>240</v>
      </c>
      <c r="I22" s="2" t="s">
        <v>241</v>
      </c>
      <c r="J22" s="2" t="s">
        <v>93</v>
      </c>
      <c r="K22" s="2" t="s">
        <v>236</v>
      </c>
      <c r="L22" s="3">
        <v>41.69</v>
      </c>
      <c r="M22" s="3">
        <v>43.77</v>
      </c>
      <c r="N22" s="3">
        <v>89.24</v>
      </c>
      <c r="O22" s="2" t="s">
        <v>95</v>
      </c>
      <c r="P22" s="2" t="s">
        <v>163</v>
      </c>
      <c r="Q22" s="2" t="s">
        <v>97</v>
      </c>
      <c r="R22" s="2" t="s">
        <v>98</v>
      </c>
      <c r="S22" s="2" t="s">
        <v>98</v>
      </c>
      <c r="T22" s="2" t="s">
        <v>98</v>
      </c>
      <c r="U22" s="2" t="s">
        <v>100</v>
      </c>
      <c r="V22" s="2" t="s">
        <v>101</v>
      </c>
      <c r="W22" s="2" t="s">
        <v>103</v>
      </c>
      <c r="X22" s="2" t="s">
        <v>165</v>
      </c>
      <c r="Y22" s="2" t="s">
        <v>221</v>
      </c>
      <c r="Z22" s="4">
        <v>323</v>
      </c>
      <c r="AA22" s="4">
        <f>=ROUNDDOWN(17.9444444444444,0)</f>
      </c>
      <c r="AB22" s="5">
        <v>18</v>
      </c>
      <c r="AC22" s="2" t="s">
        <v>105</v>
      </c>
      <c r="AD22" s="4">
        <v>300</v>
      </c>
      <c r="AE22" s="4">
        <v>500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98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/>
      <c r="AW22" s="8"/>
      <c r="AX22" s="4"/>
      <c r="AY22" s="8"/>
      <c r="AZ22" s="7"/>
      <c r="BA22" s="7"/>
      <c r="BB22" s="7"/>
      <c r="BC22" s="4"/>
      <c r="BD22" s="8"/>
      <c r="BE22" s="4"/>
      <c r="BF22" s="8"/>
      <c r="BG22" s="7"/>
      <c r="BH22" s="7"/>
      <c r="BI22" s="7"/>
      <c r="BJ22" s="4">
        <v>12</v>
      </c>
      <c r="BK22" s="8">
        <v>628.21</v>
      </c>
      <c r="BL22" s="2" t="s">
        <v>242</v>
      </c>
      <c r="BM22" s="7"/>
      <c r="BN22" s="7"/>
      <c r="BO22" s="4"/>
      <c r="BP22" s="8"/>
      <c r="BQ22" s="4"/>
      <c r="BR22" s="8"/>
      <c r="BS22" s="7"/>
      <c r="BT22" s="7"/>
      <c r="BU22" s="2" t="s">
        <v>107</v>
      </c>
      <c r="BV22" s="2" t="s">
        <v>95</v>
      </c>
      <c r="BW22" s="2" t="s">
        <v>149</v>
      </c>
      <c r="BX22" s="2" t="s">
        <v>243</v>
      </c>
      <c r="BY22" s="2" t="s">
        <v>110</v>
      </c>
      <c r="BZ22" s="2" t="s">
        <v>98</v>
      </c>
    </row>
    <row r="23">
      <c r="A23" s="2" t="s">
        <v>244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245</v>
      </c>
      <c r="G23" s="2" t="s">
        <v>245</v>
      </c>
      <c r="H23" s="2" t="s">
        <v>245</v>
      </c>
      <c r="I23" s="2" t="s">
        <v>246</v>
      </c>
      <c r="J23" s="2" t="s">
        <v>93</v>
      </c>
      <c r="K23" s="2" t="s">
        <v>127</v>
      </c>
      <c r="L23" s="3">
        <v>71.15</v>
      </c>
      <c r="M23" s="3">
        <v>74.71</v>
      </c>
      <c r="N23" s="3">
        <v>146.19</v>
      </c>
      <c r="O23" s="2" t="s">
        <v>95</v>
      </c>
      <c r="P23" s="2" t="s">
        <v>96</v>
      </c>
      <c r="Q23" s="2" t="s">
        <v>97</v>
      </c>
      <c r="R23" s="2" t="s">
        <v>98</v>
      </c>
      <c r="S23" s="2" t="s">
        <v>247</v>
      </c>
      <c r="T23" s="2" t="s">
        <v>98</v>
      </c>
      <c r="U23" s="2" t="s">
        <v>157</v>
      </c>
      <c r="V23" s="2" t="s">
        <v>118</v>
      </c>
      <c r="W23" s="2" t="s">
        <v>103</v>
      </c>
      <c r="X23" s="2" t="s">
        <v>98</v>
      </c>
      <c r="Y23" s="2" t="s">
        <v>248</v>
      </c>
      <c r="Z23" s="4">
        <v>109</v>
      </c>
      <c r="AA23" s="4">
        <f>=ROUNDDOWN(12.1111111111111,0)</f>
      </c>
      <c r="AB23" s="5">
        <v>9</v>
      </c>
      <c r="AC23" s="2" t="s">
        <v>105</v>
      </c>
      <c r="AD23" s="4">
        <v>200</v>
      </c>
      <c r="AE23" s="4">
        <v>200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98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/>
      <c r="AW23" s="8"/>
      <c r="AX23" s="4"/>
      <c r="AY23" s="8"/>
      <c r="AZ23" s="7"/>
      <c r="BA23" s="7"/>
      <c r="BB23" s="7"/>
      <c r="BC23" s="4"/>
      <c r="BD23" s="8"/>
      <c r="BE23" s="4"/>
      <c r="BF23" s="8"/>
      <c r="BG23" s="7"/>
      <c r="BH23" s="7"/>
      <c r="BI23" s="7"/>
      <c r="BJ23" s="4">
        <v>7</v>
      </c>
      <c r="BK23" s="8">
        <v>637.65</v>
      </c>
      <c r="BL23" s="2" t="s">
        <v>249</v>
      </c>
      <c r="BM23" s="7"/>
      <c r="BN23" s="7"/>
      <c r="BO23" s="4"/>
      <c r="BP23" s="8"/>
      <c r="BQ23" s="4"/>
      <c r="BR23" s="8"/>
      <c r="BS23" s="7"/>
      <c r="BT23" s="7"/>
      <c r="BU23" s="2" t="s">
        <v>107</v>
      </c>
      <c r="BV23" s="2" t="s">
        <v>95</v>
      </c>
      <c r="BW23" s="2" t="s">
        <v>250</v>
      </c>
      <c r="BX23" s="2" t="s">
        <v>251</v>
      </c>
      <c r="BY23" s="2" t="s">
        <v>110</v>
      </c>
      <c r="BZ23" s="2" t="s">
        <v>98</v>
      </c>
    </row>
    <row r="24">
      <c r="A24" s="2" t="s">
        <v>252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253</v>
      </c>
      <c r="G24" s="2" t="s">
        <v>253</v>
      </c>
      <c r="H24" s="2" t="s">
        <v>253</v>
      </c>
      <c r="I24" s="2" t="s">
        <v>254</v>
      </c>
      <c r="J24" s="2" t="s">
        <v>93</v>
      </c>
      <c r="K24" s="2" t="s">
        <v>114</v>
      </c>
      <c r="L24" s="3">
        <v>33.88</v>
      </c>
      <c r="M24" s="3">
        <v>35.57</v>
      </c>
      <c r="N24" s="3">
        <v>73.94</v>
      </c>
      <c r="O24" s="2" t="s">
        <v>95</v>
      </c>
      <c r="P24" s="2" t="s">
        <v>163</v>
      </c>
      <c r="Q24" s="2" t="s">
        <v>97</v>
      </c>
      <c r="R24" s="2" t="s">
        <v>98</v>
      </c>
      <c r="S24" s="2" t="s">
        <v>255</v>
      </c>
      <c r="T24" s="2" t="s">
        <v>98</v>
      </c>
      <c r="U24" s="2" t="s">
        <v>157</v>
      </c>
      <c r="V24" s="2" t="s">
        <v>145</v>
      </c>
      <c r="W24" s="2" t="s">
        <v>146</v>
      </c>
      <c r="X24" s="2" t="s">
        <v>119</v>
      </c>
      <c r="Y24" s="2" t="s">
        <v>147</v>
      </c>
      <c r="Z24" s="4">
        <v>288</v>
      </c>
      <c r="AA24" s="4">
        <f>=ROUNDDOWN(16,0)</f>
      </c>
      <c r="AB24" s="5">
        <v>18</v>
      </c>
      <c r="AC24" s="2" t="s">
        <v>222</v>
      </c>
      <c r="AD24" s="4">
        <v>300</v>
      </c>
      <c r="AE24" s="4">
        <v>300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98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/>
      <c r="AW24" s="8"/>
      <c r="AX24" s="4"/>
      <c r="AY24" s="8"/>
      <c r="AZ24" s="7"/>
      <c r="BA24" s="7"/>
      <c r="BB24" s="7"/>
      <c r="BC24" s="4"/>
      <c r="BD24" s="8"/>
      <c r="BE24" s="4"/>
      <c r="BF24" s="8"/>
      <c r="BG24" s="7"/>
      <c r="BH24" s="7"/>
      <c r="BI24" s="7"/>
      <c r="BJ24" s="4">
        <v>17</v>
      </c>
      <c r="BK24" s="8">
        <v>700.6</v>
      </c>
      <c r="BL24" s="2" t="s">
        <v>256</v>
      </c>
      <c r="BM24" s="7"/>
      <c r="BN24" s="7"/>
      <c r="BO24" s="4"/>
      <c r="BP24" s="8"/>
      <c r="BQ24" s="4"/>
      <c r="BR24" s="8"/>
      <c r="BS24" s="7"/>
      <c r="BT24" s="7"/>
      <c r="BU24" s="2" t="s">
        <v>107</v>
      </c>
      <c r="BV24" s="2" t="s">
        <v>95</v>
      </c>
      <c r="BW24" s="2" t="s">
        <v>257</v>
      </c>
      <c r="BX24" s="2" t="s">
        <v>258</v>
      </c>
      <c r="BY24" s="2" t="s">
        <v>110</v>
      </c>
      <c r="BZ24" s="2" t="s">
        <v>98</v>
      </c>
    </row>
    <row r="25">
      <c r="A25" s="2" t="s">
        <v>259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260</v>
      </c>
      <c r="G25" s="2" t="s">
        <v>260</v>
      </c>
      <c r="H25" s="2" t="s">
        <v>260</v>
      </c>
      <c r="I25" s="2" t="s">
        <v>261</v>
      </c>
      <c r="J25" s="2" t="s">
        <v>93</v>
      </c>
      <c r="K25" s="2" t="s">
        <v>127</v>
      </c>
      <c r="L25" s="3">
        <v>30.6</v>
      </c>
      <c r="M25" s="3">
        <v>32.13</v>
      </c>
      <c r="N25" s="3">
        <v>65.44</v>
      </c>
      <c r="O25" s="2" t="s">
        <v>95</v>
      </c>
      <c r="P25" s="2" t="s">
        <v>134</v>
      </c>
      <c r="Q25" s="2" t="s">
        <v>97</v>
      </c>
      <c r="R25" s="2" t="s">
        <v>98</v>
      </c>
      <c r="S25" s="2" t="s">
        <v>98</v>
      </c>
      <c r="T25" s="2" t="s">
        <v>98</v>
      </c>
      <c r="U25" s="2" t="s">
        <v>117</v>
      </c>
      <c r="V25" s="2" t="s">
        <v>101</v>
      </c>
      <c r="W25" s="2" t="s">
        <v>103</v>
      </c>
      <c r="X25" s="2" t="s">
        <v>98</v>
      </c>
      <c r="Y25" s="2" t="s">
        <v>262</v>
      </c>
      <c r="Z25" s="4">
        <v>108</v>
      </c>
      <c r="AA25" s="4">
        <f>=ROUNDDOWN(18,0)</f>
      </c>
      <c r="AB25" s="5">
        <v>6</v>
      </c>
      <c r="AC25" s="2" t="s">
        <v>98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98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/>
      <c r="AW25" s="8"/>
      <c r="AX25" s="4"/>
      <c r="AY25" s="8"/>
      <c r="AZ25" s="7"/>
      <c r="BA25" s="7"/>
      <c r="BB25" s="7"/>
      <c r="BC25" s="4"/>
      <c r="BD25" s="8"/>
      <c r="BE25" s="4"/>
      <c r="BF25" s="8"/>
      <c r="BG25" s="7"/>
      <c r="BH25" s="7"/>
      <c r="BI25" s="7"/>
      <c r="BJ25" s="4">
        <v>4</v>
      </c>
      <c r="BK25" s="8">
        <v>157.85</v>
      </c>
      <c r="BL25" s="2" t="s">
        <v>263</v>
      </c>
      <c r="BM25" s="7"/>
      <c r="BN25" s="7"/>
      <c r="BO25" s="4"/>
      <c r="BP25" s="8"/>
      <c r="BQ25" s="4"/>
      <c r="BR25" s="8"/>
      <c r="BS25" s="7"/>
      <c r="BT25" s="7"/>
      <c r="BU25" s="2" t="s">
        <v>107</v>
      </c>
      <c r="BV25" s="2" t="s">
        <v>95</v>
      </c>
      <c r="BW25" s="2" t="s">
        <v>206</v>
      </c>
      <c r="BX25" s="2" t="s">
        <v>264</v>
      </c>
      <c r="BY25" s="2" t="s">
        <v>110</v>
      </c>
      <c r="BZ25" s="2" t="s">
        <v>98</v>
      </c>
    </row>
    <row r="26">
      <c r="A26" s="2" t="s">
        <v>265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266</v>
      </c>
      <c r="G26" s="2" t="s">
        <v>266</v>
      </c>
      <c r="H26" s="2" t="s">
        <v>266</v>
      </c>
      <c r="I26" s="2" t="s">
        <v>267</v>
      </c>
      <c r="J26" s="2" t="s">
        <v>93</v>
      </c>
      <c r="K26" s="2" t="s">
        <v>127</v>
      </c>
      <c r="L26" s="3">
        <v>57.09</v>
      </c>
      <c r="M26" s="3">
        <v>59.94</v>
      </c>
      <c r="N26" s="3">
        <v>118.99</v>
      </c>
      <c r="O26" s="2" t="s">
        <v>155</v>
      </c>
      <c r="P26" s="2" t="s">
        <v>115</v>
      </c>
      <c r="Q26" s="2" t="s">
        <v>97</v>
      </c>
      <c r="R26" s="2" t="s">
        <v>98</v>
      </c>
      <c r="S26" s="2" t="s">
        <v>268</v>
      </c>
      <c r="T26" s="2" t="s">
        <v>98</v>
      </c>
      <c r="U26" s="2" t="s">
        <v>117</v>
      </c>
      <c r="V26" s="2" t="s">
        <v>203</v>
      </c>
      <c r="W26" s="2" t="s">
        <v>146</v>
      </c>
      <c r="X26" s="2" t="s">
        <v>102</v>
      </c>
      <c r="Y26" s="2" t="s">
        <v>147</v>
      </c>
      <c r="Z26" s="4">
        <v>23</v>
      </c>
      <c r="AA26" s="4">
        <f>=ROUNDDOWN(28.75,0)</f>
      </c>
      <c r="AB26" s="5">
        <v>0.8</v>
      </c>
      <c r="AC26" s="2" t="s">
        <v>98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98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/>
      <c r="AW26" s="8"/>
      <c r="AX26" s="4"/>
      <c r="AY26" s="8"/>
      <c r="AZ26" s="7"/>
      <c r="BA26" s="7"/>
      <c r="BB26" s="7"/>
      <c r="BC26" s="4"/>
      <c r="BD26" s="8"/>
      <c r="BE26" s="4"/>
      <c r="BF26" s="8"/>
      <c r="BG26" s="7"/>
      <c r="BH26" s="7"/>
      <c r="BI26" s="7"/>
      <c r="BJ26" s="4">
        <v>1</v>
      </c>
      <c r="BK26" s="8">
        <v>32.97</v>
      </c>
      <c r="BL26" s="2" t="s">
        <v>269</v>
      </c>
      <c r="BM26" s="7"/>
      <c r="BN26" s="7"/>
      <c r="BO26" s="4"/>
      <c r="BP26" s="8"/>
      <c r="BQ26" s="4"/>
      <c r="BR26" s="8"/>
      <c r="BS26" s="7"/>
      <c r="BT26" s="7"/>
      <c r="BU26" s="2" t="s">
        <v>107</v>
      </c>
      <c r="BV26" s="2" t="s">
        <v>95</v>
      </c>
      <c r="BW26" s="2" t="s">
        <v>149</v>
      </c>
      <c r="BX26" s="2" t="s">
        <v>270</v>
      </c>
      <c r="BY26" s="2" t="s">
        <v>271</v>
      </c>
      <c r="BZ26" s="2" t="s">
        <v>98</v>
      </c>
    </row>
    <row r="27">
      <c r="A27" s="2" t="s">
        <v>272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273</v>
      </c>
      <c r="G27" s="2" t="s">
        <v>274</v>
      </c>
      <c r="H27" s="2" t="s">
        <v>275</v>
      </c>
      <c r="I27" s="2" t="s">
        <v>276</v>
      </c>
      <c r="J27" s="2" t="s">
        <v>93</v>
      </c>
      <c r="K27" s="2" t="s">
        <v>277</v>
      </c>
      <c r="L27" s="3">
        <v>43.01</v>
      </c>
      <c r="M27" s="3">
        <v>45.16</v>
      </c>
      <c r="N27" s="3">
        <v>79.04</v>
      </c>
      <c r="O27" s="2" t="s">
        <v>95</v>
      </c>
      <c r="P27" s="2" t="s">
        <v>96</v>
      </c>
      <c r="Q27" s="2" t="s">
        <v>97</v>
      </c>
      <c r="R27" s="2" t="s">
        <v>98</v>
      </c>
      <c r="S27" s="2" t="s">
        <v>278</v>
      </c>
      <c r="T27" s="2" t="s">
        <v>98</v>
      </c>
      <c r="U27" s="2" t="s">
        <v>157</v>
      </c>
      <c r="V27" s="2" t="s">
        <v>101</v>
      </c>
      <c r="W27" s="2" t="s">
        <v>103</v>
      </c>
      <c r="X27" s="2" t="s">
        <v>98</v>
      </c>
      <c r="Y27" s="2" t="s">
        <v>248</v>
      </c>
      <c r="Z27" s="4">
        <v>162</v>
      </c>
      <c r="AA27" s="4">
        <f>=ROUNDDOWN(12.4615384615385,0)</f>
      </c>
      <c r="AB27" s="5">
        <v>13</v>
      </c>
      <c r="AC27" s="2" t="s">
        <v>105</v>
      </c>
      <c r="AD27" s="4">
        <v>200</v>
      </c>
      <c r="AE27" s="4">
        <v>200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98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/>
      <c r="AW27" s="8"/>
      <c r="AX27" s="4"/>
      <c r="AY27" s="8"/>
      <c r="AZ27" s="7"/>
      <c r="BA27" s="7"/>
      <c r="BB27" s="7"/>
      <c r="BC27" s="4" t="s">
        <v>98</v>
      </c>
      <c r="BD27" s="8" t="s">
        <v>98</v>
      </c>
      <c r="BE27" s="4" t="s">
        <v>98</v>
      </c>
      <c r="BF27" s="8" t="s">
        <v>98</v>
      </c>
      <c r="BG27" s="7" t="s">
        <v>98</v>
      </c>
      <c r="BH27" s="7" t="s">
        <v>98</v>
      </c>
      <c r="BI27" s="7"/>
      <c r="BJ27" s="4">
        <v>12</v>
      </c>
      <c r="BK27" s="8">
        <v>544.75</v>
      </c>
      <c r="BL27" s="2" t="s">
        <v>279</v>
      </c>
      <c r="BM27" s="7"/>
      <c r="BN27" s="7"/>
      <c r="BO27" s="4"/>
      <c r="BP27" s="8"/>
      <c r="BQ27" s="4"/>
      <c r="BR27" s="8"/>
      <c r="BS27" s="7"/>
      <c r="BT27" s="7"/>
      <c r="BU27" s="2" t="s">
        <v>107</v>
      </c>
      <c r="BV27" s="2" t="s">
        <v>95</v>
      </c>
      <c r="BW27" s="2" t="s">
        <v>280</v>
      </c>
      <c r="BX27" s="2" t="s">
        <v>281</v>
      </c>
      <c r="BY27" s="2" t="s">
        <v>110</v>
      </c>
      <c r="BZ27" s="2" t="s">
        <v>98</v>
      </c>
    </row>
    <row r="28">
      <c r="A28" s="2" t="s">
        <v>282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273</v>
      </c>
      <c r="G28" s="2" t="s">
        <v>274</v>
      </c>
      <c r="H28" s="2" t="s">
        <v>275</v>
      </c>
      <c r="I28" s="2" t="s">
        <v>276</v>
      </c>
      <c r="J28" s="2" t="s">
        <v>93</v>
      </c>
      <c r="K28" s="2" t="s">
        <v>133</v>
      </c>
      <c r="L28" s="3">
        <v>43.01</v>
      </c>
      <c r="M28" s="3">
        <v>45.16</v>
      </c>
      <c r="N28" s="3">
        <v>79.04</v>
      </c>
      <c r="O28" s="2" t="s">
        <v>95</v>
      </c>
      <c r="P28" s="2" t="s">
        <v>134</v>
      </c>
      <c r="Q28" s="2" t="s">
        <v>97</v>
      </c>
      <c r="R28" s="2" t="s">
        <v>98</v>
      </c>
      <c r="S28" s="2" t="s">
        <v>278</v>
      </c>
      <c r="T28" s="2" t="s">
        <v>98</v>
      </c>
      <c r="U28" s="2" t="s">
        <v>157</v>
      </c>
      <c r="V28" s="2" t="s">
        <v>101</v>
      </c>
      <c r="W28" s="2" t="s">
        <v>103</v>
      </c>
      <c r="X28" s="2" t="s">
        <v>102</v>
      </c>
      <c r="Y28" s="2" t="s">
        <v>120</v>
      </c>
      <c r="Z28" s="4">
        <v>67</v>
      </c>
      <c r="AA28" s="4">
        <f>=ROUNDDOWN(13.4,0)</f>
      </c>
      <c r="AB28" s="5">
        <v>5</v>
      </c>
      <c r="AC28" s="2" t="s">
        <v>105</v>
      </c>
      <c r="AD28" s="4">
        <v>100</v>
      </c>
      <c r="AE28" s="4">
        <v>100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98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/>
      <c r="AW28" s="8"/>
      <c r="AX28" s="4"/>
      <c r="AY28" s="8"/>
      <c r="AZ28" s="7"/>
      <c r="BA28" s="7"/>
      <c r="BB28" s="7"/>
      <c r="BC28" s="4" t="s">
        <v>98</v>
      </c>
      <c r="BD28" s="8" t="s">
        <v>98</v>
      </c>
      <c r="BE28" s="4" t="s">
        <v>98</v>
      </c>
      <c r="BF28" s="8" t="s">
        <v>98</v>
      </c>
      <c r="BG28" s="7" t="s">
        <v>98</v>
      </c>
      <c r="BH28" s="7" t="s">
        <v>98</v>
      </c>
      <c r="BI28" s="7"/>
      <c r="BJ28" s="4">
        <v>4</v>
      </c>
      <c r="BK28" s="8">
        <v>177.22</v>
      </c>
      <c r="BL28" s="2" t="s">
        <v>283</v>
      </c>
      <c r="BM28" s="7"/>
      <c r="BN28" s="7"/>
      <c r="BO28" s="4"/>
      <c r="BP28" s="8"/>
      <c r="BQ28" s="4"/>
      <c r="BR28" s="8"/>
      <c r="BS28" s="7"/>
      <c r="BT28" s="7"/>
      <c r="BU28" s="2" t="s">
        <v>107</v>
      </c>
      <c r="BV28" s="2" t="s">
        <v>95</v>
      </c>
      <c r="BW28" s="2" t="s">
        <v>122</v>
      </c>
      <c r="BX28" s="2" t="s">
        <v>284</v>
      </c>
      <c r="BY28" s="2" t="s">
        <v>110</v>
      </c>
      <c r="BZ28" s="2" t="s">
        <v>98</v>
      </c>
    </row>
    <row r="29">
      <c r="A29" s="2" t="s">
        <v>285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273</v>
      </c>
      <c r="G29" s="2" t="s">
        <v>274</v>
      </c>
      <c r="H29" s="2" t="s">
        <v>275</v>
      </c>
      <c r="I29" s="2" t="s">
        <v>276</v>
      </c>
      <c r="J29" s="2" t="s">
        <v>93</v>
      </c>
      <c r="K29" s="2" t="s">
        <v>286</v>
      </c>
      <c r="L29" s="3">
        <v>43.01</v>
      </c>
      <c r="M29" s="3">
        <v>45.16</v>
      </c>
      <c r="N29" s="3">
        <v>79.04</v>
      </c>
      <c r="O29" s="2" t="s">
        <v>95</v>
      </c>
      <c r="P29" s="2" t="s">
        <v>134</v>
      </c>
      <c r="Q29" s="2" t="s">
        <v>97</v>
      </c>
      <c r="R29" s="2" t="s">
        <v>98</v>
      </c>
      <c r="S29" s="2" t="s">
        <v>278</v>
      </c>
      <c r="T29" s="2" t="s">
        <v>98</v>
      </c>
      <c r="U29" s="2" t="s">
        <v>157</v>
      </c>
      <c r="V29" s="2" t="s">
        <v>101</v>
      </c>
      <c r="W29" s="2" t="s">
        <v>103</v>
      </c>
      <c r="X29" s="2" t="s">
        <v>102</v>
      </c>
      <c r="Y29" s="2" t="s">
        <v>130</v>
      </c>
      <c r="Z29" s="4">
        <v>80</v>
      </c>
      <c r="AA29" s="4">
        <f>=ROUNDDOWN(11.4285714285714,0)</f>
      </c>
      <c r="AB29" s="5">
        <v>7</v>
      </c>
      <c r="AC29" s="2" t="s">
        <v>287</v>
      </c>
      <c r="AD29" s="4">
        <v>28</v>
      </c>
      <c r="AE29" s="4">
        <v>100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98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/>
      <c r="AW29" s="8"/>
      <c r="AX29" s="4"/>
      <c r="AY29" s="8"/>
      <c r="AZ29" s="7"/>
      <c r="BA29" s="7"/>
      <c r="BB29" s="7"/>
      <c r="BC29" s="4" t="s">
        <v>98</v>
      </c>
      <c r="BD29" s="8" t="s">
        <v>98</v>
      </c>
      <c r="BE29" s="4" t="s">
        <v>98</v>
      </c>
      <c r="BF29" s="8" t="s">
        <v>98</v>
      </c>
      <c r="BG29" s="7" t="s">
        <v>98</v>
      </c>
      <c r="BH29" s="7" t="s">
        <v>98</v>
      </c>
      <c r="BI29" s="7"/>
      <c r="BJ29" s="4">
        <v>1</v>
      </c>
      <c r="BK29" s="8">
        <v>59.51</v>
      </c>
      <c r="BL29" s="2" t="s">
        <v>288</v>
      </c>
      <c r="BM29" s="7"/>
      <c r="BN29" s="7"/>
      <c r="BO29" s="4"/>
      <c r="BP29" s="8"/>
      <c r="BQ29" s="4"/>
      <c r="BR29" s="8"/>
      <c r="BS29" s="7"/>
      <c r="BT29" s="7"/>
      <c r="BU29" s="2" t="s">
        <v>107</v>
      </c>
      <c r="BV29" s="2" t="s">
        <v>95</v>
      </c>
      <c r="BW29" s="2" t="s">
        <v>289</v>
      </c>
      <c r="BX29" s="2" t="s">
        <v>290</v>
      </c>
      <c r="BY29" s="2" t="s">
        <v>110</v>
      </c>
      <c r="BZ29" s="2" t="s">
        <v>98</v>
      </c>
    </row>
    <row r="30">
      <c r="A30" s="2" t="s">
        <v>291</v>
      </c>
      <c r="B30" s="2" t="s">
        <v>87</v>
      </c>
      <c r="C30" s="2" t="s">
        <v>88</v>
      </c>
      <c r="D30" s="2" t="s">
        <v>89</v>
      </c>
      <c r="E30" s="2" t="s">
        <v>89</v>
      </c>
      <c r="F30" s="2" t="s">
        <v>292</v>
      </c>
      <c r="G30" s="2" t="s">
        <v>292</v>
      </c>
      <c r="H30" s="2" t="s">
        <v>292</v>
      </c>
      <c r="I30" s="2" t="s">
        <v>293</v>
      </c>
      <c r="J30" s="2" t="s">
        <v>93</v>
      </c>
      <c r="K30" s="2" t="s">
        <v>294</v>
      </c>
      <c r="L30" s="3">
        <v>32.38</v>
      </c>
      <c r="M30" s="3">
        <v>34</v>
      </c>
      <c r="N30" s="3">
        <v>67.99</v>
      </c>
      <c r="O30" s="2" t="s">
        <v>95</v>
      </c>
      <c r="P30" s="2" t="s">
        <v>295</v>
      </c>
      <c r="Q30" s="2" t="s">
        <v>97</v>
      </c>
      <c r="R30" s="2" t="s">
        <v>98</v>
      </c>
      <c r="S30" s="2" t="s">
        <v>98</v>
      </c>
      <c r="T30" s="2" t="s">
        <v>98</v>
      </c>
      <c r="U30" s="2" t="s">
        <v>100</v>
      </c>
      <c r="V30" s="2" t="s">
        <v>296</v>
      </c>
      <c r="W30" s="2" t="s">
        <v>297</v>
      </c>
      <c r="X30" s="2" t="s">
        <v>102</v>
      </c>
      <c r="Y30" s="2" t="s">
        <v>298</v>
      </c>
      <c r="Z30" s="4">
        <v>33</v>
      </c>
      <c r="AA30" s="4">
        <f>=ROUNDDOWN(11,0)</f>
      </c>
      <c r="AB30" s="5">
        <v>3</v>
      </c>
      <c r="AC30" s="2" t="s">
        <v>98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98</v>
      </c>
      <c r="AM30" s="4"/>
      <c r="AN30" s="4"/>
      <c r="AO30" s="7">
        <v>0</v>
      </c>
      <c r="AP30" s="4">
        <v>2</v>
      </c>
      <c r="AQ30" s="8">
        <v>71.4</v>
      </c>
      <c r="AR30" s="4"/>
      <c r="AS30" s="8"/>
      <c r="AT30" s="7"/>
      <c r="AU30" s="7"/>
      <c r="AV30" s="4">
        <v>2</v>
      </c>
      <c r="AW30" s="8">
        <v>71.4</v>
      </c>
      <c r="AX30" s="4"/>
      <c r="AY30" s="8"/>
      <c r="AZ30" s="7"/>
      <c r="BA30" s="7"/>
      <c r="BB30" s="7">
        <v>1</v>
      </c>
      <c r="BC30" s="4">
        <v>2</v>
      </c>
      <c r="BD30" s="8">
        <v>71.4</v>
      </c>
      <c r="BE30" s="4"/>
      <c r="BF30" s="8"/>
      <c r="BG30" s="7"/>
      <c r="BH30" s="7"/>
      <c r="BI30" s="7">
        <v>1</v>
      </c>
      <c r="BJ30" s="4">
        <v>7</v>
      </c>
      <c r="BK30" s="8">
        <v>236.76</v>
      </c>
      <c r="BL30" s="2" t="s">
        <v>299</v>
      </c>
      <c r="BM30" s="7">
        <v>0.2857</v>
      </c>
      <c r="BN30" s="7">
        <v>0.3016</v>
      </c>
      <c r="BO30" s="4">
        <v>2</v>
      </c>
      <c r="BP30" s="8">
        <v>71.4</v>
      </c>
      <c r="BQ30" s="4"/>
      <c r="BR30" s="8"/>
      <c r="BS30" s="7"/>
      <c r="BT30" s="7"/>
      <c r="BU30" s="2" t="s">
        <v>107</v>
      </c>
      <c r="BV30" s="2" t="s">
        <v>95</v>
      </c>
      <c r="BW30" s="2" t="s">
        <v>300</v>
      </c>
      <c r="BX30" s="2" t="s">
        <v>301</v>
      </c>
      <c r="BY30" s="2" t="s">
        <v>110</v>
      </c>
      <c r="BZ30" s="2" t="s">
        <v>98</v>
      </c>
    </row>
    <row r="31">
      <c r="A31" s="2" t="s">
        <v>302</v>
      </c>
      <c r="B31" s="2" t="s">
        <v>87</v>
      </c>
      <c r="C31" s="2" t="s">
        <v>88</v>
      </c>
      <c r="D31" s="2" t="s">
        <v>89</v>
      </c>
      <c r="E31" s="2" t="s">
        <v>89</v>
      </c>
      <c r="F31" s="2" t="s">
        <v>303</v>
      </c>
      <c r="G31" s="2" t="s">
        <v>303</v>
      </c>
      <c r="H31" s="2" t="s">
        <v>303</v>
      </c>
      <c r="I31" s="2" t="s">
        <v>304</v>
      </c>
      <c r="J31" s="2" t="s">
        <v>93</v>
      </c>
      <c r="K31" s="2" t="s">
        <v>127</v>
      </c>
      <c r="L31" s="3">
        <v>40.47</v>
      </c>
      <c r="M31" s="3">
        <v>42.49</v>
      </c>
      <c r="N31" s="3">
        <v>84.99</v>
      </c>
      <c r="O31" s="2" t="s">
        <v>155</v>
      </c>
      <c r="P31" s="2" t="s">
        <v>115</v>
      </c>
      <c r="Q31" s="2" t="s">
        <v>97</v>
      </c>
      <c r="R31" s="2" t="s">
        <v>98</v>
      </c>
      <c r="S31" s="2" t="s">
        <v>305</v>
      </c>
      <c r="T31" s="2" t="s">
        <v>98</v>
      </c>
      <c r="U31" s="2" t="s">
        <v>117</v>
      </c>
      <c r="V31" s="2" t="s">
        <v>145</v>
      </c>
      <c r="W31" s="2" t="s">
        <v>102</v>
      </c>
      <c r="X31" s="2" t="s">
        <v>119</v>
      </c>
      <c r="Y31" s="2" t="s">
        <v>306</v>
      </c>
      <c r="Z31" s="4">
        <v>37</v>
      </c>
      <c r="AA31" s="4">
        <f>=ROUNDDOWN({0},0)</f>
      </c>
      <c r="AB31" s="5"/>
      <c r="AC31" s="2" t="s">
        <v>98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98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/>
      <c r="AW31" s="8"/>
      <c r="AX31" s="4"/>
      <c r="AY31" s="8"/>
      <c r="AZ31" s="7"/>
      <c r="BA31" s="7"/>
      <c r="BB31" s="7"/>
      <c r="BC31" s="4"/>
      <c r="BD31" s="8"/>
      <c r="BE31" s="4"/>
      <c r="BF31" s="8"/>
      <c r="BG31" s="7"/>
      <c r="BH31" s="7"/>
      <c r="BI31" s="7"/>
      <c r="BJ31" s="4">
        <v>1</v>
      </c>
      <c r="BK31" s="8">
        <v>54.75</v>
      </c>
      <c r="BL31" s="2" t="s">
        <v>307</v>
      </c>
      <c r="BM31" s="7"/>
      <c r="BN31" s="7"/>
      <c r="BO31" s="4"/>
      <c r="BP31" s="8"/>
      <c r="BQ31" s="4"/>
      <c r="BR31" s="8"/>
      <c r="BS31" s="7"/>
      <c r="BT31" s="7"/>
      <c r="BU31" s="2" t="s">
        <v>107</v>
      </c>
      <c r="BV31" s="2" t="s">
        <v>95</v>
      </c>
      <c r="BW31" s="2" t="s">
        <v>308</v>
      </c>
      <c r="BX31" s="2" t="s">
        <v>98</v>
      </c>
      <c r="BY31" s="2" t="s">
        <v>110</v>
      </c>
      <c r="BZ31" s="2" t="s">
        <v>98</v>
      </c>
    </row>
    <row r="32">
      <c r="A32" s="2" t="s">
        <v>309</v>
      </c>
      <c r="B32" s="2" t="s">
        <v>87</v>
      </c>
      <c r="C32" s="2" t="s">
        <v>88</v>
      </c>
      <c r="D32" s="2" t="s">
        <v>89</v>
      </c>
      <c r="E32" s="2" t="s">
        <v>89</v>
      </c>
      <c r="F32" s="2" t="s">
        <v>310</v>
      </c>
      <c r="G32" s="2" t="s">
        <v>310</v>
      </c>
      <c r="H32" s="2" t="s">
        <v>310</v>
      </c>
      <c r="I32" s="2" t="s">
        <v>311</v>
      </c>
      <c r="J32" s="2" t="s">
        <v>93</v>
      </c>
      <c r="K32" s="2" t="s">
        <v>312</v>
      </c>
      <c r="L32" s="3">
        <v>16.99</v>
      </c>
      <c r="M32" s="3">
        <v>17.84</v>
      </c>
      <c r="N32" s="3">
        <v>42.49</v>
      </c>
      <c r="O32" s="2" t="s">
        <v>95</v>
      </c>
      <c r="P32" s="2" t="s">
        <v>134</v>
      </c>
      <c r="Q32" s="2" t="s">
        <v>97</v>
      </c>
      <c r="R32" s="2" t="s">
        <v>98</v>
      </c>
      <c r="S32" s="2" t="s">
        <v>98</v>
      </c>
      <c r="T32" s="2" t="s">
        <v>98</v>
      </c>
      <c r="U32" s="2" t="s">
        <v>117</v>
      </c>
      <c r="V32" s="2" t="s">
        <v>313</v>
      </c>
      <c r="W32" s="2" t="s">
        <v>314</v>
      </c>
      <c r="X32" s="2" t="s">
        <v>98</v>
      </c>
      <c r="Y32" s="2" t="s">
        <v>315</v>
      </c>
      <c r="Z32" s="4">
        <v>291</v>
      </c>
      <c r="AA32" s="4">
        <f>=ROUNDDOWN(22.3846153846154,0)</f>
      </c>
      <c r="AB32" s="5">
        <v>13</v>
      </c>
      <c r="AC32" s="2" t="s">
        <v>177</v>
      </c>
      <c r="AD32" s="4">
        <v>160</v>
      </c>
      <c r="AE32" s="4">
        <v>160</v>
      </c>
      <c r="AF32" s="6">
        <v>63</v>
      </c>
      <c r="AG32" s="6"/>
      <c r="AH32" s="7">
        <v>1</v>
      </c>
      <c r="AI32" s="4"/>
      <c r="AJ32" s="4">
        <f>=ROUNDDOWN({0},0)</f>
      </c>
      <c r="AK32" s="5"/>
      <c r="AL32" s="2" t="s">
        <v>98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/>
      <c r="AW32" s="8"/>
      <c r="AX32" s="4"/>
      <c r="AY32" s="8"/>
      <c r="AZ32" s="7"/>
      <c r="BA32" s="7"/>
      <c r="BB32" s="7"/>
      <c r="BC32" s="4"/>
      <c r="BD32" s="8"/>
      <c r="BE32" s="4"/>
      <c r="BF32" s="8"/>
      <c r="BG32" s="7"/>
      <c r="BH32" s="7"/>
      <c r="BI32" s="7"/>
      <c r="BJ32" s="4">
        <v>13</v>
      </c>
      <c r="BK32" s="8">
        <v>282.82</v>
      </c>
      <c r="BL32" s="2" t="s">
        <v>316</v>
      </c>
      <c r="BM32" s="7"/>
      <c r="BN32" s="7"/>
      <c r="BO32" s="4"/>
      <c r="BP32" s="8"/>
      <c r="BQ32" s="4"/>
      <c r="BR32" s="8"/>
      <c r="BS32" s="7"/>
      <c r="BT32" s="7"/>
      <c r="BU32" s="2" t="s">
        <v>107</v>
      </c>
      <c r="BV32" s="2" t="s">
        <v>95</v>
      </c>
      <c r="BW32" s="2" t="s">
        <v>317</v>
      </c>
      <c r="BX32" s="2" t="s">
        <v>318</v>
      </c>
      <c r="BY32" s="2" t="s">
        <v>110</v>
      </c>
      <c r="BZ32" s="2" t="s">
        <v>98</v>
      </c>
    </row>
    <row r="33">
      <c r="A33" s="2" t="s">
        <v>319</v>
      </c>
      <c r="B33" s="2" t="s">
        <v>87</v>
      </c>
      <c r="C33" s="2" t="s">
        <v>88</v>
      </c>
      <c r="D33" s="2" t="s">
        <v>89</v>
      </c>
      <c r="E33" s="2" t="s">
        <v>89</v>
      </c>
      <c r="F33" s="2" t="s">
        <v>320</v>
      </c>
      <c r="G33" s="2" t="s">
        <v>320</v>
      </c>
      <c r="H33" s="2" t="s">
        <v>320</v>
      </c>
      <c r="I33" s="2" t="s">
        <v>321</v>
      </c>
      <c r="J33" s="2" t="s">
        <v>93</v>
      </c>
      <c r="K33" s="2" t="s">
        <v>322</v>
      </c>
      <c r="L33" s="3">
        <v>61.9</v>
      </c>
      <c r="M33" s="3">
        <v>65</v>
      </c>
      <c r="N33" s="3">
        <v>129.9</v>
      </c>
      <c r="O33" s="2" t="s">
        <v>95</v>
      </c>
      <c r="P33" s="2" t="s">
        <v>295</v>
      </c>
      <c r="Q33" s="2" t="s">
        <v>97</v>
      </c>
      <c r="R33" s="2" t="s">
        <v>98</v>
      </c>
      <c r="S33" s="2" t="s">
        <v>98</v>
      </c>
      <c r="T33" s="2" t="s">
        <v>98</v>
      </c>
      <c r="U33" s="2" t="s">
        <v>117</v>
      </c>
      <c r="V33" s="2" t="s">
        <v>165</v>
      </c>
      <c r="W33" s="2" t="s">
        <v>165</v>
      </c>
      <c r="X33" s="2" t="s">
        <v>119</v>
      </c>
      <c r="Y33" s="2" t="s">
        <v>98</v>
      </c>
      <c r="Z33" s="4"/>
      <c r="AA33" s="4">
        <f>=ROUNDDOWN({0},0)</f>
      </c>
      <c r="AB33" s="5"/>
      <c r="AC33" s="2" t="s">
        <v>323</v>
      </c>
      <c r="AD33" s="4">
        <v>100</v>
      </c>
      <c r="AE33" s="4">
        <v>100</v>
      </c>
      <c r="AF33" s="6">
        <v>65</v>
      </c>
      <c r="AG33" s="6"/>
      <c r="AH33" s="7">
        <v>0</v>
      </c>
      <c r="AI33" s="4"/>
      <c r="AJ33" s="4">
        <f>=ROUNDDOWN({0},0)</f>
      </c>
      <c r="AK33" s="5"/>
      <c r="AL33" s="2" t="s">
        <v>98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/>
      <c r="AW33" s="8"/>
      <c r="AX33" s="4"/>
      <c r="AY33" s="8"/>
      <c r="AZ33" s="7"/>
      <c r="BA33" s="7"/>
      <c r="BB33" s="7"/>
      <c r="BC33" s="4"/>
      <c r="BD33" s="8"/>
      <c r="BE33" s="4"/>
      <c r="BF33" s="8"/>
      <c r="BG33" s="7"/>
      <c r="BH33" s="7"/>
      <c r="BI33" s="7"/>
      <c r="BJ33" s="4"/>
      <c r="BK33" s="8"/>
      <c r="BL33" s="2" t="s">
        <v>98</v>
      </c>
      <c r="BM33" s="7"/>
      <c r="BN33" s="7"/>
      <c r="BO33" s="4"/>
      <c r="BP33" s="8"/>
      <c r="BQ33" s="4"/>
      <c r="BR33" s="8"/>
      <c r="BS33" s="7"/>
      <c r="BT33" s="7"/>
      <c r="BU33" s="2" t="s">
        <v>324</v>
      </c>
      <c r="BV33" s="2" t="s">
        <v>95</v>
      </c>
      <c r="BW33" s="2" t="s">
        <v>98</v>
      </c>
      <c r="BX33" s="2" t="s">
        <v>98</v>
      </c>
      <c r="BY33" s="2" t="s">
        <v>110</v>
      </c>
      <c r="BZ33" s="2" t="s">
        <v>98</v>
      </c>
    </row>
    <row r="34">
      <c r="A34" s="2" t="s">
        <v>325</v>
      </c>
      <c r="B34" s="2" t="s">
        <v>87</v>
      </c>
      <c r="C34" s="2" t="s">
        <v>88</v>
      </c>
      <c r="D34" s="2" t="s">
        <v>89</v>
      </c>
      <c r="E34" s="2" t="s">
        <v>326</v>
      </c>
      <c r="F34" s="2" t="s">
        <v>327</v>
      </c>
      <c r="G34" s="2" t="s">
        <v>327</v>
      </c>
      <c r="H34" s="2" t="s">
        <v>327</v>
      </c>
      <c r="I34" s="2" t="s">
        <v>328</v>
      </c>
      <c r="J34" s="2" t="s">
        <v>93</v>
      </c>
      <c r="K34" s="2" t="s">
        <v>329</v>
      </c>
      <c r="L34" s="3">
        <v>54.4</v>
      </c>
      <c r="M34" s="3">
        <v>57.12</v>
      </c>
      <c r="N34" s="3">
        <v>114.74</v>
      </c>
      <c r="O34" s="2" t="s">
        <v>95</v>
      </c>
      <c r="P34" s="2" t="s">
        <v>142</v>
      </c>
      <c r="Q34" s="2" t="s">
        <v>97</v>
      </c>
      <c r="R34" s="2" t="s">
        <v>98</v>
      </c>
      <c r="S34" s="2" t="s">
        <v>330</v>
      </c>
      <c r="T34" s="2" t="s">
        <v>98</v>
      </c>
      <c r="U34" s="2" t="s">
        <v>100</v>
      </c>
      <c r="V34" s="2" t="s">
        <v>331</v>
      </c>
      <c r="W34" s="2" t="s">
        <v>102</v>
      </c>
      <c r="X34" s="2" t="s">
        <v>165</v>
      </c>
      <c r="Y34" s="2" t="s">
        <v>332</v>
      </c>
      <c r="Z34" s="4">
        <v>147</v>
      </c>
      <c r="AA34" s="4">
        <f>=ROUNDDOWN(73.5,0)</f>
      </c>
      <c r="AB34" s="5">
        <v>2</v>
      </c>
      <c r="AC34" s="2" t="s">
        <v>98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98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/>
      <c r="AW34" s="8"/>
      <c r="AX34" s="4"/>
      <c r="AY34" s="8"/>
      <c r="AZ34" s="7"/>
      <c r="BA34" s="7"/>
      <c r="BB34" s="7"/>
      <c r="BC34" s="4"/>
      <c r="BD34" s="8"/>
      <c r="BE34" s="4"/>
      <c r="BF34" s="8"/>
      <c r="BG34" s="7"/>
      <c r="BH34" s="7"/>
      <c r="BI34" s="7"/>
      <c r="BJ34" s="4">
        <v>1</v>
      </c>
      <c r="BK34" s="8">
        <v>73.92</v>
      </c>
      <c r="BL34" s="2" t="s">
        <v>333</v>
      </c>
      <c r="BM34" s="7"/>
      <c r="BN34" s="7"/>
      <c r="BO34" s="4"/>
      <c r="BP34" s="8"/>
      <c r="BQ34" s="4"/>
      <c r="BR34" s="8"/>
      <c r="BS34" s="7"/>
      <c r="BT34" s="7"/>
      <c r="BU34" s="2" t="s">
        <v>107</v>
      </c>
      <c r="BV34" s="2" t="s">
        <v>95</v>
      </c>
      <c r="BW34" s="2" t="s">
        <v>122</v>
      </c>
      <c r="BX34" s="2" t="s">
        <v>334</v>
      </c>
      <c r="BY34" s="2" t="s">
        <v>110</v>
      </c>
      <c r="BZ34" s="2" t="s">
        <v>98</v>
      </c>
    </row>
    <row r="35">
      <c r="A35" s="2" t="s">
        <v>335</v>
      </c>
      <c r="B35" s="2" t="s">
        <v>87</v>
      </c>
      <c r="C35" s="2" t="s">
        <v>88</v>
      </c>
      <c r="D35" s="2" t="s">
        <v>89</v>
      </c>
      <c r="E35" s="2" t="s">
        <v>326</v>
      </c>
      <c r="F35" s="2" t="s">
        <v>336</v>
      </c>
      <c r="G35" s="2" t="s">
        <v>336</v>
      </c>
      <c r="H35" s="2" t="s">
        <v>336</v>
      </c>
      <c r="I35" s="2" t="s">
        <v>337</v>
      </c>
      <c r="J35" s="2" t="s">
        <v>93</v>
      </c>
      <c r="K35" s="2" t="s">
        <v>236</v>
      </c>
      <c r="L35" s="3">
        <v>27.82</v>
      </c>
      <c r="M35" s="3">
        <v>29.21</v>
      </c>
      <c r="N35" s="3">
        <v>61.74</v>
      </c>
      <c r="O35" s="2" t="s">
        <v>95</v>
      </c>
      <c r="P35" s="2" t="s">
        <v>134</v>
      </c>
      <c r="Q35" s="2" t="s">
        <v>97</v>
      </c>
      <c r="R35" s="2" t="s">
        <v>98</v>
      </c>
      <c r="S35" s="2" t="s">
        <v>338</v>
      </c>
      <c r="T35" s="2" t="s">
        <v>98</v>
      </c>
      <c r="U35" s="2" t="s">
        <v>100</v>
      </c>
      <c r="V35" s="2" t="s">
        <v>339</v>
      </c>
      <c r="W35" s="2" t="s">
        <v>204</v>
      </c>
      <c r="X35" s="2" t="s">
        <v>340</v>
      </c>
      <c r="Y35" s="2" t="s">
        <v>341</v>
      </c>
      <c r="Z35" s="4">
        <v>245</v>
      </c>
      <c r="AA35" s="4">
        <f>=ROUNDDOWN(20.4166666666667,0)</f>
      </c>
      <c r="AB35" s="5">
        <v>12</v>
      </c>
      <c r="AC35" s="2" t="s">
        <v>342</v>
      </c>
      <c r="AD35" s="4">
        <v>100</v>
      </c>
      <c r="AE35" s="4">
        <v>100</v>
      </c>
      <c r="AF35" s="6">
        <v>63</v>
      </c>
      <c r="AG35" s="6"/>
      <c r="AH35" s="7">
        <v>1</v>
      </c>
      <c r="AI35" s="4"/>
      <c r="AJ35" s="4">
        <f>=ROUNDDOWN({0},0)</f>
      </c>
      <c r="AK35" s="5"/>
      <c r="AL35" s="2" t="s">
        <v>98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/>
      <c r="AW35" s="8"/>
      <c r="AX35" s="4"/>
      <c r="AY35" s="8"/>
      <c r="AZ35" s="7"/>
      <c r="BA35" s="7"/>
      <c r="BB35" s="7"/>
      <c r="BC35" s="4"/>
      <c r="BD35" s="8"/>
      <c r="BE35" s="4"/>
      <c r="BF35" s="8"/>
      <c r="BG35" s="7"/>
      <c r="BH35" s="7"/>
      <c r="BI35" s="7"/>
      <c r="BJ35" s="4">
        <v>9</v>
      </c>
      <c r="BK35" s="8">
        <v>289.18</v>
      </c>
      <c r="BL35" s="2" t="s">
        <v>343</v>
      </c>
      <c r="BM35" s="7"/>
      <c r="BN35" s="7"/>
      <c r="BO35" s="4"/>
      <c r="BP35" s="8"/>
      <c r="BQ35" s="4"/>
      <c r="BR35" s="8"/>
      <c r="BS35" s="7"/>
      <c r="BT35" s="7"/>
      <c r="BU35" s="2" t="s">
        <v>107</v>
      </c>
      <c r="BV35" s="2" t="s">
        <v>95</v>
      </c>
      <c r="BW35" s="2" t="s">
        <v>149</v>
      </c>
      <c r="BX35" s="2" t="s">
        <v>344</v>
      </c>
      <c r="BY35" s="2" t="s">
        <v>110</v>
      </c>
      <c r="BZ35" s="2" t="s">
        <v>98</v>
      </c>
    </row>
    <row r="36">
      <c r="A36" s="2" t="s">
        <v>345</v>
      </c>
      <c r="B36" s="2" t="s">
        <v>87</v>
      </c>
      <c r="C36" s="2" t="s">
        <v>88</v>
      </c>
      <c r="D36" s="2" t="s">
        <v>89</v>
      </c>
      <c r="E36" s="2" t="s">
        <v>326</v>
      </c>
      <c r="F36" s="2" t="s">
        <v>346</v>
      </c>
      <c r="G36" s="2" t="s">
        <v>346</v>
      </c>
      <c r="H36" s="2" t="s">
        <v>346</v>
      </c>
      <c r="I36" s="2" t="s">
        <v>347</v>
      </c>
      <c r="J36" s="2" t="s">
        <v>93</v>
      </c>
      <c r="K36" s="2" t="s">
        <v>348</v>
      </c>
      <c r="L36" s="3">
        <v>18.83</v>
      </c>
      <c r="M36" s="3">
        <v>19.77</v>
      </c>
      <c r="N36" s="3">
        <v>38.24</v>
      </c>
      <c r="O36" s="2" t="s">
        <v>95</v>
      </c>
      <c r="P36" s="2" t="s">
        <v>142</v>
      </c>
      <c r="Q36" s="2" t="s">
        <v>97</v>
      </c>
      <c r="R36" s="2" t="s">
        <v>98</v>
      </c>
      <c r="S36" s="2" t="s">
        <v>349</v>
      </c>
      <c r="T36" s="2" t="s">
        <v>98</v>
      </c>
      <c r="U36" s="2" t="s">
        <v>157</v>
      </c>
      <c r="V36" s="2" t="s">
        <v>145</v>
      </c>
      <c r="W36" s="2" t="s">
        <v>146</v>
      </c>
      <c r="X36" s="2" t="s">
        <v>119</v>
      </c>
      <c r="Y36" s="2" t="s">
        <v>350</v>
      </c>
      <c r="Z36" s="4">
        <v>110</v>
      </c>
      <c r="AA36" s="4">
        <f>=ROUNDDOWN(22,0)</f>
      </c>
      <c r="AB36" s="5">
        <v>5</v>
      </c>
      <c r="AC36" s="2" t="s">
        <v>98</v>
      </c>
      <c r="AD36" s="4"/>
      <c r="AE36" s="4"/>
      <c r="AF36" s="6">
        <v>63</v>
      </c>
      <c r="AG36" s="6"/>
      <c r="AH36" s="7">
        <v>1</v>
      </c>
      <c r="AI36" s="4"/>
      <c r="AJ36" s="4">
        <f>=ROUNDDOWN({0},0)</f>
      </c>
      <c r="AK36" s="5"/>
      <c r="AL36" s="2" t="s">
        <v>98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/>
      <c r="AW36" s="8"/>
      <c r="AX36" s="4"/>
      <c r="AY36" s="8"/>
      <c r="AZ36" s="7"/>
      <c r="BA36" s="7"/>
      <c r="BB36" s="7"/>
      <c r="BC36" s="4"/>
      <c r="BD36" s="8"/>
      <c r="BE36" s="4"/>
      <c r="BF36" s="8"/>
      <c r="BG36" s="7"/>
      <c r="BH36" s="7"/>
      <c r="BI36" s="7"/>
      <c r="BJ36" s="4">
        <v>10</v>
      </c>
      <c r="BK36" s="8">
        <v>231.02</v>
      </c>
      <c r="BL36" s="2" t="s">
        <v>351</v>
      </c>
      <c r="BM36" s="7"/>
      <c r="BN36" s="7"/>
      <c r="BO36" s="4"/>
      <c r="BP36" s="8"/>
      <c r="BQ36" s="4"/>
      <c r="BR36" s="8"/>
      <c r="BS36" s="7"/>
      <c r="BT36" s="7"/>
      <c r="BU36" s="2" t="s">
        <v>107</v>
      </c>
      <c r="BV36" s="2" t="s">
        <v>95</v>
      </c>
      <c r="BW36" s="2" t="s">
        <v>352</v>
      </c>
      <c r="BX36" s="2" t="s">
        <v>353</v>
      </c>
      <c r="BY36" s="2" t="s">
        <v>110</v>
      </c>
      <c r="BZ36" s="2" t="s">
        <v>98</v>
      </c>
    </row>
    <row r="37">
      <c r="A37" s="2" t="s">
        <v>354</v>
      </c>
      <c r="B37" s="2" t="s">
        <v>87</v>
      </c>
      <c r="C37" s="2" t="s">
        <v>88</v>
      </c>
      <c r="D37" s="2" t="s">
        <v>89</v>
      </c>
      <c r="E37" s="2" t="s">
        <v>326</v>
      </c>
      <c r="F37" s="2" t="s">
        <v>355</v>
      </c>
      <c r="G37" s="2" t="s">
        <v>355</v>
      </c>
      <c r="H37" s="2" t="s">
        <v>355</v>
      </c>
      <c r="I37" s="2" t="s">
        <v>356</v>
      </c>
      <c r="J37" s="2" t="s">
        <v>93</v>
      </c>
      <c r="K37" s="2" t="s">
        <v>357</v>
      </c>
      <c r="L37" s="3">
        <v>18.83</v>
      </c>
      <c r="M37" s="3">
        <v>19.77</v>
      </c>
      <c r="N37" s="3">
        <v>38.24</v>
      </c>
      <c r="O37" s="2" t="s">
        <v>95</v>
      </c>
      <c r="P37" s="2" t="s">
        <v>142</v>
      </c>
      <c r="Q37" s="2" t="s">
        <v>97</v>
      </c>
      <c r="R37" s="2" t="s">
        <v>98</v>
      </c>
      <c r="S37" s="2" t="s">
        <v>358</v>
      </c>
      <c r="T37" s="2" t="s">
        <v>98</v>
      </c>
      <c r="U37" s="2" t="s">
        <v>157</v>
      </c>
      <c r="V37" s="2" t="s">
        <v>145</v>
      </c>
      <c r="W37" s="2" t="s">
        <v>146</v>
      </c>
      <c r="X37" s="2" t="s">
        <v>119</v>
      </c>
      <c r="Y37" s="2" t="s">
        <v>359</v>
      </c>
      <c r="Z37" s="4">
        <v>48</v>
      </c>
      <c r="AA37" s="4">
        <f>=ROUNDDOWN(8,0)</f>
      </c>
      <c r="AB37" s="5">
        <v>6</v>
      </c>
      <c r="AC37" s="2" t="s">
        <v>360</v>
      </c>
      <c r="AD37" s="4">
        <v>100</v>
      </c>
      <c r="AE37" s="4">
        <v>100</v>
      </c>
      <c r="AF37" s="6">
        <v>63</v>
      </c>
      <c r="AG37" s="6"/>
      <c r="AH37" s="7">
        <v>1</v>
      </c>
      <c r="AI37" s="4"/>
      <c r="AJ37" s="4">
        <f>=ROUNDDOWN({0},0)</f>
      </c>
      <c r="AK37" s="5"/>
      <c r="AL37" s="2" t="s">
        <v>98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/>
      <c r="AW37" s="8"/>
      <c r="AX37" s="4"/>
      <c r="AY37" s="8"/>
      <c r="AZ37" s="7"/>
      <c r="BA37" s="7"/>
      <c r="BB37" s="7"/>
      <c r="BC37" s="4" t="s">
        <v>98</v>
      </c>
      <c r="BD37" s="8" t="s">
        <v>98</v>
      </c>
      <c r="BE37" s="4" t="s">
        <v>98</v>
      </c>
      <c r="BF37" s="8" t="s">
        <v>98</v>
      </c>
      <c r="BG37" s="7" t="s">
        <v>98</v>
      </c>
      <c r="BH37" s="7" t="s">
        <v>98</v>
      </c>
      <c r="BI37" s="7"/>
      <c r="BJ37" s="4">
        <v>6</v>
      </c>
      <c r="BK37" s="8">
        <v>153.74</v>
      </c>
      <c r="BL37" s="2" t="s">
        <v>361</v>
      </c>
      <c r="BM37" s="7"/>
      <c r="BN37" s="7"/>
      <c r="BO37" s="4"/>
      <c r="BP37" s="8"/>
      <c r="BQ37" s="4"/>
      <c r="BR37" s="8"/>
      <c r="BS37" s="7"/>
      <c r="BT37" s="7"/>
      <c r="BU37" s="2" t="s">
        <v>107</v>
      </c>
      <c r="BV37" s="2" t="s">
        <v>95</v>
      </c>
      <c r="BW37" s="2" t="s">
        <v>122</v>
      </c>
      <c r="BX37" s="2" t="s">
        <v>123</v>
      </c>
      <c r="BY37" s="2" t="s">
        <v>110</v>
      </c>
      <c r="BZ37" s="2" t="s">
        <v>98</v>
      </c>
    </row>
    <row r="38">
      <c r="A38" s="2" t="s">
        <v>362</v>
      </c>
      <c r="B38" s="2" t="s">
        <v>87</v>
      </c>
      <c r="C38" s="2" t="s">
        <v>88</v>
      </c>
      <c r="D38" s="2" t="s">
        <v>89</v>
      </c>
      <c r="E38" s="2" t="s">
        <v>326</v>
      </c>
      <c r="F38" s="2" t="s">
        <v>355</v>
      </c>
      <c r="G38" s="2" t="s">
        <v>355</v>
      </c>
      <c r="H38" s="2" t="s">
        <v>355</v>
      </c>
      <c r="I38" s="2" t="s">
        <v>363</v>
      </c>
      <c r="J38" s="2" t="s">
        <v>93</v>
      </c>
      <c r="K38" s="2" t="s">
        <v>364</v>
      </c>
      <c r="L38" s="3">
        <v>18.83</v>
      </c>
      <c r="M38" s="3">
        <v>19.77</v>
      </c>
      <c r="N38" s="3">
        <v>38.24</v>
      </c>
      <c r="O38" s="2" t="s">
        <v>155</v>
      </c>
      <c r="P38" s="2" t="s">
        <v>115</v>
      </c>
      <c r="Q38" s="2" t="s">
        <v>97</v>
      </c>
      <c r="R38" s="2" t="s">
        <v>98</v>
      </c>
      <c r="S38" s="2" t="s">
        <v>365</v>
      </c>
      <c r="T38" s="2" t="s">
        <v>98</v>
      </c>
      <c r="U38" s="2" t="s">
        <v>157</v>
      </c>
      <c r="V38" s="2" t="s">
        <v>203</v>
      </c>
      <c r="W38" s="2" t="s">
        <v>146</v>
      </c>
      <c r="X38" s="2" t="s">
        <v>98</v>
      </c>
      <c r="Y38" s="2" t="s">
        <v>366</v>
      </c>
      <c r="Z38" s="4">
        <v>862</v>
      </c>
      <c r="AA38" s="4">
        <f>=ROUNDDOWN(153.928571428571,0)</f>
      </c>
      <c r="AB38" s="5">
        <v>5.6</v>
      </c>
      <c r="AC38" s="2" t="s">
        <v>98</v>
      </c>
      <c r="AD38" s="4"/>
      <c r="AE38" s="4"/>
      <c r="AF38" s="6">
        <v>63</v>
      </c>
      <c r="AG38" s="6"/>
      <c r="AH38" s="7">
        <v>1</v>
      </c>
      <c r="AI38" s="4"/>
      <c r="AJ38" s="4">
        <f>=ROUNDDOWN({0},0)</f>
      </c>
      <c r="AK38" s="5"/>
      <c r="AL38" s="2" t="s">
        <v>98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/>
      <c r="AW38" s="8"/>
      <c r="AX38" s="4"/>
      <c r="AY38" s="8"/>
      <c r="AZ38" s="7"/>
      <c r="BA38" s="7"/>
      <c r="BB38" s="7"/>
      <c r="BC38" s="4" t="s">
        <v>98</v>
      </c>
      <c r="BD38" s="8" t="s">
        <v>98</v>
      </c>
      <c r="BE38" s="4" t="s">
        <v>98</v>
      </c>
      <c r="BF38" s="8" t="s">
        <v>98</v>
      </c>
      <c r="BG38" s="7" t="s">
        <v>98</v>
      </c>
      <c r="BH38" s="7" t="s">
        <v>98</v>
      </c>
      <c r="BI38" s="7"/>
      <c r="BJ38" s="4">
        <v>1</v>
      </c>
      <c r="BK38" s="8">
        <v>11.63</v>
      </c>
      <c r="BL38" s="2" t="s">
        <v>367</v>
      </c>
      <c r="BM38" s="7"/>
      <c r="BN38" s="7"/>
      <c r="BO38" s="4"/>
      <c r="BP38" s="8"/>
      <c r="BQ38" s="4"/>
      <c r="BR38" s="8"/>
      <c r="BS38" s="7"/>
      <c r="BT38" s="7"/>
      <c r="BU38" s="2" t="s">
        <v>107</v>
      </c>
      <c r="BV38" s="2" t="s">
        <v>95</v>
      </c>
      <c r="BW38" s="2" t="s">
        <v>368</v>
      </c>
      <c r="BX38" s="2" t="s">
        <v>369</v>
      </c>
      <c r="BY38" s="2" t="s">
        <v>110</v>
      </c>
      <c r="BZ38" s="2" t="s">
        <v>98</v>
      </c>
    </row>
    <row r="39">
      <c r="A39" s="2" t="s">
        <v>370</v>
      </c>
      <c r="B39" s="2" t="s">
        <v>87</v>
      </c>
      <c r="C39" s="2" t="s">
        <v>88</v>
      </c>
      <c r="D39" s="2" t="s">
        <v>89</v>
      </c>
      <c r="E39" s="2" t="s">
        <v>326</v>
      </c>
      <c r="F39" s="2" t="s">
        <v>371</v>
      </c>
      <c r="G39" s="2" t="s">
        <v>371</v>
      </c>
      <c r="H39" s="2" t="s">
        <v>371</v>
      </c>
      <c r="I39" s="2" t="s">
        <v>372</v>
      </c>
      <c r="J39" s="2" t="s">
        <v>93</v>
      </c>
      <c r="K39" s="2" t="s">
        <v>322</v>
      </c>
      <c r="L39" s="3">
        <v>85.48</v>
      </c>
      <c r="M39" s="3">
        <v>89.75</v>
      </c>
      <c r="N39" s="3">
        <v>178.49</v>
      </c>
      <c r="O39" s="2" t="s">
        <v>95</v>
      </c>
      <c r="P39" s="2" t="s">
        <v>163</v>
      </c>
      <c r="Q39" s="2" t="s">
        <v>97</v>
      </c>
      <c r="R39" s="2" t="s">
        <v>98</v>
      </c>
      <c r="S39" s="2" t="s">
        <v>373</v>
      </c>
      <c r="T39" s="2" t="s">
        <v>98</v>
      </c>
      <c r="U39" s="2" t="s">
        <v>157</v>
      </c>
      <c r="V39" s="2" t="s">
        <v>101</v>
      </c>
      <c r="W39" s="2" t="s">
        <v>165</v>
      </c>
      <c r="X39" s="2" t="s">
        <v>119</v>
      </c>
      <c r="Y39" s="2" t="s">
        <v>374</v>
      </c>
      <c r="Z39" s="4">
        <v>173</v>
      </c>
      <c r="AA39" s="4">
        <f>=ROUNDDOWN(11.5333333333333,0)</f>
      </c>
      <c r="AB39" s="5">
        <v>15</v>
      </c>
      <c r="AC39" s="2" t="s">
        <v>287</v>
      </c>
      <c r="AD39" s="4">
        <v>250</v>
      </c>
      <c r="AE39" s="4">
        <v>250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98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/>
      <c r="AW39" s="8"/>
      <c r="AX39" s="4"/>
      <c r="AY39" s="8"/>
      <c r="AZ39" s="7"/>
      <c r="BA39" s="7"/>
      <c r="BB39" s="7"/>
      <c r="BC39" s="4"/>
      <c r="BD39" s="8"/>
      <c r="BE39" s="4"/>
      <c r="BF39" s="8"/>
      <c r="BG39" s="7"/>
      <c r="BH39" s="7"/>
      <c r="BI39" s="7"/>
      <c r="BJ39" s="4">
        <v>20</v>
      </c>
      <c r="BK39" s="8">
        <v>1912.95</v>
      </c>
      <c r="BL39" s="2" t="s">
        <v>375</v>
      </c>
      <c r="BM39" s="7"/>
      <c r="BN39" s="7"/>
      <c r="BO39" s="4"/>
      <c r="BP39" s="8"/>
      <c r="BQ39" s="4"/>
      <c r="BR39" s="8"/>
      <c r="BS39" s="7"/>
      <c r="BT39" s="7"/>
      <c r="BU39" s="2" t="s">
        <v>107</v>
      </c>
      <c r="BV39" s="2" t="s">
        <v>95</v>
      </c>
      <c r="BW39" s="2" t="s">
        <v>108</v>
      </c>
      <c r="BX39" s="2" t="s">
        <v>376</v>
      </c>
      <c r="BY39" s="2" t="s">
        <v>110</v>
      </c>
      <c r="BZ39" s="2" t="s">
        <v>98</v>
      </c>
    </row>
    <row r="40">
      <c r="A40" s="2" t="s">
        <v>377</v>
      </c>
      <c r="B40" s="2" t="s">
        <v>87</v>
      </c>
      <c r="C40" s="2" t="s">
        <v>88</v>
      </c>
      <c r="D40" s="2" t="s">
        <v>89</v>
      </c>
      <c r="E40" s="2" t="s">
        <v>326</v>
      </c>
      <c r="F40" s="2" t="s">
        <v>320</v>
      </c>
      <c r="G40" s="2" t="s">
        <v>320</v>
      </c>
      <c r="H40" s="2" t="s">
        <v>320</v>
      </c>
      <c r="I40" s="2" t="s">
        <v>378</v>
      </c>
      <c r="J40" s="2" t="s">
        <v>93</v>
      </c>
      <c r="K40" s="2" t="s">
        <v>322</v>
      </c>
      <c r="L40" s="3">
        <v>77.71</v>
      </c>
      <c r="M40" s="3">
        <v>81.6</v>
      </c>
      <c r="N40" s="3">
        <v>169.99</v>
      </c>
      <c r="O40" s="2" t="s">
        <v>95</v>
      </c>
      <c r="P40" s="2" t="s">
        <v>96</v>
      </c>
      <c r="Q40" s="2" t="s">
        <v>97</v>
      </c>
      <c r="R40" s="2" t="s">
        <v>98</v>
      </c>
      <c r="S40" s="2" t="s">
        <v>379</v>
      </c>
      <c r="T40" s="2" t="s">
        <v>98</v>
      </c>
      <c r="U40" s="2" t="s">
        <v>157</v>
      </c>
      <c r="V40" s="2" t="s">
        <v>165</v>
      </c>
      <c r="W40" s="2" t="s">
        <v>165</v>
      </c>
      <c r="X40" s="2" t="s">
        <v>119</v>
      </c>
      <c r="Y40" s="2" t="s">
        <v>374</v>
      </c>
      <c r="Z40" s="4">
        <v>201</v>
      </c>
      <c r="AA40" s="4">
        <f>=ROUNDDOWN(20.1,0)</f>
      </c>
      <c r="AB40" s="5">
        <v>10</v>
      </c>
      <c r="AC40" s="2" t="s">
        <v>214</v>
      </c>
      <c r="AD40" s="4">
        <v>100</v>
      </c>
      <c r="AE40" s="4">
        <v>100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98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/>
      <c r="AW40" s="8"/>
      <c r="AX40" s="4"/>
      <c r="AY40" s="8"/>
      <c r="AZ40" s="7"/>
      <c r="BA40" s="7"/>
      <c r="BB40" s="7"/>
      <c r="BC40" s="4"/>
      <c r="BD40" s="8"/>
      <c r="BE40" s="4"/>
      <c r="BF40" s="8"/>
      <c r="BG40" s="7"/>
      <c r="BH40" s="7"/>
      <c r="BI40" s="7"/>
      <c r="BJ40" s="4">
        <v>4</v>
      </c>
      <c r="BK40" s="8">
        <v>386.6</v>
      </c>
      <c r="BL40" s="2" t="s">
        <v>380</v>
      </c>
      <c r="BM40" s="7"/>
      <c r="BN40" s="7"/>
      <c r="BO40" s="4"/>
      <c r="BP40" s="8"/>
      <c r="BQ40" s="4"/>
      <c r="BR40" s="8"/>
      <c r="BS40" s="7"/>
      <c r="BT40" s="7"/>
      <c r="BU40" s="2" t="s">
        <v>107</v>
      </c>
      <c r="BV40" s="2" t="s">
        <v>95</v>
      </c>
      <c r="BW40" s="2" t="s">
        <v>108</v>
      </c>
      <c r="BX40" s="2" t="s">
        <v>381</v>
      </c>
      <c r="BY40" s="2" t="s">
        <v>110</v>
      </c>
      <c r="BZ40" s="2" t="s">
        <v>98</v>
      </c>
    </row>
    <row r="41">
      <c r="A41" s="2" t="s">
        <v>382</v>
      </c>
      <c r="B41" s="2" t="s">
        <v>87</v>
      </c>
      <c r="C41" s="2" t="s">
        <v>88</v>
      </c>
      <c r="D41" s="2" t="s">
        <v>89</v>
      </c>
      <c r="E41" s="2" t="s">
        <v>326</v>
      </c>
      <c r="F41" s="2" t="s">
        <v>383</v>
      </c>
      <c r="G41" s="2" t="s">
        <v>383</v>
      </c>
      <c r="H41" s="2" t="s">
        <v>383</v>
      </c>
      <c r="I41" s="2" t="s">
        <v>384</v>
      </c>
      <c r="J41" s="2" t="s">
        <v>93</v>
      </c>
      <c r="K41" s="2" t="s">
        <v>322</v>
      </c>
      <c r="L41" s="3">
        <v>57.35</v>
      </c>
      <c r="M41" s="3">
        <v>60.22</v>
      </c>
      <c r="N41" s="3">
        <v>118.99</v>
      </c>
      <c r="O41" s="2" t="s">
        <v>95</v>
      </c>
      <c r="P41" s="2" t="s">
        <v>134</v>
      </c>
      <c r="Q41" s="2" t="s">
        <v>97</v>
      </c>
      <c r="R41" s="2" t="s">
        <v>98</v>
      </c>
      <c r="S41" s="2" t="s">
        <v>385</v>
      </c>
      <c r="T41" s="2" t="s">
        <v>98</v>
      </c>
      <c r="U41" s="2" t="s">
        <v>100</v>
      </c>
      <c r="V41" s="2" t="s">
        <v>203</v>
      </c>
      <c r="W41" s="2" t="s">
        <v>146</v>
      </c>
      <c r="X41" s="2" t="s">
        <v>119</v>
      </c>
      <c r="Y41" s="2" t="s">
        <v>386</v>
      </c>
      <c r="Z41" s="4">
        <v>136</v>
      </c>
      <c r="AA41" s="4">
        <f>=ROUNDDOWN(22.6666666666667,0)</f>
      </c>
      <c r="AB41" s="5">
        <v>6</v>
      </c>
      <c r="AC41" s="2" t="s">
        <v>98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98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/>
      <c r="AW41" s="8"/>
      <c r="AX41" s="4"/>
      <c r="AY41" s="8"/>
      <c r="AZ41" s="7"/>
      <c r="BA41" s="7"/>
      <c r="BB41" s="7"/>
      <c r="BC41" s="4"/>
      <c r="BD41" s="8"/>
      <c r="BE41" s="4"/>
      <c r="BF41" s="8"/>
      <c r="BG41" s="7"/>
      <c r="BH41" s="7"/>
      <c r="BI41" s="7"/>
      <c r="BJ41" s="4">
        <v>3</v>
      </c>
      <c r="BK41" s="8">
        <v>208.86</v>
      </c>
      <c r="BL41" s="2" t="s">
        <v>387</v>
      </c>
      <c r="BM41" s="7"/>
      <c r="BN41" s="7"/>
      <c r="BO41" s="4"/>
      <c r="BP41" s="8"/>
      <c r="BQ41" s="4"/>
      <c r="BR41" s="8"/>
      <c r="BS41" s="7"/>
      <c r="BT41" s="7"/>
      <c r="BU41" s="2" t="s">
        <v>388</v>
      </c>
      <c r="BV41" s="2" t="s">
        <v>95</v>
      </c>
      <c r="BW41" s="2" t="s">
        <v>389</v>
      </c>
      <c r="BX41" s="2" t="s">
        <v>390</v>
      </c>
      <c r="BY41" s="2" t="s">
        <v>110</v>
      </c>
      <c r="BZ41" s="2" t="s">
        <v>98</v>
      </c>
    </row>
    <row r="42">
      <c r="A42" s="2" t="s">
        <v>391</v>
      </c>
      <c r="B42" s="2" t="s">
        <v>87</v>
      </c>
      <c r="C42" s="2" t="s">
        <v>88</v>
      </c>
      <c r="D42" s="2" t="s">
        <v>392</v>
      </c>
      <c r="E42" s="2" t="s">
        <v>393</v>
      </c>
      <c r="F42" s="2" t="s">
        <v>394</v>
      </c>
      <c r="G42" s="2" t="s">
        <v>394</v>
      </c>
      <c r="H42" s="2" t="s">
        <v>394</v>
      </c>
      <c r="I42" s="2" t="s">
        <v>395</v>
      </c>
      <c r="J42" s="2" t="s">
        <v>93</v>
      </c>
      <c r="K42" s="2" t="s">
        <v>294</v>
      </c>
      <c r="L42" s="3">
        <v>76.9</v>
      </c>
      <c r="M42" s="3">
        <v>80.74</v>
      </c>
      <c r="N42" s="3">
        <v>161.49</v>
      </c>
      <c r="O42" s="2" t="s">
        <v>95</v>
      </c>
      <c r="P42" s="2" t="s">
        <v>295</v>
      </c>
      <c r="Q42" s="2" t="s">
        <v>97</v>
      </c>
      <c r="R42" s="2" t="s">
        <v>98</v>
      </c>
      <c r="S42" s="2" t="s">
        <v>98</v>
      </c>
      <c r="T42" s="2" t="s">
        <v>98</v>
      </c>
      <c r="U42" s="2" t="s">
        <v>117</v>
      </c>
      <c r="V42" s="2" t="s">
        <v>296</v>
      </c>
      <c r="W42" s="2" t="s">
        <v>297</v>
      </c>
      <c r="X42" s="2" t="s">
        <v>314</v>
      </c>
      <c r="Y42" s="2" t="s">
        <v>298</v>
      </c>
      <c r="Z42" s="4">
        <v>43</v>
      </c>
      <c r="AA42" s="4">
        <f>=ROUNDDOWN(8.6,0)</f>
      </c>
      <c r="AB42" s="5">
        <v>5</v>
      </c>
      <c r="AC42" s="2" t="s">
        <v>185</v>
      </c>
      <c r="AD42" s="4">
        <v>100</v>
      </c>
      <c r="AE42" s="4">
        <v>100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98</v>
      </c>
      <c r="AM42" s="4"/>
      <c r="AN42" s="4"/>
      <c r="AO42" s="7">
        <v>0</v>
      </c>
      <c r="AP42" s="4">
        <v>1</v>
      </c>
      <c r="AQ42" s="8">
        <v>84.78</v>
      </c>
      <c r="AR42" s="4"/>
      <c r="AS42" s="8"/>
      <c r="AT42" s="7"/>
      <c r="AU42" s="7"/>
      <c r="AV42" s="4">
        <v>1</v>
      </c>
      <c r="AW42" s="8">
        <v>84.78</v>
      </c>
      <c r="AX42" s="4"/>
      <c r="AY42" s="8"/>
      <c r="AZ42" s="7"/>
      <c r="BA42" s="7"/>
      <c r="BB42" s="7">
        <v>1</v>
      </c>
      <c r="BC42" s="4">
        <v>1</v>
      </c>
      <c r="BD42" s="8">
        <v>84.78</v>
      </c>
      <c r="BE42" s="4"/>
      <c r="BF42" s="8"/>
      <c r="BG42" s="7"/>
      <c r="BH42" s="7"/>
      <c r="BI42" s="7">
        <v>1</v>
      </c>
      <c r="BJ42" s="4">
        <v>5</v>
      </c>
      <c r="BK42" s="8">
        <v>548.41</v>
      </c>
      <c r="BL42" s="2" t="s">
        <v>396</v>
      </c>
      <c r="BM42" s="7">
        <v>0.2</v>
      </c>
      <c r="BN42" s="7">
        <v>0.1546</v>
      </c>
      <c r="BO42" s="4">
        <v>1</v>
      </c>
      <c r="BP42" s="8">
        <v>84.78</v>
      </c>
      <c r="BQ42" s="4"/>
      <c r="BR42" s="8"/>
      <c r="BS42" s="7"/>
      <c r="BT42" s="7"/>
      <c r="BU42" s="2" t="s">
        <v>107</v>
      </c>
      <c r="BV42" s="2" t="s">
        <v>95</v>
      </c>
      <c r="BW42" s="2" t="s">
        <v>300</v>
      </c>
      <c r="BX42" s="2" t="s">
        <v>397</v>
      </c>
      <c r="BY42" s="2" t="s">
        <v>110</v>
      </c>
      <c r="BZ42" s="2" t="s">
        <v>98</v>
      </c>
    </row>
    <row r="43">
      <c r="A43" s="2" t="s">
        <v>398</v>
      </c>
      <c r="B43" s="2" t="s">
        <v>87</v>
      </c>
      <c r="C43" s="2" t="s">
        <v>88</v>
      </c>
      <c r="D43" s="2" t="s">
        <v>392</v>
      </c>
      <c r="E43" s="2" t="s">
        <v>393</v>
      </c>
      <c r="F43" s="2" t="s">
        <v>399</v>
      </c>
      <c r="G43" s="2" t="s">
        <v>399</v>
      </c>
      <c r="H43" s="2" t="s">
        <v>399</v>
      </c>
      <c r="I43" s="2" t="s">
        <v>400</v>
      </c>
      <c r="J43" s="2" t="s">
        <v>93</v>
      </c>
      <c r="K43" s="2" t="s">
        <v>294</v>
      </c>
      <c r="L43" s="3">
        <v>40.47</v>
      </c>
      <c r="M43" s="3">
        <v>42.49</v>
      </c>
      <c r="N43" s="3">
        <v>84.99</v>
      </c>
      <c r="O43" s="2" t="s">
        <v>95</v>
      </c>
      <c r="P43" s="2" t="s">
        <v>134</v>
      </c>
      <c r="Q43" s="2" t="s">
        <v>97</v>
      </c>
      <c r="R43" s="2" t="s">
        <v>98</v>
      </c>
      <c r="S43" s="2" t="s">
        <v>98</v>
      </c>
      <c r="T43" s="2" t="s">
        <v>98</v>
      </c>
      <c r="U43" s="2" t="s">
        <v>117</v>
      </c>
      <c r="V43" s="2" t="s">
        <v>296</v>
      </c>
      <c r="W43" s="2" t="s">
        <v>297</v>
      </c>
      <c r="X43" s="2" t="s">
        <v>98</v>
      </c>
      <c r="Y43" s="2" t="s">
        <v>401</v>
      </c>
      <c r="Z43" s="4"/>
      <c r="AA43" s="4">
        <f>=ROUNDDOWN({0},0)</f>
      </c>
      <c r="AB43" s="5">
        <v>6</v>
      </c>
      <c r="AC43" s="2" t="s">
        <v>105</v>
      </c>
      <c r="AD43" s="4">
        <v>100</v>
      </c>
      <c r="AE43" s="4">
        <v>200</v>
      </c>
      <c r="AF43" s="6">
        <v>65</v>
      </c>
      <c r="AG43" s="6"/>
      <c r="AH43" s="7">
        <v>0</v>
      </c>
      <c r="AI43" s="4"/>
      <c r="AJ43" s="4">
        <f>=ROUNDDOWN({0},0)</f>
      </c>
      <c r="AK43" s="5"/>
      <c r="AL43" s="2" t="s">
        <v>98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/>
      <c r="AW43" s="8"/>
      <c r="AX43" s="4"/>
      <c r="AY43" s="8"/>
      <c r="AZ43" s="7"/>
      <c r="BA43" s="7"/>
      <c r="BB43" s="7"/>
      <c r="BC43" s="4"/>
      <c r="BD43" s="8"/>
      <c r="BE43" s="4"/>
      <c r="BF43" s="8"/>
      <c r="BG43" s="7"/>
      <c r="BH43" s="7"/>
      <c r="BI43" s="7"/>
      <c r="BJ43" s="4"/>
      <c r="BK43" s="8"/>
      <c r="BL43" s="2" t="s">
        <v>98</v>
      </c>
      <c r="BM43" s="7"/>
      <c r="BN43" s="7"/>
      <c r="BO43" s="4"/>
      <c r="BP43" s="8"/>
      <c r="BQ43" s="4"/>
      <c r="BR43" s="8"/>
      <c r="BS43" s="7"/>
      <c r="BT43" s="7"/>
      <c r="BU43" s="2" t="s">
        <v>107</v>
      </c>
      <c r="BV43" s="2" t="s">
        <v>95</v>
      </c>
      <c r="BW43" s="2" t="s">
        <v>402</v>
      </c>
      <c r="BX43" s="2" t="s">
        <v>403</v>
      </c>
      <c r="BY43" s="2" t="s">
        <v>110</v>
      </c>
      <c r="BZ43" s="2" t="s">
        <v>98</v>
      </c>
    </row>
    <row r="44">
      <c r="A44" s="2" t="s">
        <v>404</v>
      </c>
      <c r="B44" s="2" t="s">
        <v>87</v>
      </c>
      <c r="C44" s="2" t="s">
        <v>88</v>
      </c>
      <c r="D44" s="2" t="s">
        <v>392</v>
      </c>
      <c r="E44" s="2" t="s">
        <v>393</v>
      </c>
      <c r="F44" s="2" t="s">
        <v>405</v>
      </c>
      <c r="G44" s="2" t="s">
        <v>405</v>
      </c>
      <c r="H44" s="2" t="s">
        <v>405</v>
      </c>
      <c r="I44" s="2" t="s">
        <v>406</v>
      </c>
      <c r="J44" s="2" t="s">
        <v>93</v>
      </c>
      <c r="K44" s="2" t="s">
        <v>294</v>
      </c>
      <c r="L44" s="3">
        <v>40.47</v>
      </c>
      <c r="M44" s="3">
        <v>42.49</v>
      </c>
      <c r="N44" s="3">
        <v>84.99</v>
      </c>
      <c r="O44" s="2" t="s">
        <v>95</v>
      </c>
      <c r="P44" s="2" t="s">
        <v>134</v>
      </c>
      <c r="Q44" s="2" t="s">
        <v>97</v>
      </c>
      <c r="R44" s="2" t="s">
        <v>98</v>
      </c>
      <c r="S44" s="2" t="s">
        <v>98</v>
      </c>
      <c r="T44" s="2" t="s">
        <v>98</v>
      </c>
      <c r="U44" s="2" t="s">
        <v>117</v>
      </c>
      <c r="V44" s="2" t="s">
        <v>296</v>
      </c>
      <c r="W44" s="2" t="s">
        <v>297</v>
      </c>
      <c r="X44" s="2" t="s">
        <v>314</v>
      </c>
      <c r="Y44" s="2" t="s">
        <v>298</v>
      </c>
      <c r="Z44" s="4"/>
      <c r="AA44" s="4">
        <f>=ROUNDDOWN({0},0)</f>
      </c>
      <c r="AB44" s="5">
        <v>13</v>
      </c>
      <c r="AC44" s="2" t="s">
        <v>167</v>
      </c>
      <c r="AD44" s="4">
        <v>210</v>
      </c>
      <c r="AE44" s="4">
        <v>410</v>
      </c>
      <c r="AF44" s="6">
        <v>65</v>
      </c>
      <c r="AG44" s="6"/>
      <c r="AH44" s="7">
        <v>0</v>
      </c>
      <c r="AI44" s="4"/>
      <c r="AJ44" s="4">
        <f>=ROUNDDOWN({0},0)</f>
      </c>
      <c r="AK44" s="5"/>
      <c r="AL44" s="2" t="s">
        <v>98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/>
      <c r="AW44" s="8"/>
      <c r="AX44" s="4"/>
      <c r="AY44" s="8"/>
      <c r="AZ44" s="7"/>
      <c r="BA44" s="7"/>
      <c r="BB44" s="7"/>
      <c r="BC44" s="4"/>
      <c r="BD44" s="8"/>
      <c r="BE44" s="4"/>
      <c r="BF44" s="8"/>
      <c r="BG44" s="7"/>
      <c r="BH44" s="7"/>
      <c r="BI44" s="7"/>
      <c r="BJ44" s="4"/>
      <c r="BK44" s="8"/>
      <c r="BL44" s="2" t="s">
        <v>98</v>
      </c>
      <c r="BM44" s="7"/>
      <c r="BN44" s="7"/>
      <c r="BO44" s="4"/>
      <c r="BP44" s="8"/>
      <c r="BQ44" s="4"/>
      <c r="BR44" s="8"/>
      <c r="BS44" s="7"/>
      <c r="BT44" s="7"/>
      <c r="BU44" s="2" t="s">
        <v>107</v>
      </c>
      <c r="BV44" s="2" t="s">
        <v>95</v>
      </c>
      <c r="BW44" s="2" t="s">
        <v>300</v>
      </c>
      <c r="BX44" s="2" t="s">
        <v>407</v>
      </c>
      <c r="BY44" s="2" t="s">
        <v>110</v>
      </c>
      <c r="BZ44" s="2" t="s">
        <v>98</v>
      </c>
    </row>
    <row r="45">
      <c r="A45" s="2" t="s">
        <v>408</v>
      </c>
      <c r="B45" s="2" t="s">
        <v>87</v>
      </c>
      <c r="C45" s="2" t="s">
        <v>88</v>
      </c>
      <c r="D45" s="2" t="s">
        <v>392</v>
      </c>
      <c r="E45" s="2" t="s">
        <v>393</v>
      </c>
      <c r="F45" s="2" t="s">
        <v>409</v>
      </c>
      <c r="G45" s="2" t="s">
        <v>409</v>
      </c>
      <c r="H45" s="2" t="s">
        <v>409</v>
      </c>
      <c r="I45" s="2" t="s">
        <v>410</v>
      </c>
      <c r="J45" s="2" t="s">
        <v>93</v>
      </c>
      <c r="K45" s="2" t="s">
        <v>294</v>
      </c>
      <c r="L45" s="3">
        <v>57.14</v>
      </c>
      <c r="M45" s="3">
        <v>60</v>
      </c>
      <c r="N45" s="3">
        <v>119.99</v>
      </c>
      <c r="O45" s="2" t="s">
        <v>95</v>
      </c>
      <c r="P45" s="2" t="s">
        <v>411</v>
      </c>
      <c r="Q45" s="2" t="s">
        <v>97</v>
      </c>
      <c r="R45" s="2" t="s">
        <v>98</v>
      </c>
      <c r="S45" s="2" t="s">
        <v>98</v>
      </c>
      <c r="T45" s="2" t="s">
        <v>98</v>
      </c>
      <c r="U45" s="2" t="s">
        <v>117</v>
      </c>
      <c r="V45" s="2" t="s">
        <v>296</v>
      </c>
      <c r="W45" s="2" t="s">
        <v>297</v>
      </c>
      <c r="X45" s="2" t="s">
        <v>314</v>
      </c>
      <c r="Y45" s="2" t="s">
        <v>98</v>
      </c>
      <c r="Z45" s="4"/>
      <c r="AA45" s="4">
        <f>=ROUNDDOWN({0},0)</f>
      </c>
      <c r="AB45" s="5"/>
      <c r="AC45" s="2" t="s">
        <v>412</v>
      </c>
      <c r="AD45" s="4">
        <v>100</v>
      </c>
      <c r="AE45" s="4">
        <v>100</v>
      </c>
      <c r="AF45" s="6"/>
      <c r="AG45" s="6"/>
      <c r="AH45" s="7">
        <v>0</v>
      </c>
      <c r="AI45" s="4"/>
      <c r="AJ45" s="4">
        <f>=ROUNDDOWN({0},0)</f>
      </c>
      <c r="AK45" s="5"/>
      <c r="AL45" s="2" t="s">
        <v>98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/>
      <c r="AW45" s="8"/>
      <c r="AX45" s="4"/>
      <c r="AY45" s="8"/>
      <c r="AZ45" s="7"/>
      <c r="BA45" s="7"/>
      <c r="BB45" s="7"/>
      <c r="BC45" s="4"/>
      <c r="BD45" s="8"/>
      <c r="BE45" s="4"/>
      <c r="BF45" s="8"/>
      <c r="BG45" s="7"/>
      <c r="BH45" s="7"/>
      <c r="BI45" s="7"/>
      <c r="BJ45" s="4"/>
      <c r="BK45" s="8"/>
      <c r="BL45" s="2" t="s">
        <v>98</v>
      </c>
      <c r="BM45" s="7"/>
      <c r="BN45" s="7"/>
      <c r="BO45" s="4"/>
      <c r="BP45" s="8"/>
      <c r="BQ45" s="4"/>
      <c r="BR45" s="8"/>
      <c r="BS45" s="7"/>
      <c r="BT45" s="7"/>
      <c r="BU45" s="2" t="s">
        <v>324</v>
      </c>
      <c r="BV45" s="2" t="s">
        <v>95</v>
      </c>
      <c r="BW45" s="2" t="s">
        <v>98</v>
      </c>
      <c r="BX45" s="2" t="s">
        <v>98</v>
      </c>
      <c r="BY45" s="2" t="s">
        <v>110</v>
      </c>
      <c r="BZ45" s="2" t="s">
        <v>98</v>
      </c>
    </row>
    <row r="46">
      <c r="A46" s="2" t="s">
        <v>413</v>
      </c>
      <c r="B46" s="2" t="s">
        <v>87</v>
      </c>
      <c r="C46" s="2" t="s">
        <v>88</v>
      </c>
      <c r="D46" s="2" t="s">
        <v>392</v>
      </c>
      <c r="E46" s="2" t="s">
        <v>393</v>
      </c>
      <c r="F46" s="2" t="s">
        <v>414</v>
      </c>
      <c r="G46" s="2" t="s">
        <v>414</v>
      </c>
      <c r="H46" s="2" t="s">
        <v>414</v>
      </c>
      <c r="I46" s="2" t="s">
        <v>415</v>
      </c>
      <c r="J46" s="2" t="s">
        <v>93</v>
      </c>
      <c r="K46" s="2" t="s">
        <v>294</v>
      </c>
      <c r="L46" s="3">
        <v>71.42</v>
      </c>
      <c r="M46" s="3">
        <v>75</v>
      </c>
      <c r="N46" s="3">
        <v>149.99</v>
      </c>
      <c r="O46" s="2" t="s">
        <v>95</v>
      </c>
      <c r="P46" s="2" t="s">
        <v>295</v>
      </c>
      <c r="Q46" s="2" t="s">
        <v>97</v>
      </c>
      <c r="R46" s="2" t="s">
        <v>98</v>
      </c>
      <c r="S46" s="2" t="s">
        <v>98</v>
      </c>
      <c r="T46" s="2" t="s">
        <v>98</v>
      </c>
      <c r="U46" s="2" t="s">
        <v>117</v>
      </c>
      <c r="V46" s="2" t="s">
        <v>296</v>
      </c>
      <c r="W46" s="2" t="s">
        <v>297</v>
      </c>
      <c r="X46" s="2" t="s">
        <v>297</v>
      </c>
      <c r="Y46" s="2" t="s">
        <v>98</v>
      </c>
      <c r="Z46" s="4"/>
      <c r="AA46" s="4">
        <f>=ROUNDDOWN({0},0)</f>
      </c>
      <c r="AB46" s="5"/>
      <c r="AC46" s="2" t="s">
        <v>136</v>
      </c>
      <c r="AD46" s="4">
        <v>100</v>
      </c>
      <c r="AE46" s="4">
        <v>100</v>
      </c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98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/>
      <c r="AW46" s="8"/>
      <c r="AX46" s="4"/>
      <c r="AY46" s="8"/>
      <c r="AZ46" s="7"/>
      <c r="BA46" s="7"/>
      <c r="BB46" s="7"/>
      <c r="BC46" s="4"/>
      <c r="BD46" s="8"/>
      <c r="BE46" s="4"/>
      <c r="BF46" s="8"/>
      <c r="BG46" s="7"/>
      <c r="BH46" s="7"/>
      <c r="BI46" s="7"/>
      <c r="BJ46" s="4"/>
      <c r="BK46" s="8"/>
      <c r="BL46" s="2" t="s">
        <v>98</v>
      </c>
      <c r="BM46" s="7"/>
      <c r="BN46" s="7"/>
      <c r="BO46" s="4"/>
      <c r="BP46" s="8"/>
      <c r="BQ46" s="4"/>
      <c r="BR46" s="8"/>
      <c r="BS46" s="7"/>
      <c r="BT46" s="7"/>
      <c r="BU46" s="2" t="s">
        <v>324</v>
      </c>
      <c r="BV46" s="2" t="s">
        <v>95</v>
      </c>
      <c r="BW46" s="2" t="s">
        <v>98</v>
      </c>
      <c r="BX46" s="2" t="s">
        <v>98</v>
      </c>
      <c r="BY46" s="2" t="s">
        <v>110</v>
      </c>
      <c r="BZ46" s="2" t="s">
        <v>98</v>
      </c>
    </row>
    <row r="47">
      <c r="A47" s="2" t="s">
        <v>416</v>
      </c>
      <c r="B47" s="2" t="s">
        <v>87</v>
      </c>
      <c r="C47" s="2" t="s">
        <v>88</v>
      </c>
      <c r="D47" s="2" t="s">
        <v>392</v>
      </c>
      <c r="E47" s="2" t="s">
        <v>417</v>
      </c>
      <c r="F47" s="2" t="s">
        <v>418</v>
      </c>
      <c r="G47" s="2" t="s">
        <v>418</v>
      </c>
      <c r="H47" s="2" t="s">
        <v>418</v>
      </c>
      <c r="I47" s="2" t="s">
        <v>419</v>
      </c>
      <c r="J47" s="2" t="s">
        <v>420</v>
      </c>
      <c r="K47" s="2" t="s">
        <v>421</v>
      </c>
      <c r="L47" s="3">
        <v>50.43</v>
      </c>
      <c r="M47" s="3">
        <v>52.95</v>
      </c>
      <c r="N47" s="3">
        <v>93.49</v>
      </c>
      <c r="O47" s="2" t="s">
        <v>95</v>
      </c>
      <c r="P47" s="2" t="s">
        <v>134</v>
      </c>
      <c r="Q47" s="2" t="s">
        <v>97</v>
      </c>
      <c r="R47" s="2" t="s">
        <v>98</v>
      </c>
      <c r="S47" s="2" t="s">
        <v>422</v>
      </c>
      <c r="T47" s="2" t="s">
        <v>98</v>
      </c>
      <c r="U47" s="2" t="s">
        <v>117</v>
      </c>
      <c r="V47" s="2" t="s">
        <v>331</v>
      </c>
      <c r="W47" s="2" t="s">
        <v>102</v>
      </c>
      <c r="X47" s="2" t="s">
        <v>297</v>
      </c>
      <c r="Y47" s="2" t="s">
        <v>386</v>
      </c>
      <c r="Z47" s="4">
        <v>30</v>
      </c>
      <c r="AA47" s="4">
        <f>=ROUNDDOWN(6,0)</f>
      </c>
      <c r="AB47" s="5">
        <v>5</v>
      </c>
      <c r="AC47" s="2" t="s">
        <v>214</v>
      </c>
      <c r="AD47" s="4">
        <v>70</v>
      </c>
      <c r="AE47" s="4">
        <v>70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98</v>
      </c>
      <c r="AM47" s="4"/>
      <c r="AN47" s="4"/>
      <c r="AO47" s="7">
        <v>0</v>
      </c>
      <c r="AP47" s="4">
        <v>1</v>
      </c>
      <c r="AQ47" s="8">
        <v>65.41</v>
      </c>
      <c r="AR47" s="4"/>
      <c r="AS47" s="8"/>
      <c r="AT47" s="7"/>
      <c r="AU47" s="7"/>
      <c r="AV47" s="4">
        <v>1</v>
      </c>
      <c r="AW47" s="8">
        <v>65.41</v>
      </c>
      <c r="AX47" s="4"/>
      <c r="AY47" s="8"/>
      <c r="AZ47" s="7"/>
      <c r="BA47" s="7"/>
      <c r="BB47" s="7">
        <v>1</v>
      </c>
      <c r="BC47" s="4">
        <v>1</v>
      </c>
      <c r="BD47" s="8">
        <v>65.41</v>
      </c>
      <c r="BE47" s="4" t="s">
        <v>98</v>
      </c>
      <c r="BF47" s="8" t="s">
        <v>98</v>
      </c>
      <c r="BG47" s="7" t="s">
        <v>98</v>
      </c>
      <c r="BH47" s="7" t="s">
        <v>98</v>
      </c>
      <c r="BI47" s="7">
        <v>1</v>
      </c>
      <c r="BJ47" s="4">
        <v>7</v>
      </c>
      <c r="BK47" s="8">
        <v>456.69</v>
      </c>
      <c r="BL47" s="2" t="s">
        <v>423</v>
      </c>
      <c r="BM47" s="7">
        <v>0.1429</v>
      </c>
      <c r="BN47" s="7">
        <v>0.1432</v>
      </c>
      <c r="BO47" s="4">
        <v>1</v>
      </c>
      <c r="BP47" s="8">
        <v>65.41</v>
      </c>
      <c r="BQ47" s="4"/>
      <c r="BR47" s="8"/>
      <c r="BS47" s="7"/>
      <c r="BT47" s="7"/>
      <c r="BU47" s="2" t="s">
        <v>107</v>
      </c>
      <c r="BV47" s="2" t="s">
        <v>95</v>
      </c>
      <c r="BW47" s="2" t="s">
        <v>424</v>
      </c>
      <c r="BX47" s="2" t="s">
        <v>425</v>
      </c>
      <c r="BY47" s="2" t="s">
        <v>110</v>
      </c>
      <c r="BZ47" s="2" t="s">
        <v>98</v>
      </c>
    </row>
    <row r="48">
      <c r="A48" s="2" t="s">
        <v>426</v>
      </c>
      <c r="B48" s="2" t="s">
        <v>87</v>
      </c>
      <c r="C48" s="2" t="s">
        <v>88</v>
      </c>
      <c r="D48" s="2" t="s">
        <v>392</v>
      </c>
      <c r="E48" s="2" t="s">
        <v>417</v>
      </c>
      <c r="F48" s="2" t="s">
        <v>418</v>
      </c>
      <c r="G48" s="2" t="s">
        <v>418</v>
      </c>
      <c r="H48" s="2" t="s">
        <v>418</v>
      </c>
      <c r="I48" s="2" t="s">
        <v>419</v>
      </c>
      <c r="J48" s="2" t="s">
        <v>420</v>
      </c>
      <c r="K48" s="2" t="s">
        <v>294</v>
      </c>
      <c r="L48" s="3">
        <v>50.43</v>
      </c>
      <c r="M48" s="3">
        <v>52.95</v>
      </c>
      <c r="N48" s="3">
        <v>93.49</v>
      </c>
      <c r="O48" s="2" t="s">
        <v>95</v>
      </c>
      <c r="P48" s="2" t="s">
        <v>96</v>
      </c>
      <c r="Q48" s="2" t="s">
        <v>97</v>
      </c>
      <c r="R48" s="2" t="s">
        <v>98</v>
      </c>
      <c r="S48" s="2" t="s">
        <v>98</v>
      </c>
      <c r="T48" s="2" t="s">
        <v>98</v>
      </c>
      <c r="U48" s="2" t="s">
        <v>117</v>
      </c>
      <c r="V48" s="2" t="s">
        <v>331</v>
      </c>
      <c r="W48" s="2" t="s">
        <v>98</v>
      </c>
      <c r="X48" s="2" t="s">
        <v>98</v>
      </c>
      <c r="Y48" s="2" t="s">
        <v>427</v>
      </c>
      <c r="Z48" s="4">
        <v>187</v>
      </c>
      <c r="AA48" s="4">
        <f>=ROUNDDOWN(14.3846153846154,0)</f>
      </c>
      <c r="AB48" s="5">
        <v>13</v>
      </c>
      <c r="AC48" s="2" t="s">
        <v>105</v>
      </c>
      <c r="AD48" s="4">
        <v>200</v>
      </c>
      <c r="AE48" s="4">
        <v>200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98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 t="s">
        <v>98</v>
      </c>
      <c r="AW48" s="8" t="s">
        <v>98</v>
      </c>
      <c r="AX48" s="4" t="s">
        <v>98</v>
      </c>
      <c r="AY48" s="8" t="s">
        <v>98</v>
      </c>
      <c r="AZ48" s="7" t="s">
        <v>98</v>
      </c>
      <c r="BA48" s="7" t="s">
        <v>98</v>
      </c>
      <c r="BB48" s="7"/>
      <c r="BC48" s="4" t="s">
        <v>98</v>
      </c>
      <c r="BD48" s="8" t="s">
        <v>98</v>
      </c>
      <c r="BE48" s="4" t="s">
        <v>98</v>
      </c>
      <c r="BF48" s="8" t="s">
        <v>98</v>
      </c>
      <c r="BG48" s="7" t="s">
        <v>98</v>
      </c>
      <c r="BH48" s="7" t="s">
        <v>98</v>
      </c>
      <c r="BI48" s="7" t="s">
        <v>98</v>
      </c>
      <c r="BJ48" s="4">
        <v>8</v>
      </c>
      <c r="BK48" s="8">
        <v>416.51</v>
      </c>
      <c r="BL48" s="2" t="s">
        <v>428</v>
      </c>
      <c r="BM48" s="7"/>
      <c r="BN48" s="7"/>
      <c r="BO48" s="4"/>
      <c r="BP48" s="8"/>
      <c r="BQ48" s="4"/>
      <c r="BR48" s="8"/>
      <c r="BS48" s="7"/>
      <c r="BT48" s="7"/>
      <c r="BU48" s="2" t="s">
        <v>107</v>
      </c>
      <c r="BV48" s="2" t="s">
        <v>95</v>
      </c>
      <c r="BW48" s="2" t="s">
        <v>280</v>
      </c>
      <c r="BX48" s="2" t="s">
        <v>429</v>
      </c>
      <c r="BY48" s="2" t="s">
        <v>110</v>
      </c>
      <c r="BZ48" s="2" t="s">
        <v>98</v>
      </c>
    </row>
    <row r="49">
      <c r="A49" s="2" t="s">
        <v>430</v>
      </c>
      <c r="B49" s="2" t="s">
        <v>87</v>
      </c>
      <c r="C49" s="2" t="s">
        <v>88</v>
      </c>
      <c r="D49" s="2" t="s">
        <v>392</v>
      </c>
      <c r="E49" s="2" t="s">
        <v>417</v>
      </c>
      <c r="F49" s="2" t="s">
        <v>418</v>
      </c>
      <c r="G49" s="2" t="s">
        <v>418</v>
      </c>
      <c r="H49" s="2" t="s">
        <v>418</v>
      </c>
      <c r="I49" s="2" t="s">
        <v>431</v>
      </c>
      <c r="J49" s="2" t="s">
        <v>432</v>
      </c>
      <c r="K49" s="2" t="s">
        <v>294</v>
      </c>
      <c r="L49" s="3">
        <v>18.95</v>
      </c>
      <c r="M49" s="3">
        <v>19.9</v>
      </c>
      <c r="N49" s="3">
        <v>42.49</v>
      </c>
      <c r="O49" s="2" t="s">
        <v>95</v>
      </c>
      <c r="P49" s="2" t="s">
        <v>134</v>
      </c>
      <c r="Q49" s="2" t="s">
        <v>97</v>
      </c>
      <c r="R49" s="2" t="s">
        <v>98</v>
      </c>
      <c r="S49" s="2" t="s">
        <v>98</v>
      </c>
      <c r="T49" s="2" t="s">
        <v>98</v>
      </c>
      <c r="U49" s="2" t="s">
        <v>117</v>
      </c>
      <c r="V49" s="2" t="s">
        <v>331</v>
      </c>
      <c r="W49" s="2" t="s">
        <v>98</v>
      </c>
      <c r="X49" s="2" t="s">
        <v>98</v>
      </c>
      <c r="Y49" s="2" t="s">
        <v>427</v>
      </c>
      <c r="Z49" s="4">
        <v>317</v>
      </c>
      <c r="AA49" s="4">
        <f>=ROUNDDOWN(15.0952380952381,0)</f>
      </c>
      <c r="AB49" s="5">
        <v>21</v>
      </c>
      <c r="AC49" s="2" t="s">
        <v>136</v>
      </c>
      <c r="AD49" s="4">
        <v>200</v>
      </c>
      <c r="AE49" s="4">
        <v>200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98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 t="s">
        <v>98</v>
      </c>
      <c r="AW49" s="8" t="s">
        <v>98</v>
      </c>
      <c r="AX49" s="4" t="s">
        <v>98</v>
      </c>
      <c r="AY49" s="8" t="s">
        <v>98</v>
      </c>
      <c r="AZ49" s="7" t="s">
        <v>98</v>
      </c>
      <c r="BA49" s="7" t="s">
        <v>98</v>
      </c>
      <c r="BB49" s="7"/>
      <c r="BC49" s="4" t="s">
        <v>98</v>
      </c>
      <c r="BD49" s="8" t="s">
        <v>98</v>
      </c>
      <c r="BE49" s="4" t="s">
        <v>98</v>
      </c>
      <c r="BF49" s="8" t="s">
        <v>98</v>
      </c>
      <c r="BG49" s="7" t="s">
        <v>98</v>
      </c>
      <c r="BH49" s="7" t="s">
        <v>98</v>
      </c>
      <c r="BI49" s="7" t="s">
        <v>98</v>
      </c>
      <c r="BJ49" s="4">
        <v>14</v>
      </c>
      <c r="BK49" s="8">
        <v>324.13</v>
      </c>
      <c r="BL49" s="2" t="s">
        <v>433</v>
      </c>
      <c r="BM49" s="7"/>
      <c r="BN49" s="7"/>
      <c r="BO49" s="4"/>
      <c r="BP49" s="8"/>
      <c r="BQ49" s="4"/>
      <c r="BR49" s="8"/>
      <c r="BS49" s="7"/>
      <c r="BT49" s="7"/>
      <c r="BU49" s="2" t="s">
        <v>107</v>
      </c>
      <c r="BV49" s="2" t="s">
        <v>95</v>
      </c>
      <c r="BW49" s="2" t="s">
        <v>280</v>
      </c>
      <c r="BX49" s="2" t="s">
        <v>434</v>
      </c>
      <c r="BY49" s="2" t="s">
        <v>110</v>
      </c>
      <c r="BZ49" s="2" t="s">
        <v>98</v>
      </c>
    </row>
    <row r="50">
      <c r="A50" s="2" t="s">
        <v>435</v>
      </c>
      <c r="B50" s="2" t="s">
        <v>87</v>
      </c>
      <c r="C50" s="2" t="s">
        <v>88</v>
      </c>
      <c r="D50" s="2" t="s">
        <v>392</v>
      </c>
      <c r="E50" s="2" t="s">
        <v>417</v>
      </c>
      <c r="F50" s="2" t="s">
        <v>436</v>
      </c>
      <c r="G50" s="2" t="s">
        <v>436</v>
      </c>
      <c r="H50" s="2" t="s">
        <v>436</v>
      </c>
      <c r="I50" s="2" t="s">
        <v>437</v>
      </c>
      <c r="J50" s="2" t="s">
        <v>93</v>
      </c>
      <c r="K50" s="2" t="s">
        <v>127</v>
      </c>
      <c r="L50" s="3">
        <v>57.85</v>
      </c>
      <c r="M50" s="3">
        <v>60.74</v>
      </c>
      <c r="N50" s="3">
        <v>114.74</v>
      </c>
      <c r="O50" s="2" t="s">
        <v>95</v>
      </c>
      <c r="P50" s="2" t="s">
        <v>96</v>
      </c>
      <c r="Q50" s="2" t="s">
        <v>97</v>
      </c>
      <c r="R50" s="2" t="s">
        <v>98</v>
      </c>
      <c r="S50" s="2" t="s">
        <v>438</v>
      </c>
      <c r="T50" s="2" t="s">
        <v>98</v>
      </c>
      <c r="U50" s="2" t="s">
        <v>117</v>
      </c>
      <c r="V50" s="2" t="s">
        <v>439</v>
      </c>
      <c r="W50" s="2" t="s">
        <v>165</v>
      </c>
      <c r="X50" s="2" t="s">
        <v>119</v>
      </c>
      <c r="Y50" s="2" t="s">
        <v>120</v>
      </c>
      <c r="Z50" s="4">
        <v>235</v>
      </c>
      <c r="AA50" s="4">
        <f>=ROUNDDOWN(33.5714285714286,0)</f>
      </c>
      <c r="AB50" s="5">
        <v>7</v>
      </c>
      <c r="AC50" s="2" t="s">
        <v>98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98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/>
      <c r="AW50" s="8"/>
      <c r="AX50" s="4"/>
      <c r="AY50" s="8"/>
      <c r="AZ50" s="7"/>
      <c r="BA50" s="7"/>
      <c r="BB50" s="7"/>
      <c r="BC50" s="4"/>
      <c r="BD50" s="8"/>
      <c r="BE50" s="4"/>
      <c r="BF50" s="8"/>
      <c r="BG50" s="7"/>
      <c r="BH50" s="7"/>
      <c r="BI50" s="7"/>
      <c r="BJ50" s="4">
        <v>2</v>
      </c>
      <c r="BK50" s="8">
        <v>121.48</v>
      </c>
      <c r="BL50" s="2" t="s">
        <v>440</v>
      </c>
      <c r="BM50" s="7"/>
      <c r="BN50" s="7"/>
      <c r="BO50" s="4"/>
      <c r="BP50" s="8"/>
      <c r="BQ50" s="4"/>
      <c r="BR50" s="8"/>
      <c r="BS50" s="7"/>
      <c r="BT50" s="7"/>
      <c r="BU50" s="2" t="s">
        <v>107</v>
      </c>
      <c r="BV50" s="2" t="s">
        <v>95</v>
      </c>
      <c r="BW50" s="2" t="s">
        <v>441</v>
      </c>
      <c r="BX50" s="2" t="s">
        <v>442</v>
      </c>
      <c r="BY50" s="2" t="s">
        <v>110</v>
      </c>
      <c r="BZ50" s="2" t="s">
        <v>98</v>
      </c>
    </row>
    <row r="51">
      <c r="A51" s="2" t="s">
        <v>443</v>
      </c>
      <c r="B51" s="2" t="s">
        <v>87</v>
      </c>
      <c r="C51" s="2" t="s">
        <v>88</v>
      </c>
      <c r="D51" s="2" t="s">
        <v>326</v>
      </c>
      <c r="E51" s="2" t="s">
        <v>326</v>
      </c>
      <c r="F51" s="2" t="s">
        <v>444</v>
      </c>
      <c r="G51" s="2" t="s">
        <v>444</v>
      </c>
      <c r="H51" s="2" t="s">
        <v>444</v>
      </c>
      <c r="I51" s="2" t="s">
        <v>445</v>
      </c>
      <c r="J51" s="2" t="s">
        <v>93</v>
      </c>
      <c r="K51" s="2" t="s">
        <v>277</v>
      </c>
      <c r="L51" s="3">
        <v>59.5</v>
      </c>
      <c r="M51" s="3">
        <v>62.48</v>
      </c>
      <c r="N51" s="3">
        <v>127.49</v>
      </c>
      <c r="O51" s="2" t="s">
        <v>95</v>
      </c>
      <c r="P51" s="2" t="s">
        <v>96</v>
      </c>
      <c r="Q51" s="2" t="s">
        <v>97</v>
      </c>
      <c r="R51" s="2" t="s">
        <v>98</v>
      </c>
      <c r="S51" s="2" t="s">
        <v>446</v>
      </c>
      <c r="T51" s="2" t="s">
        <v>98</v>
      </c>
      <c r="U51" s="2" t="s">
        <v>117</v>
      </c>
      <c r="V51" s="2" t="s">
        <v>203</v>
      </c>
      <c r="W51" s="2" t="s">
        <v>146</v>
      </c>
      <c r="X51" s="2" t="s">
        <v>98</v>
      </c>
      <c r="Y51" s="2" t="s">
        <v>366</v>
      </c>
      <c r="Z51" s="4">
        <v>60</v>
      </c>
      <c r="AA51" s="4">
        <f>=ROUNDDOWN(7.5,0)</f>
      </c>
      <c r="AB51" s="5">
        <v>8</v>
      </c>
      <c r="AC51" s="2" t="s">
        <v>447</v>
      </c>
      <c r="AD51" s="4">
        <v>150</v>
      </c>
      <c r="AE51" s="4">
        <v>150</v>
      </c>
      <c r="AF51" s="6">
        <v>63</v>
      </c>
      <c r="AG51" s="6"/>
      <c r="AH51" s="7">
        <v>1</v>
      </c>
      <c r="AI51" s="4"/>
      <c r="AJ51" s="4">
        <f>=ROUNDDOWN({0},0)</f>
      </c>
      <c r="AK51" s="5"/>
      <c r="AL51" s="2" t="s">
        <v>98</v>
      </c>
      <c r="AM51" s="4"/>
      <c r="AN51" s="4"/>
      <c r="AO51" s="7">
        <v>0</v>
      </c>
      <c r="AP51" s="4">
        <v>1</v>
      </c>
      <c r="AQ51" s="8">
        <v>58.05</v>
      </c>
      <c r="AR51" s="4"/>
      <c r="AS51" s="8"/>
      <c r="AT51" s="7"/>
      <c r="AU51" s="7"/>
      <c r="AV51" s="4">
        <v>1</v>
      </c>
      <c r="AW51" s="8">
        <v>58.05</v>
      </c>
      <c r="AX51" s="4"/>
      <c r="AY51" s="8"/>
      <c r="AZ51" s="7"/>
      <c r="BA51" s="7"/>
      <c r="BB51" s="7">
        <v>1</v>
      </c>
      <c r="BC51" s="4">
        <v>1</v>
      </c>
      <c r="BD51" s="8">
        <v>58.05</v>
      </c>
      <c r="BE51" s="4" t="s">
        <v>98</v>
      </c>
      <c r="BF51" s="8" t="s">
        <v>98</v>
      </c>
      <c r="BG51" s="7" t="s">
        <v>98</v>
      </c>
      <c r="BH51" s="7" t="s">
        <v>98</v>
      </c>
      <c r="BI51" s="7">
        <v>1</v>
      </c>
      <c r="BJ51" s="4">
        <v>3</v>
      </c>
      <c r="BK51" s="8">
        <v>221.41</v>
      </c>
      <c r="BL51" s="2" t="s">
        <v>448</v>
      </c>
      <c r="BM51" s="7">
        <v>0.3333</v>
      </c>
      <c r="BN51" s="7">
        <v>0.2622</v>
      </c>
      <c r="BO51" s="4">
        <v>1</v>
      </c>
      <c r="BP51" s="8">
        <v>58.05</v>
      </c>
      <c r="BQ51" s="4"/>
      <c r="BR51" s="8"/>
      <c r="BS51" s="7"/>
      <c r="BT51" s="7"/>
      <c r="BU51" s="2" t="s">
        <v>107</v>
      </c>
      <c r="BV51" s="2" t="s">
        <v>95</v>
      </c>
      <c r="BW51" s="2" t="s">
        <v>368</v>
      </c>
      <c r="BX51" s="2" t="s">
        <v>449</v>
      </c>
      <c r="BY51" s="2" t="s">
        <v>110</v>
      </c>
      <c r="BZ51" s="2" t="s">
        <v>98</v>
      </c>
    </row>
    <row r="52">
      <c r="A52" s="2" t="s">
        <v>450</v>
      </c>
      <c r="B52" s="2" t="s">
        <v>87</v>
      </c>
      <c r="C52" s="2" t="s">
        <v>88</v>
      </c>
      <c r="D52" s="2" t="s">
        <v>326</v>
      </c>
      <c r="E52" s="2" t="s">
        <v>326</v>
      </c>
      <c r="F52" s="2" t="s">
        <v>444</v>
      </c>
      <c r="G52" s="2" t="s">
        <v>444</v>
      </c>
      <c r="H52" s="2" t="s">
        <v>444</v>
      </c>
      <c r="I52" s="2" t="s">
        <v>445</v>
      </c>
      <c r="J52" s="2" t="s">
        <v>93</v>
      </c>
      <c r="K52" s="2" t="s">
        <v>127</v>
      </c>
      <c r="L52" s="3">
        <v>59.5</v>
      </c>
      <c r="M52" s="3">
        <v>62.48</v>
      </c>
      <c r="N52" s="3">
        <v>135.99</v>
      </c>
      <c r="O52" s="2" t="s">
        <v>95</v>
      </c>
      <c r="P52" s="2" t="s">
        <v>115</v>
      </c>
      <c r="Q52" s="2" t="s">
        <v>97</v>
      </c>
      <c r="R52" s="2" t="s">
        <v>98</v>
      </c>
      <c r="S52" s="2" t="s">
        <v>451</v>
      </c>
      <c r="T52" s="2" t="s">
        <v>98</v>
      </c>
      <c r="U52" s="2" t="s">
        <v>117</v>
      </c>
      <c r="V52" s="2" t="s">
        <v>203</v>
      </c>
      <c r="W52" s="2" t="s">
        <v>146</v>
      </c>
      <c r="X52" s="2" t="s">
        <v>98</v>
      </c>
      <c r="Y52" s="2" t="s">
        <v>366</v>
      </c>
      <c r="Z52" s="4">
        <v>69</v>
      </c>
      <c r="AA52" s="4">
        <f>=ROUNDDOWN(34.5,0)</f>
      </c>
      <c r="AB52" s="5">
        <v>2</v>
      </c>
      <c r="AC52" s="2" t="s">
        <v>98</v>
      </c>
      <c r="AD52" s="4"/>
      <c r="AE52" s="4"/>
      <c r="AF52" s="6">
        <v>63</v>
      </c>
      <c r="AG52" s="6"/>
      <c r="AH52" s="7">
        <v>1</v>
      </c>
      <c r="AI52" s="4"/>
      <c r="AJ52" s="4">
        <f>=ROUNDDOWN({0},0)</f>
      </c>
      <c r="AK52" s="5"/>
      <c r="AL52" s="2" t="s">
        <v>98</v>
      </c>
      <c r="AM52" s="4"/>
      <c r="AN52" s="4"/>
      <c r="AO52" s="7">
        <v>0</v>
      </c>
      <c r="AP52" s="4"/>
      <c r="AQ52" s="8"/>
      <c r="AR52" s="4"/>
      <c r="AS52" s="8"/>
      <c r="AT52" s="7"/>
      <c r="AU52" s="7"/>
      <c r="AV52" s="4"/>
      <c r="AW52" s="8"/>
      <c r="AX52" s="4"/>
      <c r="AY52" s="8"/>
      <c r="AZ52" s="7"/>
      <c r="BA52" s="7"/>
      <c r="BB52" s="7"/>
      <c r="BC52" s="4" t="s">
        <v>98</v>
      </c>
      <c r="BD52" s="8" t="s">
        <v>98</v>
      </c>
      <c r="BE52" s="4" t="s">
        <v>98</v>
      </c>
      <c r="BF52" s="8" t="s">
        <v>98</v>
      </c>
      <c r="BG52" s="7" t="s">
        <v>98</v>
      </c>
      <c r="BH52" s="7" t="s">
        <v>98</v>
      </c>
      <c r="BI52" s="7"/>
      <c r="BJ52" s="4">
        <v>7</v>
      </c>
      <c r="BK52" s="8">
        <v>518.05</v>
      </c>
      <c r="BL52" s="2" t="s">
        <v>452</v>
      </c>
      <c r="BM52" s="7"/>
      <c r="BN52" s="7"/>
      <c r="BO52" s="4"/>
      <c r="BP52" s="8"/>
      <c r="BQ52" s="4"/>
      <c r="BR52" s="8"/>
      <c r="BS52" s="7"/>
      <c r="BT52" s="7"/>
      <c r="BU52" s="2" t="s">
        <v>107</v>
      </c>
      <c r="BV52" s="2" t="s">
        <v>95</v>
      </c>
      <c r="BW52" s="2" t="s">
        <v>453</v>
      </c>
      <c r="BX52" s="2" t="s">
        <v>454</v>
      </c>
      <c r="BY52" s="2" t="s">
        <v>110</v>
      </c>
      <c r="BZ52" s="2" t="s">
        <v>98</v>
      </c>
    </row>
    <row r="53">
      <c r="A53" s="2" t="s">
        <v>455</v>
      </c>
      <c r="B53" s="2" t="s">
        <v>87</v>
      </c>
      <c r="C53" s="2" t="s">
        <v>88</v>
      </c>
      <c r="D53" s="2" t="s">
        <v>326</v>
      </c>
      <c r="E53" s="2" t="s">
        <v>326</v>
      </c>
      <c r="F53" s="2" t="s">
        <v>456</v>
      </c>
      <c r="G53" s="2" t="s">
        <v>456</v>
      </c>
      <c r="H53" s="2" t="s">
        <v>456</v>
      </c>
      <c r="I53" s="2" t="s">
        <v>457</v>
      </c>
      <c r="J53" s="2" t="s">
        <v>93</v>
      </c>
      <c r="K53" s="2" t="s">
        <v>348</v>
      </c>
      <c r="L53" s="3">
        <v>25.25</v>
      </c>
      <c r="M53" s="3">
        <v>26.51</v>
      </c>
      <c r="N53" s="3">
        <v>53.54</v>
      </c>
      <c r="O53" s="2" t="s">
        <v>95</v>
      </c>
      <c r="P53" s="2" t="s">
        <v>134</v>
      </c>
      <c r="Q53" s="2" t="s">
        <v>97</v>
      </c>
      <c r="R53" s="2" t="s">
        <v>98</v>
      </c>
      <c r="S53" s="2" t="s">
        <v>458</v>
      </c>
      <c r="T53" s="2" t="s">
        <v>98</v>
      </c>
      <c r="U53" s="2" t="s">
        <v>100</v>
      </c>
      <c r="V53" s="2" t="s">
        <v>459</v>
      </c>
      <c r="W53" s="2" t="s">
        <v>102</v>
      </c>
      <c r="X53" s="2" t="s">
        <v>98</v>
      </c>
      <c r="Y53" s="2" t="s">
        <v>460</v>
      </c>
      <c r="Z53" s="4">
        <v>420</v>
      </c>
      <c r="AA53" s="4">
        <f>=ROUNDDOWN(34.4262295081967,0)</f>
      </c>
      <c r="AB53" s="5">
        <v>12.2</v>
      </c>
      <c r="AC53" s="2" t="s">
        <v>98</v>
      </c>
      <c r="AD53" s="4"/>
      <c r="AE53" s="4"/>
      <c r="AF53" s="6">
        <v>63</v>
      </c>
      <c r="AG53" s="6"/>
      <c r="AH53" s="7">
        <v>1</v>
      </c>
      <c r="AI53" s="4"/>
      <c r="AJ53" s="4">
        <f>=ROUNDDOWN({0},0)</f>
      </c>
      <c r="AK53" s="5"/>
      <c r="AL53" s="2" t="s">
        <v>98</v>
      </c>
      <c r="AM53" s="4"/>
      <c r="AN53" s="4"/>
      <c r="AO53" s="7">
        <v>0</v>
      </c>
      <c r="AP53" s="4">
        <v>1</v>
      </c>
      <c r="AQ53" s="8">
        <v>26.19</v>
      </c>
      <c r="AR53" s="4"/>
      <c r="AS53" s="8"/>
      <c r="AT53" s="7"/>
      <c r="AU53" s="7"/>
      <c r="AV53" s="4">
        <v>1</v>
      </c>
      <c r="AW53" s="8">
        <v>26.19</v>
      </c>
      <c r="AX53" s="4"/>
      <c r="AY53" s="8"/>
      <c r="AZ53" s="7"/>
      <c r="BA53" s="7"/>
      <c r="BB53" s="7">
        <v>1</v>
      </c>
      <c r="BC53" s="4">
        <v>1</v>
      </c>
      <c r="BD53" s="8">
        <v>26.19</v>
      </c>
      <c r="BE53" s="4"/>
      <c r="BF53" s="8"/>
      <c r="BG53" s="7"/>
      <c r="BH53" s="7"/>
      <c r="BI53" s="7">
        <v>1</v>
      </c>
      <c r="BJ53" s="4">
        <v>16</v>
      </c>
      <c r="BK53" s="8">
        <v>426.9</v>
      </c>
      <c r="BL53" s="2" t="s">
        <v>461</v>
      </c>
      <c r="BM53" s="7">
        <v>0.0625</v>
      </c>
      <c r="BN53" s="7">
        <v>0.0613</v>
      </c>
      <c r="BO53" s="4">
        <v>1</v>
      </c>
      <c r="BP53" s="8">
        <v>26.19</v>
      </c>
      <c r="BQ53" s="4"/>
      <c r="BR53" s="8"/>
      <c r="BS53" s="7"/>
      <c r="BT53" s="7"/>
      <c r="BU53" s="2" t="s">
        <v>107</v>
      </c>
      <c r="BV53" s="2" t="s">
        <v>95</v>
      </c>
      <c r="BW53" s="2" t="s">
        <v>149</v>
      </c>
      <c r="BX53" s="2" t="s">
        <v>462</v>
      </c>
      <c r="BY53" s="2" t="s">
        <v>110</v>
      </c>
      <c r="BZ53" s="2" t="s">
        <v>98</v>
      </c>
    </row>
    <row r="54">
      <c r="A54" s="2" t="s">
        <v>463</v>
      </c>
      <c r="B54" s="2" t="s">
        <v>87</v>
      </c>
      <c r="C54" s="2" t="s">
        <v>88</v>
      </c>
      <c r="D54" s="2" t="s">
        <v>326</v>
      </c>
      <c r="E54" s="2" t="s">
        <v>326</v>
      </c>
      <c r="F54" s="2" t="s">
        <v>464</v>
      </c>
      <c r="G54" s="2" t="s">
        <v>464</v>
      </c>
      <c r="H54" s="2" t="s">
        <v>464</v>
      </c>
      <c r="I54" s="2" t="s">
        <v>465</v>
      </c>
      <c r="J54" s="2" t="s">
        <v>93</v>
      </c>
      <c r="K54" s="2" t="s">
        <v>211</v>
      </c>
      <c r="L54" s="3">
        <v>42.43</v>
      </c>
      <c r="M54" s="3">
        <v>44.55</v>
      </c>
      <c r="N54" s="3">
        <v>89.99</v>
      </c>
      <c r="O54" s="2" t="s">
        <v>95</v>
      </c>
      <c r="P54" s="2" t="s">
        <v>134</v>
      </c>
      <c r="Q54" s="2" t="s">
        <v>97</v>
      </c>
      <c r="R54" s="2" t="s">
        <v>98</v>
      </c>
      <c r="S54" s="2" t="s">
        <v>466</v>
      </c>
      <c r="T54" s="2" t="s">
        <v>98</v>
      </c>
      <c r="U54" s="2" t="s">
        <v>117</v>
      </c>
      <c r="V54" s="2" t="s">
        <v>331</v>
      </c>
      <c r="W54" s="2" t="s">
        <v>102</v>
      </c>
      <c r="X54" s="2" t="s">
        <v>98</v>
      </c>
      <c r="Y54" s="2" t="s">
        <v>467</v>
      </c>
      <c r="Z54" s="4">
        <v>81</v>
      </c>
      <c r="AA54" s="4">
        <f>=ROUNDDOWN(9,0)</f>
      </c>
      <c r="AB54" s="5">
        <v>9</v>
      </c>
      <c r="AC54" s="2" t="s">
        <v>360</v>
      </c>
      <c r="AD54" s="4">
        <v>100</v>
      </c>
      <c r="AE54" s="4">
        <v>220</v>
      </c>
      <c r="AF54" s="6">
        <v>63</v>
      </c>
      <c r="AG54" s="6"/>
      <c r="AH54" s="7">
        <v>1</v>
      </c>
      <c r="AI54" s="4"/>
      <c r="AJ54" s="4">
        <f>=ROUNDDOWN({0},0)</f>
      </c>
      <c r="AK54" s="5"/>
      <c r="AL54" s="2" t="s">
        <v>98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/>
      <c r="AW54" s="8"/>
      <c r="AX54" s="4"/>
      <c r="AY54" s="8"/>
      <c r="AZ54" s="7"/>
      <c r="BA54" s="7"/>
      <c r="BB54" s="7"/>
      <c r="BC54" s="4"/>
      <c r="BD54" s="8"/>
      <c r="BE54" s="4"/>
      <c r="BF54" s="8"/>
      <c r="BG54" s="7"/>
      <c r="BH54" s="7"/>
      <c r="BI54" s="7"/>
      <c r="BJ54" s="4">
        <v>7</v>
      </c>
      <c r="BK54" s="8">
        <v>313.89</v>
      </c>
      <c r="BL54" s="2" t="s">
        <v>468</v>
      </c>
      <c r="BM54" s="7"/>
      <c r="BN54" s="7"/>
      <c r="BO54" s="4"/>
      <c r="BP54" s="8"/>
      <c r="BQ54" s="4"/>
      <c r="BR54" s="8"/>
      <c r="BS54" s="7"/>
      <c r="BT54" s="7"/>
      <c r="BU54" s="2" t="s">
        <v>107</v>
      </c>
      <c r="BV54" s="2" t="s">
        <v>95</v>
      </c>
      <c r="BW54" s="2" t="s">
        <v>122</v>
      </c>
      <c r="BX54" s="2" t="s">
        <v>469</v>
      </c>
      <c r="BY54" s="2" t="s">
        <v>110</v>
      </c>
      <c r="BZ54" s="2" t="s">
        <v>98</v>
      </c>
    </row>
    <row r="55">
      <c r="A55" s="2" t="s">
        <v>470</v>
      </c>
      <c r="B55" s="2" t="s">
        <v>87</v>
      </c>
      <c r="C55" s="2" t="s">
        <v>88</v>
      </c>
      <c r="D55" s="2" t="s">
        <v>326</v>
      </c>
      <c r="E55" s="2" t="s">
        <v>326</v>
      </c>
      <c r="F55" s="2" t="s">
        <v>471</v>
      </c>
      <c r="G55" s="2" t="s">
        <v>471</v>
      </c>
      <c r="H55" s="2" t="s">
        <v>471</v>
      </c>
      <c r="I55" s="2" t="s">
        <v>472</v>
      </c>
      <c r="J55" s="2" t="s">
        <v>93</v>
      </c>
      <c r="K55" s="2" t="s">
        <v>473</v>
      </c>
      <c r="L55" s="3">
        <v>32.38</v>
      </c>
      <c r="M55" s="3">
        <v>34</v>
      </c>
      <c r="N55" s="3">
        <v>67.99</v>
      </c>
      <c r="O55" s="2" t="s">
        <v>95</v>
      </c>
      <c r="P55" s="2" t="s">
        <v>142</v>
      </c>
      <c r="Q55" s="2" t="s">
        <v>97</v>
      </c>
      <c r="R55" s="2" t="s">
        <v>98</v>
      </c>
      <c r="S55" s="2" t="s">
        <v>98</v>
      </c>
      <c r="T55" s="2" t="s">
        <v>98</v>
      </c>
      <c r="U55" s="2" t="s">
        <v>117</v>
      </c>
      <c r="V55" s="2" t="s">
        <v>331</v>
      </c>
      <c r="W55" s="2" t="s">
        <v>103</v>
      </c>
      <c r="X55" s="2" t="s">
        <v>102</v>
      </c>
      <c r="Y55" s="2" t="s">
        <v>474</v>
      </c>
      <c r="Z55" s="4">
        <v>74</v>
      </c>
      <c r="AA55" s="4">
        <f>=ROUNDDOWN(37,0)</f>
      </c>
      <c r="AB55" s="5">
        <v>2</v>
      </c>
      <c r="AC55" s="2" t="s">
        <v>98</v>
      </c>
      <c r="AD55" s="4"/>
      <c r="AE55" s="4"/>
      <c r="AF55" s="6">
        <v>63</v>
      </c>
      <c r="AG55" s="6"/>
      <c r="AH55" s="7">
        <v>1</v>
      </c>
      <c r="AI55" s="4"/>
      <c r="AJ55" s="4">
        <f>=ROUNDDOWN({0},0)</f>
      </c>
      <c r="AK55" s="5"/>
      <c r="AL55" s="2" t="s">
        <v>98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/>
      <c r="AW55" s="8"/>
      <c r="AX55" s="4"/>
      <c r="AY55" s="8"/>
      <c r="AZ55" s="7"/>
      <c r="BA55" s="7"/>
      <c r="BB55" s="7"/>
      <c r="BC55" s="4"/>
      <c r="BD55" s="8"/>
      <c r="BE55" s="4"/>
      <c r="BF55" s="8"/>
      <c r="BG55" s="7"/>
      <c r="BH55" s="7"/>
      <c r="BI55" s="7"/>
      <c r="BJ55" s="4"/>
      <c r="BK55" s="8"/>
      <c r="BL55" s="2" t="s">
        <v>98</v>
      </c>
      <c r="BM55" s="7"/>
      <c r="BN55" s="7"/>
      <c r="BO55" s="4"/>
      <c r="BP55" s="8"/>
      <c r="BQ55" s="4"/>
      <c r="BR55" s="8"/>
      <c r="BS55" s="7"/>
      <c r="BT55" s="7"/>
      <c r="BU55" s="2" t="s">
        <v>107</v>
      </c>
      <c r="BV55" s="2" t="s">
        <v>95</v>
      </c>
      <c r="BW55" s="2" t="s">
        <v>402</v>
      </c>
      <c r="BX55" s="2" t="s">
        <v>475</v>
      </c>
      <c r="BY55" s="2" t="s">
        <v>110</v>
      </c>
      <c r="BZ55" s="2" t="s">
        <v>98</v>
      </c>
    </row>
    <row r="56">
      <c r="A56" s="2" t="s">
        <v>476</v>
      </c>
      <c r="B56" s="2" t="s">
        <v>87</v>
      </c>
      <c r="C56" s="2" t="s">
        <v>88</v>
      </c>
      <c r="D56" s="2" t="s">
        <v>326</v>
      </c>
      <c r="E56" s="2" t="s">
        <v>326</v>
      </c>
      <c r="F56" s="2" t="s">
        <v>477</v>
      </c>
      <c r="G56" s="2" t="s">
        <v>477</v>
      </c>
      <c r="H56" s="2" t="s">
        <v>477</v>
      </c>
      <c r="I56" s="2" t="s">
        <v>478</v>
      </c>
      <c r="J56" s="2" t="s">
        <v>93</v>
      </c>
      <c r="K56" s="2" t="s">
        <v>277</v>
      </c>
      <c r="L56" s="3">
        <v>45.33</v>
      </c>
      <c r="M56" s="3">
        <v>47.6</v>
      </c>
      <c r="N56" s="3">
        <v>101.99</v>
      </c>
      <c r="O56" s="2" t="s">
        <v>95</v>
      </c>
      <c r="P56" s="2" t="s">
        <v>134</v>
      </c>
      <c r="Q56" s="2" t="s">
        <v>97</v>
      </c>
      <c r="R56" s="2" t="s">
        <v>98</v>
      </c>
      <c r="S56" s="2" t="s">
        <v>98</v>
      </c>
      <c r="T56" s="2" t="s">
        <v>98</v>
      </c>
      <c r="U56" s="2" t="s">
        <v>117</v>
      </c>
      <c r="V56" s="2" t="s">
        <v>331</v>
      </c>
      <c r="W56" s="2" t="s">
        <v>102</v>
      </c>
      <c r="X56" s="2" t="s">
        <v>98</v>
      </c>
      <c r="Y56" s="2" t="s">
        <v>479</v>
      </c>
      <c r="Z56" s="4">
        <v>25</v>
      </c>
      <c r="AA56" s="4">
        <f>=ROUNDDOWN(5,0)</f>
      </c>
      <c r="AB56" s="5">
        <v>5</v>
      </c>
      <c r="AC56" s="2" t="s">
        <v>105</v>
      </c>
      <c r="AD56" s="4">
        <v>100</v>
      </c>
      <c r="AE56" s="4">
        <v>100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98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/>
      <c r="AW56" s="8"/>
      <c r="AX56" s="4"/>
      <c r="AY56" s="8"/>
      <c r="AZ56" s="7"/>
      <c r="BA56" s="7"/>
      <c r="BB56" s="7"/>
      <c r="BC56" s="4"/>
      <c r="BD56" s="8"/>
      <c r="BE56" s="4"/>
      <c r="BF56" s="8"/>
      <c r="BG56" s="7"/>
      <c r="BH56" s="7"/>
      <c r="BI56" s="7"/>
      <c r="BJ56" s="4">
        <v>1</v>
      </c>
      <c r="BK56" s="8">
        <v>51.4</v>
      </c>
      <c r="BL56" s="2" t="s">
        <v>480</v>
      </c>
      <c r="BM56" s="7"/>
      <c r="BN56" s="7"/>
      <c r="BO56" s="4"/>
      <c r="BP56" s="8"/>
      <c r="BQ56" s="4"/>
      <c r="BR56" s="8"/>
      <c r="BS56" s="7"/>
      <c r="BT56" s="7"/>
      <c r="BU56" s="2" t="s">
        <v>107</v>
      </c>
      <c r="BV56" s="2" t="s">
        <v>95</v>
      </c>
      <c r="BW56" s="2" t="s">
        <v>308</v>
      </c>
      <c r="BX56" s="2" t="s">
        <v>481</v>
      </c>
      <c r="BY56" s="2" t="s">
        <v>110</v>
      </c>
      <c r="BZ56" s="2" t="s">
        <v>98</v>
      </c>
    </row>
    <row r="57">
      <c r="A57" s="2" t="s">
        <v>482</v>
      </c>
      <c r="B57" s="2" t="s">
        <v>87</v>
      </c>
      <c r="C57" s="2" t="s">
        <v>88</v>
      </c>
      <c r="D57" s="2" t="s">
        <v>326</v>
      </c>
      <c r="E57" s="2" t="s">
        <v>326</v>
      </c>
      <c r="F57" s="2" t="s">
        <v>483</v>
      </c>
      <c r="G57" s="2" t="s">
        <v>483</v>
      </c>
      <c r="H57" s="2" t="s">
        <v>483</v>
      </c>
      <c r="I57" s="2" t="s">
        <v>484</v>
      </c>
      <c r="J57" s="2" t="s">
        <v>93</v>
      </c>
      <c r="K57" s="2" t="s">
        <v>485</v>
      </c>
      <c r="L57" s="3">
        <v>62.86</v>
      </c>
      <c r="M57" s="3">
        <v>66</v>
      </c>
      <c r="N57" s="3">
        <v>139.99</v>
      </c>
      <c r="O57" s="2" t="s">
        <v>155</v>
      </c>
      <c r="P57" s="2" t="s">
        <v>115</v>
      </c>
      <c r="Q57" s="2" t="s">
        <v>97</v>
      </c>
      <c r="R57" s="2" t="s">
        <v>98</v>
      </c>
      <c r="S57" s="2" t="s">
        <v>98</v>
      </c>
      <c r="T57" s="2" t="s">
        <v>98</v>
      </c>
      <c r="U57" s="2" t="s">
        <v>117</v>
      </c>
      <c r="V57" s="2" t="s">
        <v>486</v>
      </c>
      <c r="W57" s="2" t="s">
        <v>103</v>
      </c>
      <c r="X57" s="2" t="s">
        <v>340</v>
      </c>
      <c r="Y57" s="2" t="s">
        <v>479</v>
      </c>
      <c r="Z57" s="4">
        <v>49</v>
      </c>
      <c r="AA57" s="4">
        <f>=ROUNDDOWN(163.333333333333,0)</f>
      </c>
      <c r="AB57" s="5">
        <v>0.3</v>
      </c>
      <c r="AC57" s="2" t="s">
        <v>98</v>
      </c>
      <c r="AD57" s="4"/>
      <c r="AE57" s="4"/>
      <c r="AF57" s="6">
        <v>63</v>
      </c>
      <c r="AG57" s="6"/>
      <c r="AH57" s="7">
        <v>1</v>
      </c>
      <c r="AI57" s="4"/>
      <c r="AJ57" s="4">
        <f>=ROUNDDOWN({0},0)</f>
      </c>
      <c r="AK57" s="5"/>
      <c r="AL57" s="2" t="s">
        <v>98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/>
      <c r="BD57" s="8"/>
      <c r="BE57" s="4"/>
      <c r="BF57" s="8"/>
      <c r="BG57" s="7"/>
      <c r="BH57" s="7"/>
      <c r="BI57" s="7"/>
      <c r="BJ57" s="4"/>
      <c r="BK57" s="8"/>
      <c r="BL57" s="2" t="s">
        <v>98</v>
      </c>
      <c r="BM57" s="7"/>
      <c r="BN57" s="7"/>
      <c r="BO57" s="4"/>
      <c r="BP57" s="8"/>
      <c r="BQ57" s="4"/>
      <c r="BR57" s="8"/>
      <c r="BS57" s="7"/>
      <c r="BT57" s="7"/>
      <c r="BU57" s="2" t="s">
        <v>107</v>
      </c>
      <c r="BV57" s="2" t="s">
        <v>95</v>
      </c>
      <c r="BW57" s="2" t="s">
        <v>308</v>
      </c>
      <c r="BX57" s="2" t="s">
        <v>98</v>
      </c>
      <c r="BY57" s="2" t="s">
        <v>110</v>
      </c>
      <c r="BZ57" s="2" t="s">
        <v>98</v>
      </c>
    </row>
    <row r="58">
      <c r="A58" s="2" t="s">
        <v>487</v>
      </c>
      <c r="B58" s="2" t="s">
        <v>87</v>
      </c>
      <c r="C58" s="2" t="s">
        <v>88</v>
      </c>
      <c r="D58" s="2" t="s">
        <v>326</v>
      </c>
      <c r="E58" s="2" t="s">
        <v>326</v>
      </c>
      <c r="F58" s="2" t="s">
        <v>488</v>
      </c>
      <c r="G58" s="2" t="s">
        <v>488</v>
      </c>
      <c r="H58" s="2" t="s">
        <v>488</v>
      </c>
      <c r="I58" s="2" t="s">
        <v>489</v>
      </c>
      <c r="J58" s="2" t="s">
        <v>93</v>
      </c>
      <c r="K58" s="2" t="s">
        <v>127</v>
      </c>
      <c r="L58" s="3">
        <v>21.78</v>
      </c>
      <c r="M58" s="3">
        <v>22.87</v>
      </c>
      <c r="N58" s="3">
        <v>46.74</v>
      </c>
      <c r="O58" s="2" t="s">
        <v>95</v>
      </c>
      <c r="P58" s="2" t="s">
        <v>142</v>
      </c>
      <c r="Q58" s="2" t="s">
        <v>97</v>
      </c>
      <c r="R58" s="2" t="s">
        <v>98</v>
      </c>
      <c r="S58" s="2" t="s">
        <v>98</v>
      </c>
      <c r="T58" s="2" t="s">
        <v>98</v>
      </c>
      <c r="U58" s="2" t="s">
        <v>100</v>
      </c>
      <c r="V58" s="2" t="s">
        <v>101</v>
      </c>
      <c r="W58" s="2" t="s">
        <v>204</v>
      </c>
      <c r="X58" s="2" t="s">
        <v>119</v>
      </c>
      <c r="Y58" s="2" t="s">
        <v>490</v>
      </c>
      <c r="Z58" s="4">
        <v>99</v>
      </c>
      <c r="AA58" s="4">
        <f>=ROUNDDOWN(19.8,0)</f>
      </c>
      <c r="AB58" s="5">
        <v>5</v>
      </c>
      <c r="AC58" s="2" t="s">
        <v>412</v>
      </c>
      <c r="AD58" s="4">
        <v>50</v>
      </c>
      <c r="AE58" s="4">
        <v>50</v>
      </c>
      <c r="AF58" s="6">
        <v>63</v>
      </c>
      <c r="AG58" s="6"/>
      <c r="AH58" s="7">
        <v>1</v>
      </c>
      <c r="AI58" s="4"/>
      <c r="AJ58" s="4">
        <f>=ROUNDDOWN({0},0)</f>
      </c>
      <c r="AK58" s="5"/>
      <c r="AL58" s="2" t="s">
        <v>98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/>
      <c r="BD58" s="8"/>
      <c r="BE58" s="4"/>
      <c r="BF58" s="8"/>
      <c r="BG58" s="7"/>
      <c r="BH58" s="7"/>
      <c r="BI58" s="7"/>
      <c r="BJ58" s="4">
        <v>4</v>
      </c>
      <c r="BK58" s="8">
        <v>106.76</v>
      </c>
      <c r="BL58" s="2" t="s">
        <v>491</v>
      </c>
      <c r="BM58" s="7"/>
      <c r="BN58" s="7"/>
      <c r="BO58" s="4"/>
      <c r="BP58" s="8"/>
      <c r="BQ58" s="4"/>
      <c r="BR58" s="8"/>
      <c r="BS58" s="7"/>
      <c r="BT58" s="7"/>
      <c r="BU58" s="2" t="s">
        <v>107</v>
      </c>
      <c r="BV58" s="2" t="s">
        <v>95</v>
      </c>
      <c r="BW58" s="2" t="s">
        <v>492</v>
      </c>
      <c r="BX58" s="2" t="s">
        <v>493</v>
      </c>
      <c r="BY58" s="2" t="s">
        <v>110</v>
      </c>
      <c r="BZ58" s="2" t="s">
        <v>98</v>
      </c>
    </row>
    <row r="59">
      <c r="A59" s="2" t="s">
        <v>494</v>
      </c>
      <c r="B59" s="2" t="s">
        <v>87</v>
      </c>
      <c r="C59" s="2" t="s">
        <v>88</v>
      </c>
      <c r="D59" s="2" t="s">
        <v>326</v>
      </c>
      <c r="E59" s="2" t="s">
        <v>326</v>
      </c>
      <c r="F59" s="2" t="s">
        <v>495</v>
      </c>
      <c r="G59" s="2" t="s">
        <v>495</v>
      </c>
      <c r="H59" s="2" t="s">
        <v>495</v>
      </c>
      <c r="I59" s="2" t="s">
        <v>445</v>
      </c>
      <c r="J59" s="2" t="s">
        <v>93</v>
      </c>
      <c r="K59" s="2" t="s">
        <v>277</v>
      </c>
      <c r="L59" s="3">
        <v>25.02</v>
      </c>
      <c r="M59" s="3">
        <v>26.27</v>
      </c>
      <c r="N59" s="3">
        <v>55.24</v>
      </c>
      <c r="O59" s="2" t="s">
        <v>95</v>
      </c>
      <c r="P59" s="2" t="s">
        <v>115</v>
      </c>
      <c r="Q59" s="2" t="s">
        <v>97</v>
      </c>
      <c r="R59" s="2" t="s">
        <v>98</v>
      </c>
      <c r="S59" s="2" t="s">
        <v>496</v>
      </c>
      <c r="T59" s="2" t="s">
        <v>98</v>
      </c>
      <c r="U59" s="2" t="s">
        <v>117</v>
      </c>
      <c r="V59" s="2" t="s">
        <v>203</v>
      </c>
      <c r="W59" s="2" t="s">
        <v>146</v>
      </c>
      <c r="X59" s="2" t="s">
        <v>98</v>
      </c>
      <c r="Y59" s="2" t="s">
        <v>497</v>
      </c>
      <c r="Z59" s="4">
        <v>108</v>
      </c>
      <c r="AA59" s="4">
        <f>=ROUNDDOWN(54,0)</f>
      </c>
      <c r="AB59" s="5">
        <v>2</v>
      </c>
      <c r="AC59" s="2" t="s">
        <v>98</v>
      </c>
      <c r="AD59" s="4"/>
      <c r="AE59" s="4"/>
      <c r="AF59" s="6">
        <v>63</v>
      </c>
      <c r="AG59" s="6"/>
      <c r="AH59" s="7">
        <v>1</v>
      </c>
      <c r="AI59" s="4"/>
      <c r="AJ59" s="4">
        <f>=ROUNDDOWN({0},0)</f>
      </c>
      <c r="AK59" s="5"/>
      <c r="AL59" s="2" t="s">
        <v>98</v>
      </c>
      <c r="AM59" s="4"/>
      <c r="AN59" s="4"/>
      <c r="AO59" s="7">
        <v>0</v>
      </c>
      <c r="AP59" s="4"/>
      <c r="AQ59" s="8"/>
      <c r="AR59" s="4">
        <v>1</v>
      </c>
      <c r="AS59" s="8">
        <v>32</v>
      </c>
      <c r="AT59" s="7">
        <v>-1</v>
      </c>
      <c r="AU59" s="7">
        <v>-1</v>
      </c>
      <c r="AV59" s="4"/>
      <c r="AW59" s="8"/>
      <c r="AX59" s="4">
        <v>1</v>
      </c>
      <c r="AY59" s="8">
        <v>32</v>
      </c>
      <c r="AZ59" s="7">
        <v>-1</v>
      </c>
      <c r="BA59" s="7">
        <v>-1</v>
      </c>
      <c r="BB59" s="7"/>
      <c r="BC59" s="4"/>
      <c r="BD59" s="8"/>
      <c r="BE59" s="4">
        <v>1</v>
      </c>
      <c r="BF59" s="8">
        <v>32</v>
      </c>
      <c r="BG59" s="7">
        <v>-1</v>
      </c>
      <c r="BH59" s="7">
        <v>-1</v>
      </c>
      <c r="BI59" s="7"/>
      <c r="BJ59" s="4"/>
      <c r="BK59" s="8"/>
      <c r="BL59" s="2" t="s">
        <v>498</v>
      </c>
      <c r="BM59" s="7"/>
      <c r="BN59" s="7"/>
      <c r="BO59" s="4"/>
      <c r="BP59" s="8"/>
      <c r="BQ59" s="4">
        <v>1</v>
      </c>
      <c r="BR59" s="8">
        <v>32</v>
      </c>
      <c r="BS59" s="7">
        <v>-1</v>
      </c>
      <c r="BT59" s="7">
        <v>-1</v>
      </c>
      <c r="BU59" s="2" t="s">
        <v>107</v>
      </c>
      <c r="BV59" s="2" t="s">
        <v>95</v>
      </c>
      <c r="BW59" s="2" t="s">
        <v>499</v>
      </c>
      <c r="BX59" s="2" t="s">
        <v>500</v>
      </c>
      <c r="BY59" s="2" t="s">
        <v>110</v>
      </c>
      <c r="BZ59" s="2" t="s">
        <v>98</v>
      </c>
    </row>
    <row r="60">
      <c r="A60" s="2" t="s">
        <v>501</v>
      </c>
      <c r="B60" s="2" t="s">
        <v>87</v>
      </c>
      <c r="C60" s="2" t="s">
        <v>88</v>
      </c>
      <c r="D60" s="2" t="s">
        <v>326</v>
      </c>
      <c r="E60" s="2" t="s">
        <v>326</v>
      </c>
      <c r="F60" s="2" t="s">
        <v>502</v>
      </c>
      <c r="G60" s="2" t="s">
        <v>502</v>
      </c>
      <c r="H60" s="2" t="s">
        <v>502</v>
      </c>
      <c r="I60" s="2" t="s">
        <v>503</v>
      </c>
      <c r="J60" s="2" t="s">
        <v>93</v>
      </c>
      <c r="K60" s="2" t="s">
        <v>473</v>
      </c>
      <c r="L60" s="3">
        <v>38.57</v>
      </c>
      <c r="M60" s="3">
        <v>40.5</v>
      </c>
      <c r="N60" s="3">
        <v>89.99</v>
      </c>
      <c r="O60" s="2" t="s">
        <v>155</v>
      </c>
      <c r="P60" s="2" t="s">
        <v>115</v>
      </c>
      <c r="Q60" s="2" t="s">
        <v>97</v>
      </c>
      <c r="R60" s="2" t="s">
        <v>98</v>
      </c>
      <c r="S60" s="2" t="s">
        <v>504</v>
      </c>
      <c r="T60" s="2" t="s">
        <v>98</v>
      </c>
      <c r="U60" s="2" t="s">
        <v>100</v>
      </c>
      <c r="V60" s="2" t="s">
        <v>331</v>
      </c>
      <c r="W60" s="2" t="s">
        <v>102</v>
      </c>
      <c r="X60" s="2" t="s">
        <v>103</v>
      </c>
      <c r="Y60" s="2" t="s">
        <v>467</v>
      </c>
      <c r="Z60" s="4">
        <v>39</v>
      </c>
      <c r="AA60" s="4">
        <f>=ROUNDDOWN(22.9411764705882,0)</f>
      </c>
      <c r="AB60" s="5">
        <v>1.7</v>
      </c>
      <c r="AC60" s="2" t="s">
        <v>98</v>
      </c>
      <c r="AD60" s="4"/>
      <c r="AE60" s="4"/>
      <c r="AF60" s="6">
        <v>63</v>
      </c>
      <c r="AG60" s="6"/>
      <c r="AH60" s="7">
        <v>1</v>
      </c>
      <c r="AI60" s="4"/>
      <c r="AJ60" s="4">
        <f>=ROUNDDOWN({0},0)</f>
      </c>
      <c r="AK60" s="5"/>
      <c r="AL60" s="2" t="s">
        <v>98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/>
      <c r="BD60" s="8"/>
      <c r="BE60" s="4"/>
      <c r="BF60" s="8"/>
      <c r="BG60" s="7"/>
      <c r="BH60" s="7"/>
      <c r="BI60" s="7"/>
      <c r="BJ60" s="4">
        <v>1</v>
      </c>
      <c r="BK60" s="8">
        <v>44.55</v>
      </c>
      <c r="BL60" s="2" t="s">
        <v>505</v>
      </c>
      <c r="BM60" s="7"/>
      <c r="BN60" s="7"/>
      <c r="BO60" s="4"/>
      <c r="BP60" s="8"/>
      <c r="BQ60" s="4"/>
      <c r="BR60" s="8"/>
      <c r="BS60" s="7"/>
      <c r="BT60" s="7"/>
      <c r="BU60" s="2" t="s">
        <v>107</v>
      </c>
      <c r="BV60" s="2" t="s">
        <v>95</v>
      </c>
      <c r="BW60" s="2" t="s">
        <v>122</v>
      </c>
      <c r="BX60" s="2" t="s">
        <v>506</v>
      </c>
      <c r="BY60" s="2" t="s">
        <v>110</v>
      </c>
      <c r="BZ60" s="2" t="s">
        <v>98</v>
      </c>
    </row>
    <row r="61">
      <c r="A61" s="2" t="s">
        <v>507</v>
      </c>
      <c r="B61" s="2" t="s">
        <v>87</v>
      </c>
      <c r="C61" s="2" t="s">
        <v>88</v>
      </c>
      <c r="D61" s="2" t="s">
        <v>326</v>
      </c>
      <c r="E61" s="2" t="s">
        <v>326</v>
      </c>
      <c r="F61" s="2" t="s">
        <v>508</v>
      </c>
      <c r="G61" s="2" t="s">
        <v>508</v>
      </c>
      <c r="H61" s="2" t="s">
        <v>508</v>
      </c>
      <c r="I61" s="2" t="s">
        <v>509</v>
      </c>
      <c r="J61" s="2" t="s">
        <v>93</v>
      </c>
      <c r="K61" s="2" t="s">
        <v>277</v>
      </c>
      <c r="L61" s="3">
        <v>36.42</v>
      </c>
      <c r="M61" s="3">
        <v>38.24</v>
      </c>
      <c r="N61" s="3">
        <v>76.49</v>
      </c>
      <c r="O61" s="2" t="s">
        <v>95</v>
      </c>
      <c r="P61" s="2" t="s">
        <v>295</v>
      </c>
      <c r="Q61" s="2" t="s">
        <v>97</v>
      </c>
      <c r="R61" s="2" t="s">
        <v>98</v>
      </c>
      <c r="S61" s="2" t="s">
        <v>98</v>
      </c>
      <c r="T61" s="2" t="s">
        <v>98</v>
      </c>
      <c r="U61" s="2" t="s">
        <v>117</v>
      </c>
      <c r="V61" s="2" t="s">
        <v>165</v>
      </c>
      <c r="W61" s="2" t="s">
        <v>165</v>
      </c>
      <c r="X61" s="2" t="s">
        <v>103</v>
      </c>
      <c r="Y61" s="2" t="s">
        <v>510</v>
      </c>
      <c r="Z61" s="4">
        <v>71</v>
      </c>
      <c r="AA61" s="4">
        <f>=ROUNDDOWN(14.2,0)</f>
      </c>
      <c r="AB61" s="5">
        <v>5</v>
      </c>
      <c r="AC61" s="2" t="s">
        <v>98</v>
      </c>
      <c r="AD61" s="4"/>
      <c r="AE61" s="4"/>
      <c r="AF61" s="6">
        <v>63</v>
      </c>
      <c r="AG61" s="6"/>
      <c r="AH61" s="7">
        <v>1</v>
      </c>
      <c r="AI61" s="4"/>
      <c r="AJ61" s="4">
        <f>=ROUNDDOWN({0},0)</f>
      </c>
      <c r="AK61" s="5"/>
      <c r="AL61" s="2" t="s">
        <v>98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/>
      <c r="AW61" s="8"/>
      <c r="AX61" s="4"/>
      <c r="AY61" s="8"/>
      <c r="AZ61" s="7"/>
      <c r="BA61" s="7"/>
      <c r="BB61" s="7"/>
      <c r="BC61" s="4"/>
      <c r="BD61" s="8"/>
      <c r="BE61" s="4"/>
      <c r="BF61" s="8"/>
      <c r="BG61" s="7"/>
      <c r="BH61" s="7"/>
      <c r="BI61" s="7"/>
      <c r="BJ61" s="4"/>
      <c r="BK61" s="8"/>
      <c r="BL61" s="2" t="s">
        <v>98</v>
      </c>
      <c r="BM61" s="7"/>
      <c r="BN61" s="7"/>
      <c r="BO61" s="4"/>
      <c r="BP61" s="8"/>
      <c r="BQ61" s="4"/>
      <c r="BR61" s="8"/>
      <c r="BS61" s="7"/>
      <c r="BT61" s="7"/>
      <c r="BU61" s="2" t="s">
        <v>107</v>
      </c>
      <c r="BV61" s="2" t="s">
        <v>95</v>
      </c>
      <c r="BW61" s="2" t="s">
        <v>300</v>
      </c>
      <c r="BX61" s="2" t="s">
        <v>98</v>
      </c>
      <c r="BY61" s="2" t="s">
        <v>110</v>
      </c>
      <c r="BZ61" s="2" t="s">
        <v>98</v>
      </c>
    </row>
    <row r="62">
      <c r="A62" s="2" t="s">
        <v>511</v>
      </c>
      <c r="B62" s="2" t="s">
        <v>87</v>
      </c>
      <c r="C62" s="2" t="s">
        <v>88</v>
      </c>
      <c r="D62" s="2" t="s">
        <v>326</v>
      </c>
      <c r="E62" s="2" t="s">
        <v>90</v>
      </c>
      <c r="F62" s="2" t="s">
        <v>512</v>
      </c>
      <c r="G62" s="2" t="s">
        <v>512</v>
      </c>
      <c r="H62" s="2" t="s">
        <v>512</v>
      </c>
      <c r="I62" s="2" t="s">
        <v>513</v>
      </c>
      <c r="J62" s="2" t="s">
        <v>93</v>
      </c>
      <c r="K62" s="2" t="s">
        <v>514</v>
      </c>
      <c r="L62" s="3">
        <v>21.31</v>
      </c>
      <c r="M62" s="3">
        <v>22.38</v>
      </c>
      <c r="N62" s="3">
        <v>50.99</v>
      </c>
      <c r="O62" s="2" t="s">
        <v>95</v>
      </c>
      <c r="P62" s="2" t="s">
        <v>134</v>
      </c>
      <c r="Q62" s="2" t="s">
        <v>97</v>
      </c>
      <c r="R62" s="2" t="s">
        <v>98</v>
      </c>
      <c r="S62" s="2" t="s">
        <v>515</v>
      </c>
      <c r="T62" s="2" t="s">
        <v>98</v>
      </c>
      <c r="U62" s="2" t="s">
        <v>157</v>
      </c>
      <c r="V62" s="2" t="s">
        <v>101</v>
      </c>
      <c r="W62" s="2" t="s">
        <v>119</v>
      </c>
      <c r="X62" s="2" t="s">
        <v>103</v>
      </c>
      <c r="Y62" s="2" t="s">
        <v>516</v>
      </c>
      <c r="Z62" s="4">
        <v>163</v>
      </c>
      <c r="AA62" s="4">
        <f>=ROUNDDOWN(16.3,0)</f>
      </c>
      <c r="AB62" s="5">
        <v>10</v>
      </c>
      <c r="AC62" s="2" t="s">
        <v>360</v>
      </c>
      <c r="AD62" s="4">
        <v>100</v>
      </c>
      <c r="AE62" s="4">
        <v>100</v>
      </c>
      <c r="AF62" s="6">
        <v>63</v>
      </c>
      <c r="AG62" s="6"/>
      <c r="AH62" s="7">
        <v>1</v>
      </c>
      <c r="AI62" s="4"/>
      <c r="AJ62" s="4">
        <f>=ROUNDDOWN({0},0)</f>
      </c>
      <c r="AK62" s="5"/>
      <c r="AL62" s="2" t="s">
        <v>98</v>
      </c>
      <c r="AM62" s="4"/>
      <c r="AN62" s="4"/>
      <c r="AO62" s="7">
        <v>0</v>
      </c>
      <c r="AP62" s="4">
        <v>1</v>
      </c>
      <c r="AQ62" s="8">
        <v>24.56</v>
      </c>
      <c r="AR62" s="4"/>
      <c r="AS62" s="8"/>
      <c r="AT62" s="7"/>
      <c r="AU62" s="7"/>
      <c r="AV62" s="4">
        <v>1</v>
      </c>
      <c r="AW62" s="8">
        <v>24.56</v>
      </c>
      <c r="AX62" s="4"/>
      <c r="AY62" s="8"/>
      <c r="AZ62" s="7"/>
      <c r="BA62" s="7"/>
      <c r="BB62" s="7">
        <v>1</v>
      </c>
      <c r="BC62" s="4">
        <v>1</v>
      </c>
      <c r="BD62" s="8">
        <v>24.56</v>
      </c>
      <c r="BE62" s="4"/>
      <c r="BF62" s="8"/>
      <c r="BG62" s="7"/>
      <c r="BH62" s="7"/>
      <c r="BI62" s="7">
        <v>1</v>
      </c>
      <c r="BJ62" s="4">
        <v>11</v>
      </c>
      <c r="BK62" s="8">
        <v>299.24</v>
      </c>
      <c r="BL62" s="2" t="s">
        <v>517</v>
      </c>
      <c r="BM62" s="7">
        <v>0.0909</v>
      </c>
      <c r="BN62" s="7">
        <v>0.0821</v>
      </c>
      <c r="BO62" s="4">
        <v>1</v>
      </c>
      <c r="BP62" s="8">
        <v>24.56</v>
      </c>
      <c r="BQ62" s="4"/>
      <c r="BR62" s="8"/>
      <c r="BS62" s="7"/>
      <c r="BT62" s="7"/>
      <c r="BU62" s="2" t="s">
        <v>107</v>
      </c>
      <c r="BV62" s="2" t="s">
        <v>95</v>
      </c>
      <c r="BW62" s="2" t="s">
        <v>289</v>
      </c>
      <c r="BX62" s="2" t="s">
        <v>518</v>
      </c>
      <c r="BY62" s="2" t="s">
        <v>110</v>
      </c>
      <c r="BZ62" s="2" t="s">
        <v>98</v>
      </c>
    </row>
    <row r="63">
      <c r="A63" s="2" t="s">
        <v>519</v>
      </c>
      <c r="B63" s="2" t="s">
        <v>87</v>
      </c>
      <c r="C63" s="2" t="s">
        <v>88</v>
      </c>
      <c r="D63" s="2" t="s">
        <v>326</v>
      </c>
      <c r="E63" s="2" t="s">
        <v>90</v>
      </c>
      <c r="F63" s="2" t="s">
        <v>520</v>
      </c>
      <c r="G63" s="2" t="s">
        <v>520</v>
      </c>
      <c r="H63" s="2" t="s">
        <v>520</v>
      </c>
      <c r="I63" s="2" t="s">
        <v>521</v>
      </c>
      <c r="J63" s="2" t="s">
        <v>93</v>
      </c>
      <c r="K63" s="2" t="s">
        <v>473</v>
      </c>
      <c r="L63" s="3">
        <v>40.71</v>
      </c>
      <c r="M63" s="3">
        <v>42.75</v>
      </c>
      <c r="N63" s="3">
        <v>89.99</v>
      </c>
      <c r="O63" s="2" t="s">
        <v>155</v>
      </c>
      <c r="P63" s="2" t="s">
        <v>115</v>
      </c>
      <c r="Q63" s="2" t="s">
        <v>97</v>
      </c>
      <c r="R63" s="2" t="s">
        <v>98</v>
      </c>
      <c r="S63" s="2" t="s">
        <v>522</v>
      </c>
      <c r="T63" s="2" t="s">
        <v>98</v>
      </c>
      <c r="U63" s="2" t="s">
        <v>117</v>
      </c>
      <c r="V63" s="2" t="s">
        <v>331</v>
      </c>
      <c r="W63" s="2" t="s">
        <v>102</v>
      </c>
      <c r="X63" s="2" t="s">
        <v>98</v>
      </c>
      <c r="Y63" s="2" t="s">
        <v>516</v>
      </c>
      <c r="Z63" s="4">
        <v>93</v>
      </c>
      <c r="AA63" s="4">
        <f>=ROUNDDOWN(71.5384615384615,0)</f>
      </c>
      <c r="AB63" s="5">
        <v>1.3</v>
      </c>
      <c r="AC63" s="2" t="s">
        <v>98</v>
      </c>
      <c r="AD63" s="4"/>
      <c r="AE63" s="4"/>
      <c r="AF63" s="6">
        <v>63</v>
      </c>
      <c r="AG63" s="6"/>
      <c r="AH63" s="7">
        <v>1</v>
      </c>
      <c r="AI63" s="4"/>
      <c r="AJ63" s="4">
        <f>=ROUNDDOWN({0},0)</f>
      </c>
      <c r="AK63" s="5"/>
      <c r="AL63" s="2" t="s">
        <v>98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/>
      <c r="BD63" s="8"/>
      <c r="BE63" s="4"/>
      <c r="BF63" s="8"/>
      <c r="BG63" s="7"/>
      <c r="BH63" s="7"/>
      <c r="BI63" s="7"/>
      <c r="BJ63" s="4"/>
      <c r="BK63" s="8"/>
      <c r="BL63" s="2" t="s">
        <v>98</v>
      </c>
      <c r="BM63" s="7"/>
      <c r="BN63" s="7"/>
      <c r="BO63" s="4"/>
      <c r="BP63" s="8"/>
      <c r="BQ63" s="4"/>
      <c r="BR63" s="8"/>
      <c r="BS63" s="7"/>
      <c r="BT63" s="7"/>
      <c r="BU63" s="2" t="s">
        <v>107</v>
      </c>
      <c r="BV63" s="2" t="s">
        <v>95</v>
      </c>
      <c r="BW63" s="2" t="s">
        <v>289</v>
      </c>
      <c r="BX63" s="2" t="s">
        <v>523</v>
      </c>
      <c r="BY63" s="2" t="s">
        <v>110</v>
      </c>
      <c r="BZ63" s="2" t="s">
        <v>98</v>
      </c>
    </row>
    <row r="64">
      <c r="A64" s="2" t="s">
        <v>524</v>
      </c>
      <c r="B64" s="2" t="s">
        <v>87</v>
      </c>
      <c r="C64" s="2" t="s">
        <v>88</v>
      </c>
      <c r="D64" s="2" t="s">
        <v>525</v>
      </c>
      <c r="E64" s="2" t="s">
        <v>525</v>
      </c>
      <c r="F64" s="2" t="s">
        <v>526</v>
      </c>
      <c r="G64" s="2" t="s">
        <v>526</v>
      </c>
      <c r="H64" s="2" t="s">
        <v>526</v>
      </c>
      <c r="I64" s="2" t="s">
        <v>527</v>
      </c>
      <c r="J64" s="2" t="s">
        <v>93</v>
      </c>
      <c r="K64" s="2" t="s">
        <v>528</v>
      </c>
      <c r="L64" s="3">
        <v>6.66</v>
      </c>
      <c r="M64" s="3">
        <v>6.99</v>
      </c>
      <c r="N64" s="3">
        <v>19.99</v>
      </c>
      <c r="O64" s="2" t="s">
        <v>95</v>
      </c>
      <c r="P64" s="2" t="s">
        <v>134</v>
      </c>
      <c r="Q64" s="2" t="s">
        <v>97</v>
      </c>
      <c r="R64" s="2" t="s">
        <v>98</v>
      </c>
      <c r="S64" s="2" t="s">
        <v>98</v>
      </c>
      <c r="T64" s="2" t="s">
        <v>98</v>
      </c>
      <c r="U64" s="2" t="s">
        <v>117</v>
      </c>
      <c r="V64" s="2" t="s">
        <v>313</v>
      </c>
      <c r="W64" s="2" t="s">
        <v>529</v>
      </c>
      <c r="X64" s="2" t="s">
        <v>340</v>
      </c>
      <c r="Y64" s="2" t="s">
        <v>530</v>
      </c>
      <c r="Z64" s="4">
        <v>295</v>
      </c>
      <c r="AA64" s="4">
        <f>=ROUNDDOWN(24.5833333333333,0)</f>
      </c>
      <c r="AB64" s="5">
        <v>12</v>
      </c>
      <c r="AC64" s="2" t="s">
        <v>412</v>
      </c>
      <c r="AD64" s="4">
        <v>100</v>
      </c>
      <c r="AE64" s="4">
        <v>100</v>
      </c>
      <c r="AF64" s="6">
        <v>63</v>
      </c>
      <c r="AG64" s="6"/>
      <c r="AH64" s="7">
        <v>1</v>
      </c>
      <c r="AI64" s="4"/>
      <c r="AJ64" s="4">
        <f>=ROUNDDOWN({0},0)</f>
      </c>
      <c r="AK64" s="5"/>
      <c r="AL64" s="2" t="s">
        <v>98</v>
      </c>
      <c r="AM64" s="4"/>
      <c r="AN64" s="4"/>
      <c r="AO64" s="7">
        <v>0</v>
      </c>
      <c r="AP64" s="4">
        <v>2</v>
      </c>
      <c r="AQ64" s="8">
        <v>14.68</v>
      </c>
      <c r="AR64" s="4"/>
      <c r="AS64" s="8"/>
      <c r="AT64" s="7"/>
      <c r="AU64" s="7"/>
      <c r="AV64" s="4">
        <v>2</v>
      </c>
      <c r="AW64" s="8">
        <v>14.68</v>
      </c>
      <c r="AX64" s="4"/>
      <c r="AY64" s="8"/>
      <c r="AZ64" s="7"/>
      <c r="BA64" s="7"/>
      <c r="BB64" s="7">
        <v>1</v>
      </c>
      <c r="BC64" s="4">
        <v>2</v>
      </c>
      <c r="BD64" s="8">
        <v>14.68</v>
      </c>
      <c r="BE64" s="4" t="s">
        <v>98</v>
      </c>
      <c r="BF64" s="8" t="s">
        <v>98</v>
      </c>
      <c r="BG64" s="7" t="s">
        <v>98</v>
      </c>
      <c r="BH64" s="7" t="s">
        <v>98</v>
      </c>
      <c r="BI64" s="7">
        <v>1</v>
      </c>
      <c r="BJ64" s="4">
        <v>4</v>
      </c>
      <c r="BK64" s="8">
        <v>32.68</v>
      </c>
      <c r="BL64" s="2" t="s">
        <v>531</v>
      </c>
      <c r="BM64" s="7">
        <v>0.5</v>
      </c>
      <c r="BN64" s="7">
        <v>0.4492</v>
      </c>
      <c r="BO64" s="4">
        <v>2</v>
      </c>
      <c r="BP64" s="8">
        <v>14.68</v>
      </c>
      <c r="BQ64" s="4"/>
      <c r="BR64" s="8"/>
      <c r="BS64" s="7"/>
      <c r="BT64" s="7"/>
      <c r="BU64" s="2" t="s">
        <v>107</v>
      </c>
      <c r="BV64" s="2" t="s">
        <v>95</v>
      </c>
      <c r="BW64" s="2" t="s">
        <v>300</v>
      </c>
      <c r="BX64" s="2" t="s">
        <v>532</v>
      </c>
      <c r="BY64" s="2" t="s">
        <v>110</v>
      </c>
      <c r="BZ64" s="2" t="s">
        <v>98</v>
      </c>
    </row>
    <row r="65">
      <c r="A65" s="2" t="s">
        <v>533</v>
      </c>
      <c r="B65" s="2" t="s">
        <v>87</v>
      </c>
      <c r="C65" s="2" t="s">
        <v>88</v>
      </c>
      <c r="D65" s="2" t="s">
        <v>525</v>
      </c>
      <c r="E65" s="2" t="s">
        <v>525</v>
      </c>
      <c r="F65" s="2" t="s">
        <v>526</v>
      </c>
      <c r="G65" s="2" t="s">
        <v>526</v>
      </c>
      <c r="H65" s="2" t="s">
        <v>526</v>
      </c>
      <c r="I65" s="2" t="s">
        <v>534</v>
      </c>
      <c r="J65" s="2" t="s">
        <v>93</v>
      </c>
      <c r="K65" s="2" t="s">
        <v>535</v>
      </c>
      <c r="L65" s="3">
        <v>6.66</v>
      </c>
      <c r="M65" s="3">
        <v>6.99</v>
      </c>
      <c r="N65" s="3">
        <v>19.99</v>
      </c>
      <c r="O65" s="2" t="s">
        <v>95</v>
      </c>
      <c r="P65" s="2" t="s">
        <v>295</v>
      </c>
      <c r="Q65" s="2" t="s">
        <v>97</v>
      </c>
      <c r="R65" s="2" t="s">
        <v>98</v>
      </c>
      <c r="S65" s="2" t="s">
        <v>98</v>
      </c>
      <c r="T65" s="2" t="s">
        <v>98</v>
      </c>
      <c r="U65" s="2" t="s">
        <v>117</v>
      </c>
      <c r="V65" s="2" t="s">
        <v>313</v>
      </c>
      <c r="W65" s="2" t="s">
        <v>529</v>
      </c>
      <c r="X65" s="2" t="s">
        <v>340</v>
      </c>
      <c r="Y65" s="2" t="s">
        <v>536</v>
      </c>
      <c r="Z65" s="4">
        <v>104</v>
      </c>
      <c r="AA65" s="4">
        <f>=ROUNDDOWN(17.3333333333333,0)</f>
      </c>
      <c r="AB65" s="5">
        <v>6</v>
      </c>
      <c r="AC65" s="2" t="s">
        <v>412</v>
      </c>
      <c r="AD65" s="4">
        <v>100</v>
      </c>
      <c r="AE65" s="4">
        <v>100</v>
      </c>
      <c r="AF65" s="6">
        <v>63</v>
      </c>
      <c r="AG65" s="6"/>
      <c r="AH65" s="7">
        <v>1</v>
      </c>
      <c r="AI65" s="4"/>
      <c r="AJ65" s="4">
        <f>=ROUNDDOWN({0},0)</f>
      </c>
      <c r="AK65" s="5"/>
      <c r="AL65" s="2" t="s">
        <v>98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98</v>
      </c>
      <c r="BD65" s="8" t="s">
        <v>98</v>
      </c>
      <c r="BE65" s="4" t="s">
        <v>98</v>
      </c>
      <c r="BF65" s="8" t="s">
        <v>98</v>
      </c>
      <c r="BG65" s="7" t="s">
        <v>98</v>
      </c>
      <c r="BH65" s="7" t="s">
        <v>98</v>
      </c>
      <c r="BI65" s="7"/>
      <c r="BJ65" s="4"/>
      <c r="BK65" s="8"/>
      <c r="BL65" s="2" t="s">
        <v>98</v>
      </c>
      <c r="BM65" s="7"/>
      <c r="BN65" s="7"/>
      <c r="BO65" s="4"/>
      <c r="BP65" s="8"/>
      <c r="BQ65" s="4"/>
      <c r="BR65" s="8"/>
      <c r="BS65" s="7"/>
      <c r="BT65" s="7"/>
      <c r="BU65" s="2" t="s">
        <v>107</v>
      </c>
      <c r="BV65" s="2" t="s">
        <v>95</v>
      </c>
      <c r="BW65" s="2" t="s">
        <v>300</v>
      </c>
      <c r="BX65" s="2" t="s">
        <v>98</v>
      </c>
      <c r="BY65" s="2" t="s">
        <v>110</v>
      </c>
      <c r="BZ65" s="2" t="s">
        <v>98</v>
      </c>
    </row>
    <row r="66">
      <c r="A66" s="2" t="s">
        <v>537</v>
      </c>
      <c r="B66" s="2" t="s">
        <v>87</v>
      </c>
      <c r="C66" s="2" t="s">
        <v>88</v>
      </c>
      <c r="D66" s="2" t="s">
        <v>525</v>
      </c>
      <c r="E66" s="2" t="s">
        <v>525</v>
      </c>
      <c r="F66" s="2" t="s">
        <v>526</v>
      </c>
      <c r="G66" s="2" t="s">
        <v>526</v>
      </c>
      <c r="H66" s="2" t="s">
        <v>526</v>
      </c>
      <c r="I66" s="2" t="s">
        <v>538</v>
      </c>
      <c r="J66" s="2" t="s">
        <v>93</v>
      </c>
      <c r="K66" s="2" t="s">
        <v>539</v>
      </c>
      <c r="L66" s="3">
        <v>6.66</v>
      </c>
      <c r="M66" s="3">
        <v>6.99</v>
      </c>
      <c r="N66" s="3">
        <v>19.99</v>
      </c>
      <c r="O66" s="2" t="s">
        <v>95</v>
      </c>
      <c r="P66" s="2" t="s">
        <v>295</v>
      </c>
      <c r="Q66" s="2" t="s">
        <v>97</v>
      </c>
      <c r="R66" s="2" t="s">
        <v>98</v>
      </c>
      <c r="S66" s="2" t="s">
        <v>98</v>
      </c>
      <c r="T66" s="2" t="s">
        <v>98</v>
      </c>
      <c r="U66" s="2" t="s">
        <v>117</v>
      </c>
      <c r="V66" s="2" t="s">
        <v>313</v>
      </c>
      <c r="W66" s="2" t="s">
        <v>529</v>
      </c>
      <c r="X66" s="2" t="s">
        <v>340</v>
      </c>
      <c r="Y66" s="2" t="s">
        <v>536</v>
      </c>
      <c r="Z66" s="4">
        <v>121</v>
      </c>
      <c r="AA66" s="4">
        <f>=ROUNDDOWN(24.2,0)</f>
      </c>
      <c r="AB66" s="5">
        <v>5</v>
      </c>
      <c r="AC66" s="2" t="s">
        <v>412</v>
      </c>
      <c r="AD66" s="4">
        <v>50</v>
      </c>
      <c r="AE66" s="4">
        <v>50</v>
      </c>
      <c r="AF66" s="6">
        <v>63</v>
      </c>
      <c r="AG66" s="6"/>
      <c r="AH66" s="7">
        <v>1</v>
      </c>
      <c r="AI66" s="4"/>
      <c r="AJ66" s="4">
        <f>=ROUNDDOWN({0},0)</f>
      </c>
      <c r="AK66" s="5"/>
      <c r="AL66" s="2" t="s">
        <v>98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98</v>
      </c>
      <c r="BD66" s="8" t="s">
        <v>98</v>
      </c>
      <c r="BE66" s="4" t="s">
        <v>98</v>
      </c>
      <c r="BF66" s="8" t="s">
        <v>98</v>
      </c>
      <c r="BG66" s="7" t="s">
        <v>98</v>
      </c>
      <c r="BH66" s="7" t="s">
        <v>98</v>
      </c>
      <c r="BI66" s="7"/>
      <c r="BJ66" s="4"/>
      <c r="BK66" s="8"/>
      <c r="BL66" s="2" t="s">
        <v>98</v>
      </c>
      <c r="BM66" s="7"/>
      <c r="BN66" s="7"/>
      <c r="BO66" s="4"/>
      <c r="BP66" s="8"/>
      <c r="BQ66" s="4"/>
      <c r="BR66" s="8"/>
      <c r="BS66" s="7"/>
      <c r="BT66" s="7"/>
      <c r="BU66" s="2" t="s">
        <v>107</v>
      </c>
      <c r="BV66" s="2" t="s">
        <v>95</v>
      </c>
      <c r="BW66" s="2" t="s">
        <v>300</v>
      </c>
      <c r="BX66" s="2" t="s">
        <v>532</v>
      </c>
      <c r="BY66" s="2" t="s">
        <v>110</v>
      </c>
      <c r="BZ66" s="2" t="s">
        <v>98</v>
      </c>
    </row>
    <row r="67">
      <c r="A67" s="2" t="s">
        <v>540</v>
      </c>
      <c r="B67" s="2" t="s">
        <v>87</v>
      </c>
      <c r="C67" s="2" t="s">
        <v>88</v>
      </c>
      <c r="D67" s="2" t="s">
        <v>525</v>
      </c>
      <c r="E67" s="2" t="s">
        <v>525</v>
      </c>
      <c r="F67" s="2" t="s">
        <v>526</v>
      </c>
      <c r="G67" s="2" t="s">
        <v>526</v>
      </c>
      <c r="H67" s="2" t="s">
        <v>526</v>
      </c>
      <c r="I67" s="2" t="s">
        <v>541</v>
      </c>
      <c r="J67" s="2" t="s">
        <v>93</v>
      </c>
      <c r="K67" s="2" t="s">
        <v>542</v>
      </c>
      <c r="L67" s="3">
        <v>6.66</v>
      </c>
      <c r="M67" s="3">
        <v>6.99</v>
      </c>
      <c r="N67" s="3">
        <v>19.99</v>
      </c>
      <c r="O67" s="2" t="s">
        <v>95</v>
      </c>
      <c r="P67" s="2" t="s">
        <v>295</v>
      </c>
      <c r="Q67" s="2" t="s">
        <v>97</v>
      </c>
      <c r="R67" s="2" t="s">
        <v>98</v>
      </c>
      <c r="S67" s="2" t="s">
        <v>98</v>
      </c>
      <c r="T67" s="2" t="s">
        <v>98</v>
      </c>
      <c r="U67" s="2" t="s">
        <v>117</v>
      </c>
      <c r="V67" s="2" t="s">
        <v>313</v>
      </c>
      <c r="W67" s="2" t="s">
        <v>529</v>
      </c>
      <c r="X67" s="2" t="s">
        <v>340</v>
      </c>
      <c r="Y67" s="2" t="s">
        <v>536</v>
      </c>
      <c r="Z67" s="4">
        <v>150</v>
      </c>
      <c r="AA67" s="4">
        <f>=ROUNDDOWN(125,0)</f>
      </c>
      <c r="AB67" s="5">
        <v>1.2</v>
      </c>
      <c r="AC67" s="2" t="s">
        <v>412</v>
      </c>
      <c r="AD67" s="4">
        <v>50</v>
      </c>
      <c r="AE67" s="4">
        <v>50</v>
      </c>
      <c r="AF67" s="6">
        <v>63</v>
      </c>
      <c r="AG67" s="6"/>
      <c r="AH67" s="7">
        <v>1</v>
      </c>
      <c r="AI67" s="4"/>
      <c r="AJ67" s="4">
        <f>=ROUNDDOWN({0},0)</f>
      </c>
      <c r="AK67" s="5"/>
      <c r="AL67" s="2" t="s">
        <v>98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 t="s">
        <v>98</v>
      </c>
      <c r="BD67" s="8" t="s">
        <v>98</v>
      </c>
      <c r="BE67" s="4" t="s">
        <v>98</v>
      </c>
      <c r="BF67" s="8" t="s">
        <v>98</v>
      </c>
      <c r="BG67" s="7" t="s">
        <v>98</v>
      </c>
      <c r="BH67" s="7" t="s">
        <v>98</v>
      </c>
      <c r="BI67" s="7"/>
      <c r="BJ67" s="4">
        <v>1</v>
      </c>
      <c r="BK67" s="8">
        <v>9</v>
      </c>
      <c r="BL67" s="2" t="s">
        <v>307</v>
      </c>
      <c r="BM67" s="7"/>
      <c r="BN67" s="7"/>
      <c r="BO67" s="4"/>
      <c r="BP67" s="8"/>
      <c r="BQ67" s="4"/>
      <c r="BR67" s="8"/>
      <c r="BS67" s="7"/>
      <c r="BT67" s="7"/>
      <c r="BU67" s="2" t="s">
        <v>107</v>
      </c>
      <c r="BV67" s="2" t="s">
        <v>95</v>
      </c>
      <c r="BW67" s="2" t="s">
        <v>300</v>
      </c>
      <c r="BX67" s="2" t="s">
        <v>532</v>
      </c>
      <c r="BY67" s="2" t="s">
        <v>110</v>
      </c>
      <c r="BZ67" s="2" t="s">
        <v>98</v>
      </c>
    </row>
    <row r="68">
      <c r="A68" s="2" t="s">
        <v>543</v>
      </c>
      <c r="B68" s="2" t="s">
        <v>87</v>
      </c>
      <c r="C68" s="2" t="s">
        <v>88</v>
      </c>
      <c r="D68" s="2" t="s">
        <v>525</v>
      </c>
      <c r="E68" s="2" t="s">
        <v>525</v>
      </c>
      <c r="F68" s="2" t="s">
        <v>526</v>
      </c>
      <c r="G68" s="2" t="s">
        <v>526</v>
      </c>
      <c r="H68" s="2" t="s">
        <v>526</v>
      </c>
      <c r="I68" s="2" t="s">
        <v>544</v>
      </c>
      <c r="J68" s="2" t="s">
        <v>93</v>
      </c>
      <c r="K68" s="2" t="s">
        <v>545</v>
      </c>
      <c r="L68" s="3">
        <v>6.66</v>
      </c>
      <c r="M68" s="3">
        <v>6.99</v>
      </c>
      <c r="N68" s="3">
        <v>19.99</v>
      </c>
      <c r="O68" s="2" t="s">
        <v>95</v>
      </c>
      <c r="P68" s="2" t="s">
        <v>295</v>
      </c>
      <c r="Q68" s="2" t="s">
        <v>97</v>
      </c>
      <c r="R68" s="2" t="s">
        <v>98</v>
      </c>
      <c r="S68" s="2" t="s">
        <v>98</v>
      </c>
      <c r="T68" s="2" t="s">
        <v>98</v>
      </c>
      <c r="U68" s="2" t="s">
        <v>117</v>
      </c>
      <c r="V68" s="2" t="s">
        <v>313</v>
      </c>
      <c r="W68" s="2" t="s">
        <v>529</v>
      </c>
      <c r="X68" s="2" t="s">
        <v>340</v>
      </c>
      <c r="Y68" s="2" t="s">
        <v>530</v>
      </c>
      <c r="Z68" s="4">
        <v>156</v>
      </c>
      <c r="AA68" s="4">
        <f>=ROUNDDOWN(78,0)</f>
      </c>
      <c r="AB68" s="5">
        <v>2</v>
      </c>
      <c r="AC68" s="2" t="s">
        <v>412</v>
      </c>
      <c r="AD68" s="4">
        <v>50</v>
      </c>
      <c r="AE68" s="4">
        <v>50</v>
      </c>
      <c r="AF68" s="6">
        <v>63</v>
      </c>
      <c r="AG68" s="6"/>
      <c r="AH68" s="7">
        <v>1</v>
      </c>
      <c r="AI68" s="4"/>
      <c r="AJ68" s="4">
        <f>=ROUNDDOWN({0},0)</f>
      </c>
      <c r="AK68" s="5"/>
      <c r="AL68" s="2" t="s">
        <v>98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 t="s">
        <v>98</v>
      </c>
      <c r="BD68" s="8" t="s">
        <v>98</v>
      </c>
      <c r="BE68" s="4" t="s">
        <v>98</v>
      </c>
      <c r="BF68" s="8" t="s">
        <v>98</v>
      </c>
      <c r="BG68" s="7" t="s">
        <v>98</v>
      </c>
      <c r="BH68" s="7" t="s">
        <v>98</v>
      </c>
      <c r="BI68" s="7"/>
      <c r="BJ68" s="4"/>
      <c r="BK68" s="8"/>
      <c r="BL68" s="2" t="s">
        <v>98</v>
      </c>
      <c r="BM68" s="7"/>
      <c r="BN68" s="7"/>
      <c r="BO68" s="4"/>
      <c r="BP68" s="8"/>
      <c r="BQ68" s="4"/>
      <c r="BR68" s="8"/>
      <c r="BS68" s="7"/>
      <c r="BT68" s="7"/>
      <c r="BU68" s="2" t="s">
        <v>107</v>
      </c>
      <c r="BV68" s="2" t="s">
        <v>95</v>
      </c>
      <c r="BW68" s="2" t="s">
        <v>300</v>
      </c>
      <c r="BX68" s="2" t="s">
        <v>532</v>
      </c>
      <c r="BY68" s="2" t="s">
        <v>110</v>
      </c>
      <c r="BZ68" s="2" t="s">
        <v>98</v>
      </c>
    </row>
    <row r="69">
      <c r="A69" s="2" t="s">
        <v>546</v>
      </c>
      <c r="B69" s="2" t="s">
        <v>87</v>
      </c>
      <c r="C69" s="2" t="s">
        <v>88</v>
      </c>
      <c r="D69" s="2" t="s">
        <v>525</v>
      </c>
      <c r="E69" s="2" t="s">
        <v>525</v>
      </c>
      <c r="F69" s="2" t="s">
        <v>526</v>
      </c>
      <c r="G69" s="2" t="s">
        <v>526</v>
      </c>
      <c r="H69" s="2" t="s">
        <v>526</v>
      </c>
      <c r="I69" s="2" t="s">
        <v>547</v>
      </c>
      <c r="J69" s="2" t="s">
        <v>93</v>
      </c>
      <c r="K69" s="2" t="s">
        <v>548</v>
      </c>
      <c r="L69" s="3">
        <v>6.66</v>
      </c>
      <c r="M69" s="3">
        <v>6.99</v>
      </c>
      <c r="N69" s="3">
        <v>19.99</v>
      </c>
      <c r="O69" s="2" t="s">
        <v>95</v>
      </c>
      <c r="P69" s="2" t="s">
        <v>295</v>
      </c>
      <c r="Q69" s="2" t="s">
        <v>97</v>
      </c>
      <c r="R69" s="2" t="s">
        <v>98</v>
      </c>
      <c r="S69" s="2" t="s">
        <v>98</v>
      </c>
      <c r="T69" s="2" t="s">
        <v>98</v>
      </c>
      <c r="U69" s="2" t="s">
        <v>117</v>
      </c>
      <c r="V69" s="2" t="s">
        <v>313</v>
      </c>
      <c r="W69" s="2" t="s">
        <v>529</v>
      </c>
      <c r="X69" s="2" t="s">
        <v>340</v>
      </c>
      <c r="Y69" s="2" t="s">
        <v>530</v>
      </c>
      <c r="Z69" s="4">
        <v>151</v>
      </c>
      <c r="AA69" s="4">
        <f>=ROUNDDOWN(37.75,0)</f>
      </c>
      <c r="AB69" s="5">
        <v>4</v>
      </c>
      <c r="AC69" s="2" t="s">
        <v>98</v>
      </c>
      <c r="AD69" s="4"/>
      <c r="AE69" s="4"/>
      <c r="AF69" s="6">
        <v>63</v>
      </c>
      <c r="AG69" s="6"/>
      <c r="AH69" s="7">
        <v>1</v>
      </c>
      <c r="AI69" s="4"/>
      <c r="AJ69" s="4">
        <f>=ROUNDDOWN({0},0)</f>
      </c>
      <c r="AK69" s="5"/>
      <c r="AL69" s="2" t="s">
        <v>98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 t="s">
        <v>98</v>
      </c>
      <c r="BD69" s="8" t="s">
        <v>98</v>
      </c>
      <c r="BE69" s="4" t="s">
        <v>98</v>
      </c>
      <c r="BF69" s="8" t="s">
        <v>98</v>
      </c>
      <c r="BG69" s="7" t="s">
        <v>98</v>
      </c>
      <c r="BH69" s="7" t="s">
        <v>98</v>
      </c>
      <c r="BI69" s="7"/>
      <c r="BJ69" s="4"/>
      <c r="BK69" s="8"/>
      <c r="BL69" s="2" t="s">
        <v>98</v>
      </c>
      <c r="BM69" s="7"/>
      <c r="BN69" s="7"/>
      <c r="BO69" s="4"/>
      <c r="BP69" s="8"/>
      <c r="BQ69" s="4"/>
      <c r="BR69" s="8"/>
      <c r="BS69" s="7"/>
      <c r="BT69" s="7"/>
      <c r="BU69" s="2" t="s">
        <v>107</v>
      </c>
      <c r="BV69" s="2" t="s">
        <v>95</v>
      </c>
      <c r="BW69" s="2" t="s">
        <v>300</v>
      </c>
      <c r="BX69" s="2" t="s">
        <v>98</v>
      </c>
      <c r="BY69" s="2" t="s">
        <v>110</v>
      </c>
      <c r="BZ69" s="2" t="s">
        <v>98</v>
      </c>
    </row>
    <row r="70">
      <c r="A70" s="2" t="s">
        <v>549</v>
      </c>
      <c r="B70" s="2" t="s">
        <v>87</v>
      </c>
      <c r="C70" s="2" t="s">
        <v>88</v>
      </c>
      <c r="D70" s="2" t="s">
        <v>525</v>
      </c>
      <c r="E70" s="2" t="s">
        <v>525</v>
      </c>
      <c r="F70" s="2" t="s">
        <v>550</v>
      </c>
      <c r="G70" s="2" t="s">
        <v>550</v>
      </c>
      <c r="H70" s="2" t="s">
        <v>550</v>
      </c>
      <c r="I70" s="2" t="s">
        <v>551</v>
      </c>
      <c r="J70" s="2" t="s">
        <v>93</v>
      </c>
      <c r="K70" s="2" t="s">
        <v>473</v>
      </c>
      <c r="L70" s="3">
        <v>40.07</v>
      </c>
      <c r="M70" s="3">
        <v>42.07</v>
      </c>
      <c r="N70" s="3">
        <v>84.99</v>
      </c>
      <c r="O70" s="2" t="s">
        <v>95</v>
      </c>
      <c r="P70" s="2" t="s">
        <v>134</v>
      </c>
      <c r="Q70" s="2" t="s">
        <v>97</v>
      </c>
      <c r="R70" s="2" t="s">
        <v>98</v>
      </c>
      <c r="S70" s="2" t="s">
        <v>552</v>
      </c>
      <c r="T70" s="2" t="s">
        <v>98</v>
      </c>
      <c r="U70" s="2" t="s">
        <v>117</v>
      </c>
      <c r="V70" s="2" t="s">
        <v>331</v>
      </c>
      <c r="W70" s="2" t="s">
        <v>102</v>
      </c>
      <c r="X70" s="2" t="s">
        <v>297</v>
      </c>
      <c r="Y70" s="2" t="s">
        <v>467</v>
      </c>
      <c r="Z70" s="4">
        <v>225</v>
      </c>
      <c r="AA70" s="4">
        <f>=ROUNDDOWN(28.125,0)</f>
      </c>
      <c r="AB70" s="5">
        <v>8</v>
      </c>
      <c r="AC70" s="2" t="s">
        <v>98</v>
      </c>
      <c r="AD70" s="4"/>
      <c r="AE70" s="4"/>
      <c r="AF70" s="6">
        <v>63</v>
      </c>
      <c r="AG70" s="6"/>
      <c r="AH70" s="7">
        <v>1</v>
      </c>
      <c r="AI70" s="4"/>
      <c r="AJ70" s="4">
        <f>=ROUNDDOWN({0},0)</f>
      </c>
      <c r="AK70" s="5"/>
      <c r="AL70" s="2" t="s">
        <v>98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/>
      <c r="BD70" s="8"/>
      <c r="BE70" s="4"/>
      <c r="BF70" s="8"/>
      <c r="BG70" s="7"/>
      <c r="BH70" s="7"/>
      <c r="BI70" s="7"/>
      <c r="BJ70" s="4">
        <v>3</v>
      </c>
      <c r="BK70" s="8">
        <v>143.54</v>
      </c>
      <c r="BL70" s="2" t="s">
        <v>553</v>
      </c>
      <c r="BM70" s="7"/>
      <c r="BN70" s="7"/>
      <c r="BO70" s="4"/>
      <c r="BP70" s="8"/>
      <c r="BQ70" s="4"/>
      <c r="BR70" s="8"/>
      <c r="BS70" s="7"/>
      <c r="BT70" s="7"/>
      <c r="BU70" s="2" t="s">
        <v>107</v>
      </c>
      <c r="BV70" s="2" t="s">
        <v>95</v>
      </c>
      <c r="BW70" s="2" t="s">
        <v>554</v>
      </c>
      <c r="BX70" s="2" t="s">
        <v>555</v>
      </c>
      <c r="BY70" s="2" t="s">
        <v>110</v>
      </c>
      <c r="BZ70" s="2" t="s">
        <v>98</v>
      </c>
    </row>
    <row r="71">
      <c r="A71" s="2" t="s">
        <v>556</v>
      </c>
      <c r="B71" s="2" t="s">
        <v>87</v>
      </c>
      <c r="C71" s="2" t="s">
        <v>88</v>
      </c>
      <c r="D71" s="2" t="s">
        <v>525</v>
      </c>
      <c r="E71" s="2" t="s">
        <v>525</v>
      </c>
      <c r="F71" s="2" t="s">
        <v>557</v>
      </c>
      <c r="G71" s="2" t="s">
        <v>557</v>
      </c>
      <c r="H71" s="2" t="s">
        <v>557</v>
      </c>
      <c r="I71" s="2" t="s">
        <v>558</v>
      </c>
      <c r="J71" s="2" t="s">
        <v>93</v>
      </c>
      <c r="K71" s="2" t="s">
        <v>559</v>
      </c>
      <c r="L71" s="3">
        <v>41.69</v>
      </c>
      <c r="M71" s="3">
        <v>43.77</v>
      </c>
      <c r="N71" s="3">
        <v>89.24</v>
      </c>
      <c r="O71" s="2" t="s">
        <v>95</v>
      </c>
      <c r="P71" s="2" t="s">
        <v>134</v>
      </c>
      <c r="Q71" s="2" t="s">
        <v>97</v>
      </c>
      <c r="R71" s="2" t="s">
        <v>98</v>
      </c>
      <c r="S71" s="2" t="s">
        <v>98</v>
      </c>
      <c r="T71" s="2" t="s">
        <v>98</v>
      </c>
      <c r="U71" s="2" t="s">
        <v>157</v>
      </c>
      <c r="V71" s="2" t="s">
        <v>486</v>
      </c>
      <c r="W71" s="2" t="s">
        <v>103</v>
      </c>
      <c r="X71" s="2" t="s">
        <v>98</v>
      </c>
      <c r="Y71" s="2" t="s">
        <v>560</v>
      </c>
      <c r="Z71" s="4">
        <v>219</v>
      </c>
      <c r="AA71" s="4">
        <f>=ROUNDDOWN(43.8,0)</f>
      </c>
      <c r="AB71" s="5">
        <v>5</v>
      </c>
      <c r="AC71" s="2" t="s">
        <v>98</v>
      </c>
      <c r="AD71" s="4"/>
      <c r="AE71" s="4"/>
      <c r="AF71" s="6">
        <v>63</v>
      </c>
      <c r="AG71" s="6"/>
      <c r="AH71" s="7">
        <v>1</v>
      </c>
      <c r="AI71" s="4"/>
      <c r="AJ71" s="4">
        <f>=ROUNDDOWN({0},0)</f>
      </c>
      <c r="AK71" s="5"/>
      <c r="AL71" s="2" t="s">
        <v>98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/>
      <c r="BD71" s="8"/>
      <c r="BE71" s="4"/>
      <c r="BF71" s="8"/>
      <c r="BG71" s="7"/>
      <c r="BH71" s="7"/>
      <c r="BI71" s="7"/>
      <c r="BJ71" s="4">
        <v>1</v>
      </c>
      <c r="BK71" s="8">
        <v>57.44</v>
      </c>
      <c r="BL71" s="2" t="s">
        <v>561</v>
      </c>
      <c r="BM71" s="7"/>
      <c r="BN71" s="7"/>
      <c r="BO71" s="4"/>
      <c r="BP71" s="8"/>
      <c r="BQ71" s="4"/>
      <c r="BR71" s="8"/>
      <c r="BS71" s="7"/>
      <c r="BT71" s="7"/>
      <c r="BU71" s="2" t="s">
        <v>107</v>
      </c>
      <c r="BV71" s="2" t="s">
        <v>95</v>
      </c>
      <c r="BW71" s="2" t="s">
        <v>317</v>
      </c>
      <c r="BX71" s="2" t="s">
        <v>562</v>
      </c>
      <c r="BY71" s="2" t="s">
        <v>110</v>
      </c>
      <c r="BZ71" s="2" t="s">
        <v>98</v>
      </c>
    </row>
    <row r="72">
      <c r="A72" s="2" t="s">
        <v>563</v>
      </c>
      <c r="B72" s="2" t="s">
        <v>87</v>
      </c>
      <c r="C72" s="2" t="s">
        <v>88</v>
      </c>
      <c r="D72" s="2" t="s">
        <v>525</v>
      </c>
      <c r="E72" s="2" t="s">
        <v>525</v>
      </c>
      <c r="F72" s="2" t="s">
        <v>564</v>
      </c>
      <c r="G72" s="2" t="s">
        <v>564</v>
      </c>
      <c r="H72" s="2" t="s">
        <v>564</v>
      </c>
      <c r="I72" s="2" t="s">
        <v>565</v>
      </c>
      <c r="J72" s="2" t="s">
        <v>93</v>
      </c>
      <c r="K72" s="2" t="s">
        <v>566</v>
      </c>
      <c r="L72" s="3">
        <v>6.66</v>
      </c>
      <c r="M72" s="3">
        <v>6.99</v>
      </c>
      <c r="N72" s="3">
        <v>19.99</v>
      </c>
      <c r="O72" s="2" t="s">
        <v>95</v>
      </c>
      <c r="P72" s="2" t="s">
        <v>134</v>
      </c>
      <c r="Q72" s="2" t="s">
        <v>97</v>
      </c>
      <c r="R72" s="2" t="s">
        <v>98</v>
      </c>
      <c r="S72" s="2" t="s">
        <v>98</v>
      </c>
      <c r="T72" s="2" t="s">
        <v>98</v>
      </c>
      <c r="U72" s="2" t="s">
        <v>117</v>
      </c>
      <c r="V72" s="2" t="s">
        <v>313</v>
      </c>
      <c r="W72" s="2" t="s">
        <v>529</v>
      </c>
      <c r="X72" s="2" t="s">
        <v>340</v>
      </c>
      <c r="Y72" s="2" t="s">
        <v>530</v>
      </c>
      <c r="Z72" s="4">
        <v>174</v>
      </c>
      <c r="AA72" s="4">
        <f>=ROUNDDOWN(58,0)</f>
      </c>
      <c r="AB72" s="5">
        <v>3</v>
      </c>
      <c r="AC72" s="2" t="s">
        <v>98</v>
      </c>
      <c r="AD72" s="4"/>
      <c r="AE72" s="4"/>
      <c r="AF72" s="6">
        <v>63</v>
      </c>
      <c r="AG72" s="6"/>
      <c r="AH72" s="7">
        <v>1</v>
      </c>
      <c r="AI72" s="4"/>
      <c r="AJ72" s="4">
        <f>=ROUNDDOWN({0},0)</f>
      </c>
      <c r="AK72" s="5"/>
      <c r="AL72" s="2" t="s">
        <v>98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 t="s">
        <v>98</v>
      </c>
      <c r="BD72" s="8" t="s">
        <v>98</v>
      </c>
      <c r="BE72" s="4" t="s">
        <v>98</v>
      </c>
      <c r="BF72" s="8" t="s">
        <v>98</v>
      </c>
      <c r="BG72" s="7" t="s">
        <v>98</v>
      </c>
      <c r="BH72" s="7" t="s">
        <v>98</v>
      </c>
      <c r="BI72" s="7"/>
      <c r="BJ72" s="4"/>
      <c r="BK72" s="8"/>
      <c r="BL72" s="2" t="s">
        <v>98</v>
      </c>
      <c r="BM72" s="7"/>
      <c r="BN72" s="7"/>
      <c r="BO72" s="4"/>
      <c r="BP72" s="8"/>
      <c r="BQ72" s="4"/>
      <c r="BR72" s="8"/>
      <c r="BS72" s="7"/>
      <c r="BT72" s="7"/>
      <c r="BU72" s="2" t="s">
        <v>107</v>
      </c>
      <c r="BV72" s="2" t="s">
        <v>95</v>
      </c>
      <c r="BW72" s="2" t="s">
        <v>300</v>
      </c>
      <c r="BX72" s="2" t="s">
        <v>98</v>
      </c>
      <c r="BY72" s="2" t="s">
        <v>110</v>
      </c>
      <c r="BZ72" s="2" t="s">
        <v>98</v>
      </c>
    </row>
    <row r="73">
      <c r="A73" s="2" t="s">
        <v>567</v>
      </c>
      <c r="B73" s="2" t="s">
        <v>87</v>
      </c>
      <c r="C73" s="2" t="s">
        <v>88</v>
      </c>
      <c r="D73" s="2" t="s">
        <v>525</v>
      </c>
      <c r="E73" s="2" t="s">
        <v>525</v>
      </c>
      <c r="F73" s="2" t="s">
        <v>564</v>
      </c>
      <c r="G73" s="2" t="s">
        <v>564</v>
      </c>
      <c r="H73" s="2" t="s">
        <v>564</v>
      </c>
      <c r="I73" s="2" t="s">
        <v>568</v>
      </c>
      <c r="J73" s="2" t="s">
        <v>93</v>
      </c>
      <c r="K73" s="2" t="s">
        <v>569</v>
      </c>
      <c r="L73" s="3">
        <v>6.66</v>
      </c>
      <c r="M73" s="3">
        <v>6.99</v>
      </c>
      <c r="N73" s="3">
        <v>19.99</v>
      </c>
      <c r="O73" s="2" t="s">
        <v>95</v>
      </c>
      <c r="P73" s="2" t="s">
        <v>134</v>
      </c>
      <c r="Q73" s="2" t="s">
        <v>97</v>
      </c>
      <c r="R73" s="2" t="s">
        <v>98</v>
      </c>
      <c r="S73" s="2" t="s">
        <v>98</v>
      </c>
      <c r="T73" s="2" t="s">
        <v>98</v>
      </c>
      <c r="U73" s="2" t="s">
        <v>117</v>
      </c>
      <c r="V73" s="2" t="s">
        <v>313</v>
      </c>
      <c r="W73" s="2" t="s">
        <v>529</v>
      </c>
      <c r="X73" s="2" t="s">
        <v>340</v>
      </c>
      <c r="Y73" s="2" t="s">
        <v>536</v>
      </c>
      <c r="Z73" s="4">
        <v>150</v>
      </c>
      <c r="AA73" s="4">
        <f>=ROUNDDOWN(18.75,0)</f>
      </c>
      <c r="AB73" s="5">
        <v>8</v>
      </c>
      <c r="AC73" s="2" t="s">
        <v>177</v>
      </c>
      <c r="AD73" s="4">
        <v>100</v>
      </c>
      <c r="AE73" s="4">
        <v>100</v>
      </c>
      <c r="AF73" s="6">
        <v>63</v>
      </c>
      <c r="AG73" s="6"/>
      <c r="AH73" s="7">
        <v>1</v>
      </c>
      <c r="AI73" s="4"/>
      <c r="AJ73" s="4">
        <f>=ROUNDDOWN({0},0)</f>
      </c>
      <c r="AK73" s="5"/>
      <c r="AL73" s="2" t="s">
        <v>98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 t="s">
        <v>98</v>
      </c>
      <c r="BD73" s="8" t="s">
        <v>98</v>
      </c>
      <c r="BE73" s="4" t="s">
        <v>98</v>
      </c>
      <c r="BF73" s="8" t="s">
        <v>98</v>
      </c>
      <c r="BG73" s="7" t="s">
        <v>98</v>
      </c>
      <c r="BH73" s="7" t="s">
        <v>98</v>
      </c>
      <c r="BI73" s="7"/>
      <c r="BJ73" s="4"/>
      <c r="BK73" s="8"/>
      <c r="BL73" s="2" t="s">
        <v>98</v>
      </c>
      <c r="BM73" s="7"/>
      <c r="BN73" s="7"/>
      <c r="BO73" s="4"/>
      <c r="BP73" s="8"/>
      <c r="BQ73" s="4"/>
      <c r="BR73" s="8"/>
      <c r="BS73" s="7"/>
      <c r="BT73" s="7"/>
      <c r="BU73" s="2" t="s">
        <v>107</v>
      </c>
      <c r="BV73" s="2" t="s">
        <v>95</v>
      </c>
      <c r="BW73" s="2" t="s">
        <v>300</v>
      </c>
      <c r="BX73" s="2" t="s">
        <v>570</v>
      </c>
      <c r="BY73" s="2" t="s">
        <v>110</v>
      </c>
      <c r="BZ73" s="2" t="s">
        <v>98</v>
      </c>
    </row>
    <row r="74">
      <c r="A74" s="2" t="s">
        <v>571</v>
      </c>
      <c r="B74" s="2" t="s">
        <v>87</v>
      </c>
      <c r="C74" s="2" t="s">
        <v>88</v>
      </c>
      <c r="D74" s="2" t="s">
        <v>525</v>
      </c>
      <c r="E74" s="2" t="s">
        <v>525</v>
      </c>
      <c r="F74" s="2" t="s">
        <v>564</v>
      </c>
      <c r="G74" s="2" t="s">
        <v>564</v>
      </c>
      <c r="H74" s="2" t="s">
        <v>564</v>
      </c>
      <c r="I74" s="2" t="s">
        <v>572</v>
      </c>
      <c r="J74" s="2" t="s">
        <v>93</v>
      </c>
      <c r="K74" s="2" t="s">
        <v>573</v>
      </c>
      <c r="L74" s="3">
        <v>6.66</v>
      </c>
      <c r="M74" s="3">
        <v>6.99</v>
      </c>
      <c r="N74" s="3">
        <v>19.99</v>
      </c>
      <c r="O74" s="2" t="s">
        <v>95</v>
      </c>
      <c r="P74" s="2" t="s">
        <v>295</v>
      </c>
      <c r="Q74" s="2" t="s">
        <v>97</v>
      </c>
      <c r="R74" s="2" t="s">
        <v>98</v>
      </c>
      <c r="S74" s="2" t="s">
        <v>98</v>
      </c>
      <c r="T74" s="2" t="s">
        <v>98</v>
      </c>
      <c r="U74" s="2" t="s">
        <v>117</v>
      </c>
      <c r="V74" s="2" t="s">
        <v>313</v>
      </c>
      <c r="W74" s="2" t="s">
        <v>529</v>
      </c>
      <c r="X74" s="2" t="s">
        <v>340</v>
      </c>
      <c r="Y74" s="2" t="s">
        <v>536</v>
      </c>
      <c r="Z74" s="4">
        <v>149</v>
      </c>
      <c r="AA74" s="4">
        <f>=ROUNDDOWN(49.6666666666667,0)</f>
      </c>
      <c r="AB74" s="5">
        <v>3</v>
      </c>
      <c r="AC74" s="2" t="s">
        <v>98</v>
      </c>
      <c r="AD74" s="4"/>
      <c r="AE74" s="4"/>
      <c r="AF74" s="6">
        <v>63</v>
      </c>
      <c r="AG74" s="6"/>
      <c r="AH74" s="7">
        <v>1</v>
      </c>
      <c r="AI74" s="4"/>
      <c r="AJ74" s="4">
        <f>=ROUNDDOWN({0},0)</f>
      </c>
      <c r="AK74" s="5"/>
      <c r="AL74" s="2" t="s">
        <v>98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 t="s">
        <v>98</v>
      </c>
      <c r="BD74" s="8" t="s">
        <v>98</v>
      </c>
      <c r="BE74" s="4" t="s">
        <v>98</v>
      </c>
      <c r="BF74" s="8" t="s">
        <v>98</v>
      </c>
      <c r="BG74" s="7" t="s">
        <v>98</v>
      </c>
      <c r="BH74" s="7" t="s">
        <v>98</v>
      </c>
      <c r="BI74" s="7"/>
      <c r="BJ74" s="4"/>
      <c r="BK74" s="8"/>
      <c r="BL74" s="2" t="s">
        <v>98</v>
      </c>
      <c r="BM74" s="7"/>
      <c r="BN74" s="7"/>
      <c r="BO74" s="4"/>
      <c r="BP74" s="8"/>
      <c r="BQ74" s="4"/>
      <c r="BR74" s="8"/>
      <c r="BS74" s="7"/>
      <c r="BT74" s="7"/>
      <c r="BU74" s="2" t="s">
        <v>107</v>
      </c>
      <c r="BV74" s="2" t="s">
        <v>95</v>
      </c>
      <c r="BW74" s="2" t="s">
        <v>300</v>
      </c>
      <c r="BX74" s="2" t="s">
        <v>574</v>
      </c>
      <c r="BY74" s="2" t="s">
        <v>110</v>
      </c>
      <c r="BZ74" s="2" t="s">
        <v>98</v>
      </c>
    </row>
    <row r="75">
      <c r="A75" s="2" t="s">
        <v>575</v>
      </c>
      <c r="B75" s="2" t="s">
        <v>87</v>
      </c>
      <c r="C75" s="2" t="s">
        <v>88</v>
      </c>
      <c r="D75" s="2" t="s">
        <v>525</v>
      </c>
      <c r="E75" s="2" t="s">
        <v>525</v>
      </c>
      <c r="F75" s="2" t="s">
        <v>564</v>
      </c>
      <c r="G75" s="2" t="s">
        <v>564</v>
      </c>
      <c r="H75" s="2" t="s">
        <v>564</v>
      </c>
      <c r="I75" s="2" t="s">
        <v>576</v>
      </c>
      <c r="J75" s="2" t="s">
        <v>93</v>
      </c>
      <c r="K75" s="2" t="s">
        <v>577</v>
      </c>
      <c r="L75" s="3">
        <v>6.66</v>
      </c>
      <c r="M75" s="3">
        <v>6.99</v>
      </c>
      <c r="N75" s="3">
        <v>19.99</v>
      </c>
      <c r="O75" s="2" t="s">
        <v>95</v>
      </c>
      <c r="P75" s="2" t="s">
        <v>134</v>
      </c>
      <c r="Q75" s="2" t="s">
        <v>97</v>
      </c>
      <c r="R75" s="2" t="s">
        <v>98</v>
      </c>
      <c r="S75" s="2" t="s">
        <v>98</v>
      </c>
      <c r="T75" s="2" t="s">
        <v>98</v>
      </c>
      <c r="U75" s="2" t="s">
        <v>117</v>
      </c>
      <c r="V75" s="2" t="s">
        <v>313</v>
      </c>
      <c r="W75" s="2" t="s">
        <v>529</v>
      </c>
      <c r="X75" s="2" t="s">
        <v>340</v>
      </c>
      <c r="Y75" s="2" t="s">
        <v>530</v>
      </c>
      <c r="Z75" s="4">
        <v>399</v>
      </c>
      <c r="AA75" s="4">
        <f>=ROUNDDOWN(66.5,0)</f>
      </c>
      <c r="AB75" s="5">
        <v>6</v>
      </c>
      <c r="AC75" s="2" t="s">
        <v>98</v>
      </c>
      <c r="AD75" s="4"/>
      <c r="AE75" s="4"/>
      <c r="AF75" s="6">
        <v>63</v>
      </c>
      <c r="AG75" s="6"/>
      <c r="AH75" s="7">
        <v>1</v>
      </c>
      <c r="AI75" s="4"/>
      <c r="AJ75" s="4">
        <f>=ROUNDDOWN({0},0)</f>
      </c>
      <c r="AK75" s="5"/>
      <c r="AL75" s="2" t="s">
        <v>98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98</v>
      </c>
      <c r="BD75" s="8" t="s">
        <v>98</v>
      </c>
      <c r="BE75" s="4" t="s">
        <v>98</v>
      </c>
      <c r="BF75" s="8" t="s">
        <v>98</v>
      </c>
      <c r="BG75" s="7" t="s">
        <v>98</v>
      </c>
      <c r="BH75" s="7" t="s">
        <v>98</v>
      </c>
      <c r="BI75" s="7"/>
      <c r="BJ75" s="4"/>
      <c r="BK75" s="8"/>
      <c r="BL75" s="2" t="s">
        <v>98</v>
      </c>
      <c r="BM75" s="7"/>
      <c r="BN75" s="7"/>
      <c r="BO75" s="4"/>
      <c r="BP75" s="8"/>
      <c r="BQ75" s="4"/>
      <c r="BR75" s="8"/>
      <c r="BS75" s="7"/>
      <c r="BT75" s="7"/>
      <c r="BU75" s="2" t="s">
        <v>107</v>
      </c>
      <c r="BV75" s="2" t="s">
        <v>95</v>
      </c>
      <c r="BW75" s="2" t="s">
        <v>578</v>
      </c>
      <c r="BX75" s="2" t="s">
        <v>98</v>
      </c>
      <c r="BY75" s="2" t="s">
        <v>110</v>
      </c>
      <c r="BZ75" s="2" t="s">
        <v>98</v>
      </c>
    </row>
    <row r="76">
      <c r="A76" s="2" t="s">
        <v>579</v>
      </c>
      <c r="B76" s="2" t="s">
        <v>87</v>
      </c>
      <c r="C76" s="2" t="s">
        <v>88</v>
      </c>
      <c r="D76" s="2" t="s">
        <v>525</v>
      </c>
      <c r="E76" s="2" t="s">
        <v>525</v>
      </c>
      <c r="F76" s="2" t="s">
        <v>564</v>
      </c>
      <c r="G76" s="2" t="s">
        <v>564</v>
      </c>
      <c r="H76" s="2" t="s">
        <v>564</v>
      </c>
      <c r="I76" s="2" t="s">
        <v>580</v>
      </c>
      <c r="J76" s="2" t="s">
        <v>93</v>
      </c>
      <c r="K76" s="2" t="s">
        <v>581</v>
      </c>
      <c r="L76" s="3">
        <v>6.66</v>
      </c>
      <c r="M76" s="3">
        <v>6.99</v>
      </c>
      <c r="N76" s="3">
        <v>19.99</v>
      </c>
      <c r="O76" s="2" t="s">
        <v>95</v>
      </c>
      <c r="P76" s="2" t="s">
        <v>295</v>
      </c>
      <c r="Q76" s="2" t="s">
        <v>97</v>
      </c>
      <c r="R76" s="2" t="s">
        <v>98</v>
      </c>
      <c r="S76" s="2" t="s">
        <v>98</v>
      </c>
      <c r="T76" s="2" t="s">
        <v>98</v>
      </c>
      <c r="U76" s="2" t="s">
        <v>117</v>
      </c>
      <c r="V76" s="2" t="s">
        <v>313</v>
      </c>
      <c r="W76" s="2" t="s">
        <v>529</v>
      </c>
      <c r="X76" s="2" t="s">
        <v>340</v>
      </c>
      <c r="Y76" s="2" t="s">
        <v>530</v>
      </c>
      <c r="Z76" s="4">
        <v>133</v>
      </c>
      <c r="AA76" s="4">
        <f>=ROUNDDOWN(22.1666666666667,0)</f>
      </c>
      <c r="AB76" s="5">
        <v>6</v>
      </c>
      <c r="AC76" s="2" t="s">
        <v>342</v>
      </c>
      <c r="AD76" s="4">
        <v>50</v>
      </c>
      <c r="AE76" s="4">
        <v>50</v>
      </c>
      <c r="AF76" s="6">
        <v>63</v>
      </c>
      <c r="AG76" s="6"/>
      <c r="AH76" s="7">
        <v>1</v>
      </c>
      <c r="AI76" s="4"/>
      <c r="AJ76" s="4">
        <f>=ROUNDDOWN({0},0)</f>
      </c>
      <c r="AK76" s="5"/>
      <c r="AL76" s="2" t="s">
        <v>98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 t="s">
        <v>98</v>
      </c>
      <c r="BD76" s="8" t="s">
        <v>98</v>
      </c>
      <c r="BE76" s="4" t="s">
        <v>98</v>
      </c>
      <c r="BF76" s="8" t="s">
        <v>98</v>
      </c>
      <c r="BG76" s="7" t="s">
        <v>98</v>
      </c>
      <c r="BH76" s="7" t="s">
        <v>98</v>
      </c>
      <c r="BI76" s="7"/>
      <c r="BJ76" s="4">
        <v>1</v>
      </c>
      <c r="BK76" s="8">
        <v>9</v>
      </c>
      <c r="BL76" s="2" t="s">
        <v>307</v>
      </c>
      <c r="BM76" s="7"/>
      <c r="BN76" s="7"/>
      <c r="BO76" s="4"/>
      <c r="BP76" s="8"/>
      <c r="BQ76" s="4"/>
      <c r="BR76" s="8"/>
      <c r="BS76" s="7"/>
      <c r="BT76" s="7"/>
      <c r="BU76" s="2" t="s">
        <v>107</v>
      </c>
      <c r="BV76" s="2" t="s">
        <v>95</v>
      </c>
      <c r="BW76" s="2" t="s">
        <v>300</v>
      </c>
      <c r="BX76" s="2" t="s">
        <v>98</v>
      </c>
      <c r="BY76" s="2" t="s">
        <v>110</v>
      </c>
      <c r="BZ76" s="2" t="s">
        <v>98</v>
      </c>
    </row>
    <row r="77">
      <c r="A77" s="2" t="s">
        <v>582</v>
      </c>
      <c r="B77" s="2" t="s">
        <v>87</v>
      </c>
      <c r="C77" s="2" t="s">
        <v>88</v>
      </c>
      <c r="D77" s="2" t="s">
        <v>525</v>
      </c>
      <c r="E77" s="2" t="s">
        <v>525</v>
      </c>
      <c r="F77" s="2" t="s">
        <v>564</v>
      </c>
      <c r="G77" s="2" t="s">
        <v>564</v>
      </c>
      <c r="H77" s="2" t="s">
        <v>564</v>
      </c>
      <c r="I77" s="2" t="s">
        <v>583</v>
      </c>
      <c r="J77" s="2" t="s">
        <v>93</v>
      </c>
      <c r="K77" s="2" t="s">
        <v>584</v>
      </c>
      <c r="L77" s="3">
        <v>6.66</v>
      </c>
      <c r="M77" s="3">
        <v>6.99</v>
      </c>
      <c r="N77" s="3">
        <v>19.99</v>
      </c>
      <c r="O77" s="2" t="s">
        <v>95</v>
      </c>
      <c r="P77" s="2" t="s">
        <v>295</v>
      </c>
      <c r="Q77" s="2" t="s">
        <v>97</v>
      </c>
      <c r="R77" s="2" t="s">
        <v>98</v>
      </c>
      <c r="S77" s="2" t="s">
        <v>98</v>
      </c>
      <c r="T77" s="2" t="s">
        <v>98</v>
      </c>
      <c r="U77" s="2" t="s">
        <v>117</v>
      </c>
      <c r="V77" s="2" t="s">
        <v>313</v>
      </c>
      <c r="W77" s="2" t="s">
        <v>529</v>
      </c>
      <c r="X77" s="2" t="s">
        <v>340</v>
      </c>
      <c r="Y77" s="2" t="s">
        <v>530</v>
      </c>
      <c r="Z77" s="4">
        <v>127</v>
      </c>
      <c r="AA77" s="4">
        <f>=ROUNDDOWN(25.4,0)</f>
      </c>
      <c r="AB77" s="5">
        <v>5</v>
      </c>
      <c r="AC77" s="2" t="s">
        <v>98</v>
      </c>
      <c r="AD77" s="4"/>
      <c r="AE77" s="4"/>
      <c r="AF77" s="6">
        <v>63</v>
      </c>
      <c r="AG77" s="6"/>
      <c r="AH77" s="7">
        <v>1</v>
      </c>
      <c r="AI77" s="4"/>
      <c r="AJ77" s="4">
        <f>=ROUNDDOWN({0},0)</f>
      </c>
      <c r="AK77" s="5"/>
      <c r="AL77" s="2" t="s">
        <v>98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 t="s">
        <v>98</v>
      </c>
      <c r="BD77" s="8" t="s">
        <v>98</v>
      </c>
      <c r="BE77" s="4" t="s">
        <v>98</v>
      </c>
      <c r="BF77" s="8" t="s">
        <v>98</v>
      </c>
      <c r="BG77" s="7" t="s">
        <v>98</v>
      </c>
      <c r="BH77" s="7" t="s">
        <v>98</v>
      </c>
      <c r="BI77" s="7"/>
      <c r="BJ77" s="4"/>
      <c r="BK77" s="8"/>
      <c r="BL77" s="2" t="s">
        <v>98</v>
      </c>
      <c r="BM77" s="7"/>
      <c r="BN77" s="7"/>
      <c r="BO77" s="4"/>
      <c r="BP77" s="8"/>
      <c r="BQ77" s="4"/>
      <c r="BR77" s="8"/>
      <c r="BS77" s="7"/>
      <c r="BT77" s="7"/>
      <c r="BU77" s="2" t="s">
        <v>107</v>
      </c>
      <c r="BV77" s="2" t="s">
        <v>95</v>
      </c>
      <c r="BW77" s="2" t="s">
        <v>300</v>
      </c>
      <c r="BX77" s="2" t="s">
        <v>98</v>
      </c>
      <c r="BY77" s="2" t="s">
        <v>110</v>
      </c>
      <c r="BZ77" s="2" t="s">
        <v>98</v>
      </c>
    </row>
    <row r="78">
      <c r="A78" s="2" t="s">
        <v>585</v>
      </c>
      <c r="B78" s="2" t="s">
        <v>87</v>
      </c>
      <c r="C78" s="2" t="s">
        <v>88</v>
      </c>
      <c r="D78" s="2" t="s">
        <v>525</v>
      </c>
      <c r="E78" s="2" t="s">
        <v>525</v>
      </c>
      <c r="F78" s="2" t="s">
        <v>586</v>
      </c>
      <c r="G78" s="2" t="s">
        <v>586</v>
      </c>
      <c r="H78" s="2" t="s">
        <v>586</v>
      </c>
      <c r="I78" s="2" t="s">
        <v>587</v>
      </c>
      <c r="J78" s="2" t="s">
        <v>93</v>
      </c>
      <c r="K78" s="2" t="s">
        <v>588</v>
      </c>
      <c r="L78" s="3">
        <v>63.9</v>
      </c>
      <c r="M78" s="3">
        <v>67.1</v>
      </c>
      <c r="N78" s="3">
        <v>127.49</v>
      </c>
      <c r="O78" s="2" t="s">
        <v>95</v>
      </c>
      <c r="P78" s="2" t="s">
        <v>115</v>
      </c>
      <c r="Q78" s="2" t="s">
        <v>97</v>
      </c>
      <c r="R78" s="2" t="s">
        <v>98</v>
      </c>
      <c r="S78" s="2" t="s">
        <v>589</v>
      </c>
      <c r="T78" s="2" t="s">
        <v>98</v>
      </c>
      <c r="U78" s="2" t="s">
        <v>157</v>
      </c>
      <c r="V78" s="2" t="s">
        <v>331</v>
      </c>
      <c r="W78" s="2" t="s">
        <v>102</v>
      </c>
      <c r="X78" s="2" t="s">
        <v>102</v>
      </c>
      <c r="Y78" s="2" t="s">
        <v>590</v>
      </c>
      <c r="Z78" s="4">
        <v>19</v>
      </c>
      <c r="AA78" s="4">
        <f>=ROUNDDOWN(4.75,0)</f>
      </c>
      <c r="AB78" s="5">
        <v>4</v>
      </c>
      <c r="AC78" s="2" t="s">
        <v>98</v>
      </c>
      <c r="AD78" s="4"/>
      <c r="AE78" s="4"/>
      <c r="AF78" s="6">
        <v>63</v>
      </c>
      <c r="AG78" s="6"/>
      <c r="AH78" s="7">
        <v>1</v>
      </c>
      <c r="AI78" s="4"/>
      <c r="AJ78" s="4">
        <f>=ROUNDDOWN({0},0)</f>
      </c>
      <c r="AK78" s="5"/>
      <c r="AL78" s="2" t="s">
        <v>98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/>
      <c r="BD78" s="8"/>
      <c r="BE78" s="4"/>
      <c r="BF78" s="8"/>
      <c r="BG78" s="7"/>
      <c r="BH78" s="7"/>
      <c r="BI78" s="7"/>
      <c r="BJ78" s="4">
        <v>4</v>
      </c>
      <c r="BK78" s="8">
        <v>285.6</v>
      </c>
      <c r="BL78" s="2" t="s">
        <v>591</v>
      </c>
      <c r="BM78" s="7"/>
      <c r="BN78" s="7"/>
      <c r="BO78" s="4"/>
      <c r="BP78" s="8"/>
      <c r="BQ78" s="4"/>
      <c r="BR78" s="8"/>
      <c r="BS78" s="7"/>
      <c r="BT78" s="7"/>
      <c r="BU78" s="2" t="s">
        <v>107</v>
      </c>
      <c r="BV78" s="2" t="s">
        <v>95</v>
      </c>
      <c r="BW78" s="2" t="s">
        <v>317</v>
      </c>
      <c r="BX78" s="2" t="s">
        <v>318</v>
      </c>
      <c r="BY78" s="2" t="s">
        <v>110</v>
      </c>
      <c r="BZ78" s="2" t="s">
        <v>98</v>
      </c>
    </row>
    <row r="79">
      <c r="A79" s="2" t="s">
        <v>592</v>
      </c>
      <c r="B79" s="2" t="s">
        <v>87</v>
      </c>
      <c r="C79" s="2" t="s">
        <v>88</v>
      </c>
      <c r="D79" s="2" t="s">
        <v>525</v>
      </c>
      <c r="E79" s="2" t="s">
        <v>525</v>
      </c>
      <c r="F79" s="2" t="s">
        <v>593</v>
      </c>
      <c r="G79" s="2" t="s">
        <v>593</v>
      </c>
      <c r="H79" s="2" t="s">
        <v>593</v>
      </c>
      <c r="I79" s="2" t="s">
        <v>594</v>
      </c>
      <c r="J79" s="2" t="s">
        <v>93</v>
      </c>
      <c r="K79" s="2" t="s">
        <v>595</v>
      </c>
      <c r="L79" s="3">
        <v>57.82</v>
      </c>
      <c r="M79" s="3">
        <v>60.71</v>
      </c>
      <c r="N79" s="3">
        <v>127.49</v>
      </c>
      <c r="O79" s="2" t="s">
        <v>95</v>
      </c>
      <c r="P79" s="2" t="s">
        <v>163</v>
      </c>
      <c r="Q79" s="2" t="s">
        <v>97</v>
      </c>
      <c r="R79" s="2" t="s">
        <v>98</v>
      </c>
      <c r="S79" s="2" t="s">
        <v>596</v>
      </c>
      <c r="T79" s="2" t="s">
        <v>98</v>
      </c>
      <c r="U79" s="2" t="s">
        <v>157</v>
      </c>
      <c r="V79" s="2" t="s">
        <v>486</v>
      </c>
      <c r="W79" s="2" t="s">
        <v>103</v>
      </c>
      <c r="X79" s="2" t="s">
        <v>98</v>
      </c>
      <c r="Y79" s="2" t="s">
        <v>597</v>
      </c>
      <c r="Z79" s="4">
        <v>59</v>
      </c>
      <c r="AA79" s="4">
        <f>=ROUNDDOWN(5.36363636363636,0)</f>
      </c>
      <c r="AB79" s="5">
        <v>11</v>
      </c>
      <c r="AC79" s="2" t="s">
        <v>598</v>
      </c>
      <c r="AD79" s="4">
        <v>270</v>
      </c>
      <c r="AE79" s="4">
        <v>270</v>
      </c>
      <c r="AF79" s="6">
        <v>63</v>
      </c>
      <c r="AG79" s="6"/>
      <c r="AH79" s="7">
        <v>1</v>
      </c>
      <c r="AI79" s="4"/>
      <c r="AJ79" s="4">
        <f>=ROUNDDOWN({0},0)</f>
      </c>
      <c r="AK79" s="5"/>
      <c r="AL79" s="2" t="s">
        <v>98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/>
      <c r="BD79" s="8"/>
      <c r="BE79" s="4"/>
      <c r="BF79" s="8"/>
      <c r="BG79" s="7"/>
      <c r="BH79" s="7"/>
      <c r="BI79" s="7"/>
      <c r="BJ79" s="4">
        <v>6</v>
      </c>
      <c r="BK79" s="8">
        <v>441.04</v>
      </c>
      <c r="BL79" s="2" t="s">
        <v>599</v>
      </c>
      <c r="BM79" s="7"/>
      <c r="BN79" s="7"/>
      <c r="BO79" s="4"/>
      <c r="BP79" s="8"/>
      <c r="BQ79" s="4"/>
      <c r="BR79" s="8"/>
      <c r="BS79" s="7"/>
      <c r="BT79" s="7"/>
      <c r="BU79" s="2" t="s">
        <v>107</v>
      </c>
      <c r="BV79" s="2" t="s">
        <v>95</v>
      </c>
      <c r="BW79" s="2" t="s">
        <v>206</v>
      </c>
      <c r="BX79" s="2" t="s">
        <v>600</v>
      </c>
      <c r="BY79" s="2" t="s">
        <v>110</v>
      </c>
      <c r="BZ79" s="2" t="s">
        <v>98</v>
      </c>
    </row>
    <row r="80">
      <c r="A80" s="2" t="s">
        <v>601</v>
      </c>
      <c r="B80" s="2" t="s">
        <v>87</v>
      </c>
      <c r="C80" s="2" t="s">
        <v>88</v>
      </c>
      <c r="D80" s="2" t="s">
        <v>525</v>
      </c>
      <c r="E80" s="2" t="s">
        <v>525</v>
      </c>
      <c r="F80" s="2" t="s">
        <v>602</v>
      </c>
      <c r="G80" s="2" t="s">
        <v>98</v>
      </c>
      <c r="H80" s="2" t="s">
        <v>98</v>
      </c>
      <c r="I80" s="2" t="s">
        <v>603</v>
      </c>
      <c r="J80" s="2" t="s">
        <v>93</v>
      </c>
      <c r="K80" s="2" t="s">
        <v>604</v>
      </c>
      <c r="L80" s="3">
        <v>38</v>
      </c>
      <c r="M80" s="3">
        <v>39.9</v>
      </c>
      <c r="N80" s="3">
        <v>79.99</v>
      </c>
      <c r="O80" s="2" t="s">
        <v>155</v>
      </c>
      <c r="P80" s="2" t="s">
        <v>115</v>
      </c>
      <c r="Q80" s="2" t="s">
        <v>97</v>
      </c>
      <c r="R80" s="2" t="s">
        <v>98</v>
      </c>
      <c r="S80" s="2" t="s">
        <v>605</v>
      </c>
      <c r="T80" s="2" t="s">
        <v>98</v>
      </c>
      <c r="U80" s="2" t="s">
        <v>117</v>
      </c>
      <c r="V80" s="2" t="s">
        <v>331</v>
      </c>
      <c r="W80" s="2" t="s">
        <v>102</v>
      </c>
      <c r="X80" s="2" t="s">
        <v>98</v>
      </c>
      <c r="Y80" s="2" t="s">
        <v>366</v>
      </c>
      <c r="Z80" s="4">
        <v>30</v>
      </c>
      <c r="AA80" s="4">
        <f>=ROUNDDOWN(150,0)</f>
      </c>
      <c r="AB80" s="5">
        <v>0.2</v>
      </c>
      <c r="AC80" s="2" t="s">
        <v>98</v>
      </c>
      <c r="AD80" s="4"/>
      <c r="AE80" s="4"/>
      <c r="AF80" s="6">
        <v>63</v>
      </c>
      <c r="AG80" s="6"/>
      <c r="AH80" s="7">
        <v>1</v>
      </c>
      <c r="AI80" s="4"/>
      <c r="AJ80" s="4">
        <f>=ROUNDDOWN({0},0)</f>
      </c>
      <c r="AK80" s="5"/>
      <c r="AL80" s="2" t="s">
        <v>98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/>
      <c r="BD80" s="8"/>
      <c r="BE80" s="4"/>
      <c r="BF80" s="8"/>
      <c r="BG80" s="7"/>
      <c r="BH80" s="7"/>
      <c r="BI80" s="7"/>
      <c r="BJ80" s="4"/>
      <c r="BK80" s="8"/>
      <c r="BL80" s="2" t="s">
        <v>269</v>
      </c>
      <c r="BM80" s="7"/>
      <c r="BN80" s="7"/>
      <c r="BO80" s="4"/>
      <c r="BP80" s="8"/>
      <c r="BQ80" s="4"/>
      <c r="BR80" s="8"/>
      <c r="BS80" s="7"/>
      <c r="BT80" s="7"/>
      <c r="BU80" s="2" t="s">
        <v>107</v>
      </c>
      <c r="BV80" s="2" t="s">
        <v>95</v>
      </c>
      <c r="BW80" s="2" t="s">
        <v>368</v>
      </c>
      <c r="BX80" s="2" t="s">
        <v>606</v>
      </c>
      <c r="BY80" s="2" t="s">
        <v>110</v>
      </c>
      <c r="BZ80" s="2" t="s">
        <v>98</v>
      </c>
    </row>
    <row r="81">
      <c r="A81" s="2" t="s">
        <v>607</v>
      </c>
      <c r="B81" s="2" t="s">
        <v>87</v>
      </c>
      <c r="C81" s="2" t="s">
        <v>88</v>
      </c>
      <c r="D81" s="2" t="s">
        <v>525</v>
      </c>
      <c r="E81" s="2" t="s">
        <v>525</v>
      </c>
      <c r="F81" s="2" t="s">
        <v>608</v>
      </c>
      <c r="G81" s="2" t="s">
        <v>608</v>
      </c>
      <c r="H81" s="2" t="s">
        <v>608</v>
      </c>
      <c r="I81" s="2" t="s">
        <v>609</v>
      </c>
      <c r="J81" s="2" t="s">
        <v>93</v>
      </c>
      <c r="K81" s="2" t="s">
        <v>610</v>
      </c>
      <c r="L81" s="3">
        <v>45.74</v>
      </c>
      <c r="M81" s="3">
        <v>48.03</v>
      </c>
      <c r="N81" s="3">
        <v>89.24</v>
      </c>
      <c r="O81" s="2" t="s">
        <v>95</v>
      </c>
      <c r="P81" s="2" t="s">
        <v>134</v>
      </c>
      <c r="Q81" s="2" t="s">
        <v>97</v>
      </c>
      <c r="R81" s="2" t="s">
        <v>98</v>
      </c>
      <c r="S81" s="2" t="s">
        <v>611</v>
      </c>
      <c r="T81" s="2" t="s">
        <v>98</v>
      </c>
      <c r="U81" s="2" t="s">
        <v>157</v>
      </c>
      <c r="V81" s="2" t="s">
        <v>331</v>
      </c>
      <c r="W81" s="2" t="s">
        <v>103</v>
      </c>
      <c r="X81" s="2" t="s">
        <v>98</v>
      </c>
      <c r="Y81" s="2" t="s">
        <v>612</v>
      </c>
      <c r="Z81" s="4">
        <v>40</v>
      </c>
      <c r="AA81" s="4">
        <f>=ROUNDDOWN(10,0)</f>
      </c>
      <c r="AB81" s="5">
        <v>4</v>
      </c>
      <c r="AC81" s="2" t="s">
        <v>342</v>
      </c>
      <c r="AD81" s="4">
        <v>100</v>
      </c>
      <c r="AE81" s="4">
        <v>100</v>
      </c>
      <c r="AF81" s="6">
        <v>63</v>
      </c>
      <c r="AG81" s="6"/>
      <c r="AH81" s="7">
        <v>1</v>
      </c>
      <c r="AI81" s="4"/>
      <c r="AJ81" s="4">
        <f>=ROUNDDOWN({0},0)</f>
      </c>
      <c r="AK81" s="5"/>
      <c r="AL81" s="2" t="s">
        <v>98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98</v>
      </c>
      <c r="BD81" s="8" t="s">
        <v>98</v>
      </c>
      <c r="BE81" s="4" t="s">
        <v>98</v>
      </c>
      <c r="BF81" s="8" t="s">
        <v>98</v>
      </c>
      <c r="BG81" s="7" t="s">
        <v>98</v>
      </c>
      <c r="BH81" s="7" t="s">
        <v>98</v>
      </c>
      <c r="BI81" s="7"/>
      <c r="BJ81" s="4">
        <v>4</v>
      </c>
      <c r="BK81" s="8">
        <v>218.04</v>
      </c>
      <c r="BL81" s="2" t="s">
        <v>613</v>
      </c>
      <c r="BM81" s="7"/>
      <c r="BN81" s="7"/>
      <c r="BO81" s="4"/>
      <c r="BP81" s="8"/>
      <c r="BQ81" s="4"/>
      <c r="BR81" s="8"/>
      <c r="BS81" s="7"/>
      <c r="BT81" s="7"/>
      <c r="BU81" s="2" t="s">
        <v>107</v>
      </c>
      <c r="BV81" s="2" t="s">
        <v>95</v>
      </c>
      <c r="BW81" s="2" t="s">
        <v>317</v>
      </c>
      <c r="BX81" s="2" t="s">
        <v>614</v>
      </c>
      <c r="BY81" s="2" t="s">
        <v>110</v>
      </c>
      <c r="BZ81" s="2" t="s">
        <v>98</v>
      </c>
    </row>
    <row r="82">
      <c r="A82" s="2" t="s">
        <v>615</v>
      </c>
      <c r="B82" s="2" t="s">
        <v>87</v>
      </c>
      <c r="C82" s="2" t="s">
        <v>88</v>
      </c>
      <c r="D82" s="2" t="s">
        <v>525</v>
      </c>
      <c r="E82" s="2" t="s">
        <v>525</v>
      </c>
      <c r="F82" s="2" t="s">
        <v>608</v>
      </c>
      <c r="G82" s="2" t="s">
        <v>608</v>
      </c>
      <c r="H82" s="2" t="s">
        <v>608</v>
      </c>
      <c r="I82" s="2" t="s">
        <v>609</v>
      </c>
      <c r="J82" s="2" t="s">
        <v>93</v>
      </c>
      <c r="K82" s="2" t="s">
        <v>616</v>
      </c>
      <c r="L82" s="3">
        <v>45.74</v>
      </c>
      <c r="M82" s="3">
        <v>48.03</v>
      </c>
      <c r="N82" s="3">
        <v>89.24</v>
      </c>
      <c r="O82" s="2" t="s">
        <v>95</v>
      </c>
      <c r="P82" s="2" t="s">
        <v>134</v>
      </c>
      <c r="Q82" s="2" t="s">
        <v>97</v>
      </c>
      <c r="R82" s="2" t="s">
        <v>98</v>
      </c>
      <c r="S82" s="2" t="s">
        <v>617</v>
      </c>
      <c r="T82" s="2" t="s">
        <v>98</v>
      </c>
      <c r="U82" s="2" t="s">
        <v>157</v>
      </c>
      <c r="V82" s="2" t="s">
        <v>331</v>
      </c>
      <c r="W82" s="2" t="s">
        <v>103</v>
      </c>
      <c r="X82" s="2" t="s">
        <v>98</v>
      </c>
      <c r="Y82" s="2" t="s">
        <v>618</v>
      </c>
      <c r="Z82" s="4">
        <v>121</v>
      </c>
      <c r="AA82" s="4">
        <f>=ROUNDDOWN(13.75,0)</f>
      </c>
      <c r="AB82" s="5">
        <v>8.8</v>
      </c>
      <c r="AC82" s="2" t="s">
        <v>98</v>
      </c>
      <c r="AD82" s="4"/>
      <c r="AE82" s="4"/>
      <c r="AF82" s="6">
        <v>63</v>
      </c>
      <c r="AG82" s="6"/>
      <c r="AH82" s="7">
        <v>1</v>
      </c>
      <c r="AI82" s="4"/>
      <c r="AJ82" s="4">
        <f>=ROUNDDOWN({0},0)</f>
      </c>
      <c r="AK82" s="5"/>
      <c r="AL82" s="2" t="s">
        <v>98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 t="s">
        <v>98</v>
      </c>
      <c r="BD82" s="8" t="s">
        <v>98</v>
      </c>
      <c r="BE82" s="4" t="s">
        <v>98</v>
      </c>
      <c r="BF82" s="8" t="s">
        <v>98</v>
      </c>
      <c r="BG82" s="7" t="s">
        <v>98</v>
      </c>
      <c r="BH82" s="7" t="s">
        <v>98</v>
      </c>
      <c r="BI82" s="7"/>
      <c r="BJ82" s="4">
        <v>6</v>
      </c>
      <c r="BK82" s="8">
        <v>345.01</v>
      </c>
      <c r="BL82" s="2" t="s">
        <v>619</v>
      </c>
      <c r="BM82" s="7"/>
      <c r="BN82" s="7"/>
      <c r="BO82" s="4"/>
      <c r="BP82" s="8"/>
      <c r="BQ82" s="4"/>
      <c r="BR82" s="8"/>
      <c r="BS82" s="7"/>
      <c r="BT82" s="7"/>
      <c r="BU82" s="2" t="s">
        <v>107</v>
      </c>
      <c r="BV82" s="2" t="s">
        <v>95</v>
      </c>
      <c r="BW82" s="2" t="s">
        <v>368</v>
      </c>
      <c r="BX82" s="2" t="s">
        <v>620</v>
      </c>
      <c r="BY82" s="2" t="s">
        <v>110</v>
      </c>
      <c r="BZ82" s="2" t="s">
        <v>98</v>
      </c>
    </row>
    <row r="83">
      <c r="A83" s="2" t="s">
        <v>621</v>
      </c>
      <c r="B83" s="2" t="s">
        <v>87</v>
      </c>
      <c r="C83" s="2" t="s">
        <v>88</v>
      </c>
      <c r="D83" s="2" t="s">
        <v>525</v>
      </c>
      <c r="E83" s="2" t="s">
        <v>525</v>
      </c>
      <c r="F83" s="2" t="s">
        <v>608</v>
      </c>
      <c r="G83" s="2" t="s">
        <v>608</v>
      </c>
      <c r="H83" s="2" t="s">
        <v>608</v>
      </c>
      <c r="I83" s="2" t="s">
        <v>609</v>
      </c>
      <c r="J83" s="2" t="s">
        <v>93</v>
      </c>
      <c r="K83" s="2" t="s">
        <v>622</v>
      </c>
      <c r="L83" s="3">
        <v>45.74</v>
      </c>
      <c r="M83" s="3">
        <v>48.03</v>
      </c>
      <c r="N83" s="3">
        <v>89.24</v>
      </c>
      <c r="O83" s="2" t="s">
        <v>95</v>
      </c>
      <c r="P83" s="2" t="s">
        <v>134</v>
      </c>
      <c r="Q83" s="2" t="s">
        <v>97</v>
      </c>
      <c r="R83" s="2" t="s">
        <v>98</v>
      </c>
      <c r="S83" s="2" t="s">
        <v>623</v>
      </c>
      <c r="T83" s="2" t="s">
        <v>98</v>
      </c>
      <c r="U83" s="2" t="s">
        <v>157</v>
      </c>
      <c r="V83" s="2" t="s">
        <v>331</v>
      </c>
      <c r="W83" s="2" t="s">
        <v>103</v>
      </c>
      <c r="X83" s="2" t="s">
        <v>98</v>
      </c>
      <c r="Y83" s="2" t="s">
        <v>366</v>
      </c>
      <c r="Z83" s="4">
        <v>88</v>
      </c>
      <c r="AA83" s="4">
        <f>=ROUNDDOWN(17.6,0)</f>
      </c>
      <c r="AB83" s="5">
        <v>5</v>
      </c>
      <c r="AC83" s="2" t="s">
        <v>177</v>
      </c>
      <c r="AD83" s="4">
        <v>120</v>
      </c>
      <c r="AE83" s="4">
        <v>120</v>
      </c>
      <c r="AF83" s="6">
        <v>63</v>
      </c>
      <c r="AG83" s="6"/>
      <c r="AH83" s="7">
        <v>1</v>
      </c>
      <c r="AI83" s="4"/>
      <c r="AJ83" s="4">
        <f>=ROUNDDOWN({0},0)</f>
      </c>
      <c r="AK83" s="5"/>
      <c r="AL83" s="2" t="s">
        <v>98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98</v>
      </c>
      <c r="BD83" s="8" t="s">
        <v>98</v>
      </c>
      <c r="BE83" s="4" t="s">
        <v>98</v>
      </c>
      <c r="BF83" s="8" t="s">
        <v>98</v>
      </c>
      <c r="BG83" s="7" t="s">
        <v>98</v>
      </c>
      <c r="BH83" s="7" t="s">
        <v>98</v>
      </c>
      <c r="BI83" s="7"/>
      <c r="BJ83" s="4">
        <v>1</v>
      </c>
      <c r="BK83" s="8">
        <v>44.68</v>
      </c>
      <c r="BL83" s="2" t="s">
        <v>624</v>
      </c>
      <c r="BM83" s="7"/>
      <c r="BN83" s="7"/>
      <c r="BO83" s="4"/>
      <c r="BP83" s="8"/>
      <c r="BQ83" s="4"/>
      <c r="BR83" s="8"/>
      <c r="BS83" s="7"/>
      <c r="BT83" s="7"/>
      <c r="BU83" s="2" t="s">
        <v>107</v>
      </c>
      <c r="BV83" s="2" t="s">
        <v>95</v>
      </c>
      <c r="BW83" s="2" t="s">
        <v>368</v>
      </c>
      <c r="BX83" s="2" t="s">
        <v>625</v>
      </c>
      <c r="BY83" s="2" t="s">
        <v>110</v>
      </c>
      <c r="BZ83" s="2" t="s">
        <v>98</v>
      </c>
    </row>
    <row r="84">
      <c r="A84" s="2" t="s">
        <v>626</v>
      </c>
      <c r="B84" s="2" t="s">
        <v>87</v>
      </c>
      <c r="C84" s="2" t="s">
        <v>88</v>
      </c>
      <c r="D84" s="2" t="s">
        <v>525</v>
      </c>
      <c r="E84" s="2" t="s">
        <v>525</v>
      </c>
      <c r="F84" s="2" t="s">
        <v>627</v>
      </c>
      <c r="G84" s="2" t="s">
        <v>627</v>
      </c>
      <c r="H84" s="2" t="s">
        <v>627</v>
      </c>
      <c r="I84" s="2" t="s">
        <v>628</v>
      </c>
      <c r="J84" s="2" t="s">
        <v>93</v>
      </c>
      <c r="K84" s="2" t="s">
        <v>236</v>
      </c>
      <c r="L84" s="3">
        <v>49.63</v>
      </c>
      <c r="M84" s="3">
        <v>52.11</v>
      </c>
      <c r="N84" s="3">
        <v>96.04</v>
      </c>
      <c r="O84" s="2" t="s">
        <v>95</v>
      </c>
      <c r="P84" s="2" t="s">
        <v>163</v>
      </c>
      <c r="Q84" s="2" t="s">
        <v>97</v>
      </c>
      <c r="R84" s="2" t="s">
        <v>98</v>
      </c>
      <c r="S84" s="2" t="s">
        <v>629</v>
      </c>
      <c r="T84" s="2" t="s">
        <v>98</v>
      </c>
      <c r="U84" s="2" t="s">
        <v>157</v>
      </c>
      <c r="V84" s="2" t="s">
        <v>486</v>
      </c>
      <c r="W84" s="2" t="s">
        <v>103</v>
      </c>
      <c r="X84" s="2" t="s">
        <v>98</v>
      </c>
      <c r="Y84" s="2" t="s">
        <v>366</v>
      </c>
      <c r="Z84" s="4">
        <v>300</v>
      </c>
      <c r="AA84" s="4">
        <f>=ROUNDDOWN(13.0434782608696,0)</f>
      </c>
      <c r="AB84" s="5">
        <v>23</v>
      </c>
      <c r="AC84" s="2" t="s">
        <v>412</v>
      </c>
      <c r="AD84" s="4">
        <v>200</v>
      </c>
      <c r="AE84" s="4">
        <v>400</v>
      </c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98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/>
      <c r="BD84" s="8"/>
      <c r="BE84" s="4"/>
      <c r="BF84" s="8"/>
      <c r="BG84" s="7"/>
      <c r="BH84" s="7"/>
      <c r="BI84" s="7"/>
      <c r="BJ84" s="4">
        <v>7</v>
      </c>
      <c r="BK84" s="8">
        <v>421.37</v>
      </c>
      <c r="BL84" s="2" t="s">
        <v>630</v>
      </c>
      <c r="BM84" s="7"/>
      <c r="BN84" s="7"/>
      <c r="BO84" s="4"/>
      <c r="BP84" s="8"/>
      <c r="BQ84" s="4"/>
      <c r="BR84" s="8"/>
      <c r="BS84" s="7"/>
      <c r="BT84" s="7"/>
      <c r="BU84" s="2" t="s">
        <v>107</v>
      </c>
      <c r="BV84" s="2" t="s">
        <v>95</v>
      </c>
      <c r="BW84" s="2" t="s">
        <v>368</v>
      </c>
      <c r="BX84" s="2" t="s">
        <v>631</v>
      </c>
      <c r="BY84" s="2" t="s">
        <v>110</v>
      </c>
      <c r="BZ84" s="2" t="s">
        <v>98</v>
      </c>
    </row>
    <row r="85">
      <c r="A85" s="2" t="s">
        <v>632</v>
      </c>
      <c r="B85" s="2" t="s">
        <v>87</v>
      </c>
      <c r="C85" s="2" t="s">
        <v>88</v>
      </c>
      <c r="D85" s="2" t="s">
        <v>525</v>
      </c>
      <c r="E85" s="2" t="s">
        <v>525</v>
      </c>
      <c r="F85" s="2" t="s">
        <v>633</v>
      </c>
      <c r="G85" s="2" t="s">
        <v>633</v>
      </c>
      <c r="H85" s="2" t="s">
        <v>633</v>
      </c>
      <c r="I85" s="2" t="s">
        <v>634</v>
      </c>
      <c r="J85" s="2" t="s">
        <v>93</v>
      </c>
      <c r="K85" s="2" t="s">
        <v>294</v>
      </c>
      <c r="L85" s="3">
        <v>54.23</v>
      </c>
      <c r="M85" s="3">
        <v>56.94</v>
      </c>
      <c r="N85" s="3">
        <v>118.99</v>
      </c>
      <c r="O85" s="2" t="s">
        <v>95</v>
      </c>
      <c r="P85" s="2" t="s">
        <v>96</v>
      </c>
      <c r="Q85" s="2" t="s">
        <v>97</v>
      </c>
      <c r="R85" s="2" t="s">
        <v>98</v>
      </c>
      <c r="S85" s="2" t="s">
        <v>635</v>
      </c>
      <c r="T85" s="2" t="s">
        <v>98</v>
      </c>
      <c r="U85" s="2" t="s">
        <v>100</v>
      </c>
      <c r="V85" s="2" t="s">
        <v>331</v>
      </c>
      <c r="W85" s="2" t="s">
        <v>297</v>
      </c>
      <c r="X85" s="2" t="s">
        <v>636</v>
      </c>
      <c r="Y85" s="2" t="s">
        <v>637</v>
      </c>
      <c r="Z85" s="4">
        <v>202</v>
      </c>
      <c r="AA85" s="4">
        <f>=ROUNDDOWN(14.4285714285714,0)</f>
      </c>
      <c r="AB85" s="5">
        <v>14</v>
      </c>
      <c r="AC85" s="2" t="s">
        <v>598</v>
      </c>
      <c r="AD85" s="4">
        <v>200</v>
      </c>
      <c r="AE85" s="4">
        <v>200</v>
      </c>
      <c r="AF85" s="6">
        <v>63</v>
      </c>
      <c r="AG85" s="6"/>
      <c r="AH85" s="7">
        <v>1</v>
      </c>
      <c r="AI85" s="4"/>
      <c r="AJ85" s="4">
        <f>=ROUNDDOWN({0},0)</f>
      </c>
      <c r="AK85" s="5"/>
      <c r="AL85" s="2" t="s">
        <v>98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 t="s">
        <v>98</v>
      </c>
      <c r="BD85" s="8" t="s">
        <v>98</v>
      </c>
      <c r="BE85" s="4">
        <v>1</v>
      </c>
      <c r="BF85" s="8">
        <v>70.34</v>
      </c>
      <c r="BG85" s="7" t="s">
        <v>98</v>
      </c>
      <c r="BH85" s="7" t="s">
        <v>98</v>
      </c>
      <c r="BI85" s="7"/>
      <c r="BJ85" s="4">
        <v>15</v>
      </c>
      <c r="BK85" s="8">
        <v>830.17</v>
      </c>
      <c r="BL85" s="2" t="s">
        <v>638</v>
      </c>
      <c r="BM85" s="7"/>
      <c r="BN85" s="7"/>
      <c r="BO85" s="4"/>
      <c r="BP85" s="8"/>
      <c r="BQ85" s="4"/>
      <c r="BR85" s="8"/>
      <c r="BS85" s="7"/>
      <c r="BT85" s="7"/>
      <c r="BU85" s="2" t="s">
        <v>107</v>
      </c>
      <c r="BV85" s="2" t="s">
        <v>95</v>
      </c>
      <c r="BW85" s="2" t="s">
        <v>639</v>
      </c>
      <c r="BX85" s="2" t="s">
        <v>640</v>
      </c>
      <c r="BY85" s="2" t="s">
        <v>110</v>
      </c>
      <c r="BZ85" s="2" t="s">
        <v>98</v>
      </c>
    </row>
    <row r="86">
      <c r="A86" s="2" t="s">
        <v>641</v>
      </c>
      <c r="B86" s="2" t="s">
        <v>87</v>
      </c>
      <c r="C86" s="2" t="s">
        <v>88</v>
      </c>
      <c r="D86" s="2" t="s">
        <v>525</v>
      </c>
      <c r="E86" s="2" t="s">
        <v>525</v>
      </c>
      <c r="F86" s="2" t="s">
        <v>633</v>
      </c>
      <c r="G86" s="2" t="s">
        <v>633</v>
      </c>
      <c r="H86" s="2" t="s">
        <v>633</v>
      </c>
      <c r="I86" s="2" t="s">
        <v>634</v>
      </c>
      <c r="J86" s="2" t="s">
        <v>93</v>
      </c>
      <c r="K86" s="2" t="s">
        <v>421</v>
      </c>
      <c r="L86" s="3">
        <v>54.23</v>
      </c>
      <c r="M86" s="3">
        <v>56.94</v>
      </c>
      <c r="N86" s="3">
        <v>118.99</v>
      </c>
      <c r="O86" s="2" t="s">
        <v>95</v>
      </c>
      <c r="P86" s="2" t="s">
        <v>163</v>
      </c>
      <c r="Q86" s="2" t="s">
        <v>97</v>
      </c>
      <c r="R86" s="2" t="s">
        <v>98</v>
      </c>
      <c r="S86" s="2" t="s">
        <v>642</v>
      </c>
      <c r="T86" s="2" t="s">
        <v>98</v>
      </c>
      <c r="U86" s="2" t="s">
        <v>100</v>
      </c>
      <c r="V86" s="2" t="s">
        <v>331</v>
      </c>
      <c r="W86" s="2" t="s">
        <v>297</v>
      </c>
      <c r="X86" s="2" t="s">
        <v>102</v>
      </c>
      <c r="Y86" s="2" t="s">
        <v>643</v>
      </c>
      <c r="Z86" s="4">
        <v>240</v>
      </c>
      <c r="AA86" s="4">
        <f>=ROUNDDOWN(21.8181818181818,0)</f>
      </c>
      <c r="AB86" s="5">
        <v>11</v>
      </c>
      <c r="AC86" s="2" t="s">
        <v>598</v>
      </c>
      <c r="AD86" s="4">
        <v>150</v>
      </c>
      <c r="AE86" s="4">
        <v>150</v>
      </c>
      <c r="AF86" s="6">
        <v>63</v>
      </c>
      <c r="AG86" s="6"/>
      <c r="AH86" s="7">
        <v>1</v>
      </c>
      <c r="AI86" s="4"/>
      <c r="AJ86" s="4">
        <f>=ROUNDDOWN({0},0)</f>
      </c>
      <c r="AK86" s="5"/>
      <c r="AL86" s="2" t="s">
        <v>98</v>
      </c>
      <c r="AM86" s="4"/>
      <c r="AN86" s="4"/>
      <c r="AO86" s="7">
        <v>0</v>
      </c>
      <c r="AP86" s="4"/>
      <c r="AQ86" s="8"/>
      <c r="AR86" s="4">
        <v>1</v>
      </c>
      <c r="AS86" s="8">
        <v>70.34</v>
      </c>
      <c r="AT86" s="7">
        <v>-1</v>
      </c>
      <c r="AU86" s="7">
        <v>-1</v>
      </c>
      <c r="AV86" s="4"/>
      <c r="AW86" s="8"/>
      <c r="AX86" s="4">
        <v>1</v>
      </c>
      <c r="AY86" s="8">
        <v>70.34</v>
      </c>
      <c r="AZ86" s="7">
        <v>-1</v>
      </c>
      <c r="BA86" s="7">
        <v>-1</v>
      </c>
      <c r="BB86" s="7"/>
      <c r="BC86" s="4" t="s">
        <v>98</v>
      </c>
      <c r="BD86" s="8" t="s">
        <v>98</v>
      </c>
      <c r="BE86" s="4" t="s">
        <v>98</v>
      </c>
      <c r="BF86" s="8" t="s">
        <v>98</v>
      </c>
      <c r="BG86" s="7" t="s">
        <v>98</v>
      </c>
      <c r="BH86" s="7" t="s">
        <v>98</v>
      </c>
      <c r="BI86" s="7"/>
      <c r="BJ86" s="4">
        <v>8</v>
      </c>
      <c r="BK86" s="8">
        <v>528.49</v>
      </c>
      <c r="BL86" s="2" t="s">
        <v>644</v>
      </c>
      <c r="BM86" s="7"/>
      <c r="BN86" s="7"/>
      <c r="BO86" s="4"/>
      <c r="BP86" s="8"/>
      <c r="BQ86" s="4">
        <v>1</v>
      </c>
      <c r="BR86" s="8">
        <v>70.34</v>
      </c>
      <c r="BS86" s="7">
        <v>-1</v>
      </c>
      <c r="BT86" s="7">
        <v>-1</v>
      </c>
      <c r="BU86" s="2" t="s">
        <v>107</v>
      </c>
      <c r="BV86" s="2" t="s">
        <v>95</v>
      </c>
      <c r="BW86" s="2" t="s">
        <v>122</v>
      </c>
      <c r="BX86" s="2" t="s">
        <v>645</v>
      </c>
      <c r="BY86" s="2" t="s">
        <v>110</v>
      </c>
      <c r="BZ86" s="2" t="s">
        <v>98</v>
      </c>
    </row>
    <row r="87">
      <c r="A87" s="2" t="s">
        <v>646</v>
      </c>
      <c r="B87" s="2" t="s">
        <v>87</v>
      </c>
      <c r="C87" s="2" t="s">
        <v>88</v>
      </c>
      <c r="D87" s="2" t="s">
        <v>525</v>
      </c>
      <c r="E87" s="2" t="s">
        <v>525</v>
      </c>
      <c r="F87" s="2" t="s">
        <v>647</v>
      </c>
      <c r="G87" s="2" t="s">
        <v>647</v>
      </c>
      <c r="H87" s="2" t="s">
        <v>647</v>
      </c>
      <c r="I87" s="2" t="s">
        <v>648</v>
      </c>
      <c r="J87" s="2" t="s">
        <v>93</v>
      </c>
      <c r="K87" s="2" t="s">
        <v>294</v>
      </c>
      <c r="L87" s="3">
        <v>45.41</v>
      </c>
      <c r="M87" s="3">
        <v>47.68</v>
      </c>
      <c r="N87" s="3">
        <v>93.49</v>
      </c>
      <c r="O87" s="2" t="s">
        <v>95</v>
      </c>
      <c r="P87" s="2" t="s">
        <v>142</v>
      </c>
      <c r="Q87" s="2" t="s">
        <v>97</v>
      </c>
      <c r="R87" s="2" t="s">
        <v>98</v>
      </c>
      <c r="S87" s="2" t="s">
        <v>649</v>
      </c>
      <c r="T87" s="2" t="s">
        <v>98</v>
      </c>
      <c r="U87" s="2" t="s">
        <v>157</v>
      </c>
      <c r="V87" s="2" t="s">
        <v>145</v>
      </c>
      <c r="W87" s="2" t="s">
        <v>103</v>
      </c>
      <c r="X87" s="2" t="s">
        <v>98</v>
      </c>
      <c r="Y87" s="2" t="s">
        <v>650</v>
      </c>
      <c r="Z87" s="4">
        <v>136</v>
      </c>
      <c r="AA87" s="4">
        <f>=ROUNDDOWN(45.3333333333333,0)</f>
      </c>
      <c r="AB87" s="5">
        <v>3</v>
      </c>
      <c r="AC87" s="2" t="s">
        <v>98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98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/>
      <c r="BD87" s="8"/>
      <c r="BE87" s="4"/>
      <c r="BF87" s="8"/>
      <c r="BG87" s="7"/>
      <c r="BH87" s="7"/>
      <c r="BI87" s="7"/>
      <c r="BJ87" s="4">
        <v>1</v>
      </c>
      <c r="BK87" s="8">
        <v>47.57</v>
      </c>
      <c r="BL87" s="2" t="s">
        <v>651</v>
      </c>
      <c r="BM87" s="7"/>
      <c r="BN87" s="7"/>
      <c r="BO87" s="4"/>
      <c r="BP87" s="8"/>
      <c r="BQ87" s="4"/>
      <c r="BR87" s="8"/>
      <c r="BS87" s="7"/>
      <c r="BT87" s="7"/>
      <c r="BU87" s="2" t="s">
        <v>107</v>
      </c>
      <c r="BV87" s="2" t="s">
        <v>95</v>
      </c>
      <c r="BW87" s="2" t="s">
        <v>352</v>
      </c>
      <c r="BX87" s="2" t="s">
        <v>197</v>
      </c>
      <c r="BY87" s="2" t="s">
        <v>110</v>
      </c>
      <c r="BZ87" s="2" t="s">
        <v>98</v>
      </c>
    </row>
    <row r="88">
      <c r="A88" s="2" t="s">
        <v>652</v>
      </c>
      <c r="B88" s="2" t="s">
        <v>87</v>
      </c>
      <c r="C88" s="2" t="s">
        <v>88</v>
      </c>
      <c r="D88" s="2" t="s">
        <v>525</v>
      </c>
      <c r="E88" s="2" t="s">
        <v>525</v>
      </c>
      <c r="F88" s="2" t="s">
        <v>653</v>
      </c>
      <c r="G88" s="2" t="s">
        <v>653</v>
      </c>
      <c r="H88" s="2" t="s">
        <v>653</v>
      </c>
      <c r="I88" s="2" t="s">
        <v>654</v>
      </c>
      <c r="J88" s="2" t="s">
        <v>93</v>
      </c>
      <c r="K88" s="2" t="s">
        <v>655</v>
      </c>
      <c r="L88" s="3">
        <v>6.66</v>
      </c>
      <c r="M88" s="3">
        <v>6.99</v>
      </c>
      <c r="N88" s="3">
        <v>19.99</v>
      </c>
      <c r="O88" s="2" t="s">
        <v>95</v>
      </c>
      <c r="P88" s="2" t="s">
        <v>295</v>
      </c>
      <c r="Q88" s="2" t="s">
        <v>97</v>
      </c>
      <c r="R88" s="2" t="s">
        <v>98</v>
      </c>
      <c r="S88" s="2" t="s">
        <v>98</v>
      </c>
      <c r="T88" s="2" t="s">
        <v>98</v>
      </c>
      <c r="U88" s="2" t="s">
        <v>117</v>
      </c>
      <c r="V88" s="2" t="s">
        <v>313</v>
      </c>
      <c r="W88" s="2" t="s">
        <v>656</v>
      </c>
      <c r="X88" s="2" t="s">
        <v>119</v>
      </c>
      <c r="Y88" s="2" t="s">
        <v>657</v>
      </c>
      <c r="Z88" s="4">
        <v>47</v>
      </c>
      <c r="AA88" s="4">
        <f>=ROUNDDOWN(9.59183673469388,0)</f>
      </c>
      <c r="AB88" s="5">
        <v>4.9</v>
      </c>
      <c r="AC88" s="2" t="s">
        <v>98</v>
      </c>
      <c r="AD88" s="4"/>
      <c r="AE88" s="4"/>
      <c r="AF88" s="6">
        <v>63</v>
      </c>
      <c r="AG88" s="6"/>
      <c r="AH88" s="7">
        <v>1</v>
      </c>
      <c r="AI88" s="4"/>
      <c r="AJ88" s="4">
        <f>=ROUNDDOWN({0},0)</f>
      </c>
      <c r="AK88" s="5"/>
      <c r="AL88" s="2" t="s">
        <v>98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98</v>
      </c>
      <c r="BD88" s="8" t="s">
        <v>98</v>
      </c>
      <c r="BE88" s="4" t="s">
        <v>98</v>
      </c>
      <c r="BF88" s="8" t="s">
        <v>98</v>
      </c>
      <c r="BG88" s="7" t="s">
        <v>98</v>
      </c>
      <c r="BH88" s="7" t="s">
        <v>98</v>
      </c>
      <c r="BI88" s="7"/>
      <c r="BJ88" s="4">
        <v>44</v>
      </c>
      <c r="BK88" s="8">
        <v>337.04</v>
      </c>
      <c r="BL88" s="2" t="s">
        <v>307</v>
      </c>
      <c r="BM88" s="7"/>
      <c r="BN88" s="7"/>
      <c r="BO88" s="4"/>
      <c r="BP88" s="8"/>
      <c r="BQ88" s="4"/>
      <c r="BR88" s="8"/>
      <c r="BS88" s="7"/>
      <c r="BT88" s="7"/>
      <c r="BU88" s="2" t="s">
        <v>388</v>
      </c>
      <c r="BV88" s="2" t="s">
        <v>95</v>
      </c>
      <c r="BW88" s="2" t="s">
        <v>98</v>
      </c>
      <c r="BX88" s="2" t="s">
        <v>98</v>
      </c>
      <c r="BY88" s="2" t="s">
        <v>110</v>
      </c>
      <c r="BZ88" s="2" t="s">
        <v>98</v>
      </c>
    </row>
    <row r="89">
      <c r="A89" s="2" t="s">
        <v>658</v>
      </c>
      <c r="B89" s="2" t="s">
        <v>87</v>
      </c>
      <c r="C89" s="2" t="s">
        <v>88</v>
      </c>
      <c r="D89" s="2" t="s">
        <v>525</v>
      </c>
      <c r="E89" s="2" t="s">
        <v>525</v>
      </c>
      <c r="F89" s="2" t="s">
        <v>653</v>
      </c>
      <c r="G89" s="2" t="s">
        <v>653</v>
      </c>
      <c r="H89" s="2" t="s">
        <v>653</v>
      </c>
      <c r="I89" s="2" t="s">
        <v>659</v>
      </c>
      <c r="J89" s="2" t="s">
        <v>93</v>
      </c>
      <c r="K89" s="2" t="s">
        <v>660</v>
      </c>
      <c r="L89" s="3">
        <v>6.66</v>
      </c>
      <c r="M89" s="3">
        <v>6.99</v>
      </c>
      <c r="N89" s="3">
        <v>19.99</v>
      </c>
      <c r="O89" s="2" t="s">
        <v>95</v>
      </c>
      <c r="P89" s="2" t="s">
        <v>295</v>
      </c>
      <c r="Q89" s="2" t="s">
        <v>97</v>
      </c>
      <c r="R89" s="2" t="s">
        <v>98</v>
      </c>
      <c r="S89" s="2" t="s">
        <v>98</v>
      </c>
      <c r="T89" s="2" t="s">
        <v>98</v>
      </c>
      <c r="U89" s="2" t="s">
        <v>117</v>
      </c>
      <c r="V89" s="2" t="s">
        <v>313</v>
      </c>
      <c r="W89" s="2" t="s">
        <v>656</v>
      </c>
      <c r="X89" s="2" t="s">
        <v>119</v>
      </c>
      <c r="Y89" s="2" t="s">
        <v>657</v>
      </c>
      <c r="Z89" s="4">
        <v>87</v>
      </c>
      <c r="AA89" s="4">
        <f>=ROUNDDOWN(435,0)</f>
      </c>
      <c r="AB89" s="5">
        <v>0.2</v>
      </c>
      <c r="AC89" s="2" t="s">
        <v>98</v>
      </c>
      <c r="AD89" s="4"/>
      <c r="AE89" s="4"/>
      <c r="AF89" s="6">
        <v>63</v>
      </c>
      <c r="AG89" s="6"/>
      <c r="AH89" s="7">
        <v>1</v>
      </c>
      <c r="AI89" s="4"/>
      <c r="AJ89" s="4">
        <f>=ROUNDDOWN({0},0)</f>
      </c>
      <c r="AK89" s="5"/>
      <c r="AL89" s="2" t="s">
        <v>98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 t="s">
        <v>98</v>
      </c>
      <c r="BD89" s="8" t="s">
        <v>98</v>
      </c>
      <c r="BE89" s="4" t="s">
        <v>98</v>
      </c>
      <c r="BF89" s="8" t="s">
        <v>98</v>
      </c>
      <c r="BG89" s="7" t="s">
        <v>98</v>
      </c>
      <c r="BH89" s="7" t="s">
        <v>98</v>
      </c>
      <c r="BI89" s="7"/>
      <c r="BJ89" s="4">
        <v>5</v>
      </c>
      <c r="BK89" s="8">
        <v>38.3</v>
      </c>
      <c r="BL89" s="2" t="s">
        <v>307</v>
      </c>
      <c r="BM89" s="7"/>
      <c r="BN89" s="7"/>
      <c r="BO89" s="4"/>
      <c r="BP89" s="8"/>
      <c r="BQ89" s="4"/>
      <c r="BR89" s="8"/>
      <c r="BS89" s="7"/>
      <c r="BT89" s="7"/>
      <c r="BU89" s="2" t="s">
        <v>388</v>
      </c>
      <c r="BV89" s="2" t="s">
        <v>95</v>
      </c>
      <c r="BW89" s="2" t="s">
        <v>98</v>
      </c>
      <c r="BX89" s="2" t="s">
        <v>98</v>
      </c>
      <c r="BY89" s="2" t="s">
        <v>110</v>
      </c>
      <c r="BZ89" s="2" t="s">
        <v>98</v>
      </c>
    </row>
    <row r="90">
      <c r="A90" s="2" t="s">
        <v>661</v>
      </c>
      <c r="B90" s="2" t="s">
        <v>87</v>
      </c>
      <c r="C90" s="2" t="s">
        <v>88</v>
      </c>
      <c r="D90" s="2" t="s">
        <v>525</v>
      </c>
      <c r="E90" s="2" t="s">
        <v>525</v>
      </c>
      <c r="F90" s="2" t="s">
        <v>653</v>
      </c>
      <c r="G90" s="2" t="s">
        <v>653</v>
      </c>
      <c r="H90" s="2" t="s">
        <v>653</v>
      </c>
      <c r="I90" s="2" t="s">
        <v>662</v>
      </c>
      <c r="J90" s="2" t="s">
        <v>93</v>
      </c>
      <c r="K90" s="2" t="s">
        <v>663</v>
      </c>
      <c r="L90" s="3">
        <v>6.66</v>
      </c>
      <c r="M90" s="3">
        <v>6.99</v>
      </c>
      <c r="N90" s="3">
        <v>19.99</v>
      </c>
      <c r="O90" s="2" t="s">
        <v>95</v>
      </c>
      <c r="P90" s="2" t="s">
        <v>295</v>
      </c>
      <c r="Q90" s="2" t="s">
        <v>97</v>
      </c>
      <c r="R90" s="2" t="s">
        <v>98</v>
      </c>
      <c r="S90" s="2" t="s">
        <v>98</v>
      </c>
      <c r="T90" s="2" t="s">
        <v>98</v>
      </c>
      <c r="U90" s="2" t="s">
        <v>117</v>
      </c>
      <c r="V90" s="2" t="s">
        <v>313</v>
      </c>
      <c r="W90" s="2" t="s">
        <v>656</v>
      </c>
      <c r="X90" s="2" t="s">
        <v>119</v>
      </c>
      <c r="Y90" s="2" t="s">
        <v>657</v>
      </c>
      <c r="Z90" s="4">
        <v>66</v>
      </c>
      <c r="AA90" s="4">
        <f>=ROUNDDOWN(9.85074626865672,0)</f>
      </c>
      <c r="AB90" s="5">
        <v>6.7</v>
      </c>
      <c r="AC90" s="2" t="s">
        <v>98</v>
      </c>
      <c r="AD90" s="4"/>
      <c r="AE90" s="4"/>
      <c r="AF90" s="6">
        <v>63</v>
      </c>
      <c r="AG90" s="6"/>
      <c r="AH90" s="7">
        <v>1</v>
      </c>
      <c r="AI90" s="4"/>
      <c r="AJ90" s="4">
        <f>=ROUNDDOWN({0},0)</f>
      </c>
      <c r="AK90" s="5"/>
      <c r="AL90" s="2" t="s">
        <v>98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98</v>
      </c>
      <c r="BD90" s="8" t="s">
        <v>98</v>
      </c>
      <c r="BE90" s="4" t="s">
        <v>98</v>
      </c>
      <c r="BF90" s="8" t="s">
        <v>98</v>
      </c>
      <c r="BG90" s="7" t="s">
        <v>98</v>
      </c>
      <c r="BH90" s="7" t="s">
        <v>98</v>
      </c>
      <c r="BI90" s="7"/>
      <c r="BJ90" s="4">
        <v>20</v>
      </c>
      <c r="BK90" s="8">
        <v>153.2</v>
      </c>
      <c r="BL90" s="2" t="s">
        <v>307</v>
      </c>
      <c r="BM90" s="7"/>
      <c r="BN90" s="7"/>
      <c r="BO90" s="4"/>
      <c r="BP90" s="8"/>
      <c r="BQ90" s="4"/>
      <c r="BR90" s="8"/>
      <c r="BS90" s="7"/>
      <c r="BT90" s="7"/>
      <c r="BU90" s="2" t="s">
        <v>388</v>
      </c>
      <c r="BV90" s="2" t="s">
        <v>95</v>
      </c>
      <c r="BW90" s="2" t="s">
        <v>98</v>
      </c>
      <c r="BX90" s="2" t="s">
        <v>98</v>
      </c>
      <c r="BY90" s="2" t="s">
        <v>110</v>
      </c>
      <c r="BZ90" s="2" t="s">
        <v>98</v>
      </c>
    </row>
    <row r="91">
      <c r="A91" s="2" t="s">
        <v>664</v>
      </c>
      <c r="B91" s="2" t="s">
        <v>87</v>
      </c>
      <c r="C91" s="2" t="s">
        <v>88</v>
      </c>
      <c r="D91" s="2" t="s">
        <v>525</v>
      </c>
      <c r="E91" s="2" t="s">
        <v>525</v>
      </c>
      <c r="F91" s="2" t="s">
        <v>653</v>
      </c>
      <c r="G91" s="2" t="s">
        <v>653</v>
      </c>
      <c r="H91" s="2" t="s">
        <v>653</v>
      </c>
      <c r="I91" s="2" t="s">
        <v>665</v>
      </c>
      <c r="J91" s="2" t="s">
        <v>93</v>
      </c>
      <c r="K91" s="2" t="s">
        <v>666</v>
      </c>
      <c r="L91" s="3">
        <v>6.66</v>
      </c>
      <c r="M91" s="3">
        <v>6.99</v>
      </c>
      <c r="N91" s="3">
        <v>19.99</v>
      </c>
      <c r="O91" s="2" t="s">
        <v>95</v>
      </c>
      <c r="P91" s="2" t="s">
        <v>295</v>
      </c>
      <c r="Q91" s="2" t="s">
        <v>97</v>
      </c>
      <c r="R91" s="2" t="s">
        <v>98</v>
      </c>
      <c r="S91" s="2" t="s">
        <v>98</v>
      </c>
      <c r="T91" s="2" t="s">
        <v>98</v>
      </c>
      <c r="U91" s="2" t="s">
        <v>117</v>
      </c>
      <c r="V91" s="2" t="s">
        <v>313</v>
      </c>
      <c r="W91" s="2" t="s">
        <v>656</v>
      </c>
      <c r="X91" s="2" t="s">
        <v>119</v>
      </c>
      <c r="Y91" s="2" t="s">
        <v>657</v>
      </c>
      <c r="Z91" s="4">
        <v>77</v>
      </c>
      <c r="AA91" s="4">
        <f>=ROUNDDOWN(385,0)</f>
      </c>
      <c r="AB91" s="5">
        <v>0.2</v>
      </c>
      <c r="AC91" s="2" t="s">
        <v>98</v>
      </c>
      <c r="AD91" s="4"/>
      <c r="AE91" s="4"/>
      <c r="AF91" s="6">
        <v>63</v>
      </c>
      <c r="AG91" s="6"/>
      <c r="AH91" s="7">
        <v>1</v>
      </c>
      <c r="AI91" s="4"/>
      <c r="AJ91" s="4">
        <f>=ROUNDDOWN({0},0)</f>
      </c>
      <c r="AK91" s="5"/>
      <c r="AL91" s="2" t="s">
        <v>98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 t="s">
        <v>98</v>
      </c>
      <c r="BD91" s="8" t="s">
        <v>98</v>
      </c>
      <c r="BE91" s="4" t="s">
        <v>98</v>
      </c>
      <c r="BF91" s="8" t="s">
        <v>98</v>
      </c>
      <c r="BG91" s="7" t="s">
        <v>98</v>
      </c>
      <c r="BH91" s="7" t="s">
        <v>98</v>
      </c>
      <c r="BI91" s="7"/>
      <c r="BJ91" s="4">
        <v>13</v>
      </c>
      <c r="BK91" s="8">
        <v>99.58</v>
      </c>
      <c r="BL91" s="2" t="s">
        <v>307</v>
      </c>
      <c r="BM91" s="7"/>
      <c r="BN91" s="7"/>
      <c r="BO91" s="4"/>
      <c r="BP91" s="8"/>
      <c r="BQ91" s="4"/>
      <c r="BR91" s="8"/>
      <c r="BS91" s="7"/>
      <c r="BT91" s="7"/>
      <c r="BU91" s="2" t="s">
        <v>388</v>
      </c>
      <c r="BV91" s="2" t="s">
        <v>95</v>
      </c>
      <c r="BW91" s="2" t="s">
        <v>98</v>
      </c>
      <c r="BX91" s="2" t="s">
        <v>98</v>
      </c>
      <c r="BY91" s="2" t="s">
        <v>110</v>
      </c>
      <c r="BZ91" s="2" t="s">
        <v>98</v>
      </c>
    </row>
    <row r="92">
      <c r="A92" s="2" t="s">
        <v>667</v>
      </c>
      <c r="B92" s="2" t="s">
        <v>87</v>
      </c>
      <c r="C92" s="2" t="s">
        <v>88</v>
      </c>
      <c r="D92" s="2" t="s">
        <v>525</v>
      </c>
      <c r="E92" s="2" t="s">
        <v>525</v>
      </c>
      <c r="F92" s="2" t="s">
        <v>653</v>
      </c>
      <c r="G92" s="2" t="s">
        <v>653</v>
      </c>
      <c r="H92" s="2" t="s">
        <v>653</v>
      </c>
      <c r="I92" s="2" t="s">
        <v>668</v>
      </c>
      <c r="J92" s="2" t="s">
        <v>93</v>
      </c>
      <c r="K92" s="2" t="s">
        <v>669</v>
      </c>
      <c r="L92" s="3">
        <v>6.66</v>
      </c>
      <c r="M92" s="3">
        <v>6.99</v>
      </c>
      <c r="N92" s="3">
        <v>19.99</v>
      </c>
      <c r="O92" s="2" t="s">
        <v>95</v>
      </c>
      <c r="P92" s="2" t="s">
        <v>295</v>
      </c>
      <c r="Q92" s="2" t="s">
        <v>97</v>
      </c>
      <c r="R92" s="2" t="s">
        <v>98</v>
      </c>
      <c r="S92" s="2" t="s">
        <v>98</v>
      </c>
      <c r="T92" s="2" t="s">
        <v>98</v>
      </c>
      <c r="U92" s="2" t="s">
        <v>117</v>
      </c>
      <c r="V92" s="2" t="s">
        <v>313</v>
      </c>
      <c r="W92" s="2" t="s">
        <v>656</v>
      </c>
      <c r="X92" s="2" t="s">
        <v>119</v>
      </c>
      <c r="Y92" s="2" t="s">
        <v>657</v>
      </c>
      <c r="Z92" s="4">
        <v>51</v>
      </c>
      <c r="AA92" s="4">
        <f>=ROUNDDOWN(3.89312977099237,0)</f>
      </c>
      <c r="AB92" s="5">
        <v>13.1</v>
      </c>
      <c r="AC92" s="2" t="s">
        <v>98</v>
      </c>
      <c r="AD92" s="4"/>
      <c r="AE92" s="4"/>
      <c r="AF92" s="6">
        <v>63</v>
      </c>
      <c r="AG92" s="6"/>
      <c r="AH92" s="7">
        <v>1</v>
      </c>
      <c r="AI92" s="4"/>
      <c r="AJ92" s="4">
        <f>=ROUNDDOWN({0},0)</f>
      </c>
      <c r="AK92" s="5"/>
      <c r="AL92" s="2" t="s">
        <v>98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 t="s">
        <v>98</v>
      </c>
      <c r="BD92" s="8" t="s">
        <v>98</v>
      </c>
      <c r="BE92" s="4" t="s">
        <v>98</v>
      </c>
      <c r="BF92" s="8" t="s">
        <v>98</v>
      </c>
      <c r="BG92" s="7" t="s">
        <v>98</v>
      </c>
      <c r="BH92" s="7" t="s">
        <v>98</v>
      </c>
      <c r="BI92" s="7"/>
      <c r="BJ92" s="4">
        <v>29</v>
      </c>
      <c r="BK92" s="8">
        <v>222.14</v>
      </c>
      <c r="BL92" s="2" t="s">
        <v>307</v>
      </c>
      <c r="BM92" s="7"/>
      <c r="BN92" s="7"/>
      <c r="BO92" s="4"/>
      <c r="BP92" s="8"/>
      <c r="BQ92" s="4"/>
      <c r="BR92" s="8"/>
      <c r="BS92" s="7"/>
      <c r="BT92" s="7"/>
      <c r="BU92" s="2" t="s">
        <v>388</v>
      </c>
      <c r="BV92" s="2" t="s">
        <v>95</v>
      </c>
      <c r="BW92" s="2" t="s">
        <v>98</v>
      </c>
      <c r="BX92" s="2" t="s">
        <v>98</v>
      </c>
      <c r="BY92" s="2" t="s">
        <v>110</v>
      </c>
      <c r="BZ92" s="2" t="s">
        <v>98</v>
      </c>
    </row>
    <row r="93">
      <c r="A93" s="2" t="s">
        <v>670</v>
      </c>
      <c r="B93" s="2" t="s">
        <v>87</v>
      </c>
      <c r="C93" s="2" t="s">
        <v>88</v>
      </c>
      <c r="D93" s="2" t="s">
        <v>525</v>
      </c>
      <c r="E93" s="2" t="s">
        <v>525</v>
      </c>
      <c r="F93" s="2" t="s">
        <v>653</v>
      </c>
      <c r="G93" s="2" t="s">
        <v>653</v>
      </c>
      <c r="H93" s="2" t="s">
        <v>653</v>
      </c>
      <c r="I93" s="2" t="s">
        <v>671</v>
      </c>
      <c r="J93" s="2" t="s">
        <v>93</v>
      </c>
      <c r="K93" s="2" t="s">
        <v>672</v>
      </c>
      <c r="L93" s="3">
        <v>6.66</v>
      </c>
      <c r="M93" s="3">
        <v>6.99</v>
      </c>
      <c r="N93" s="3">
        <v>19.99</v>
      </c>
      <c r="O93" s="2" t="s">
        <v>95</v>
      </c>
      <c r="P93" s="2" t="s">
        <v>295</v>
      </c>
      <c r="Q93" s="2" t="s">
        <v>97</v>
      </c>
      <c r="R93" s="2" t="s">
        <v>98</v>
      </c>
      <c r="S93" s="2" t="s">
        <v>98</v>
      </c>
      <c r="T93" s="2" t="s">
        <v>98</v>
      </c>
      <c r="U93" s="2" t="s">
        <v>117</v>
      </c>
      <c r="V93" s="2" t="s">
        <v>313</v>
      </c>
      <c r="W93" s="2" t="s">
        <v>656</v>
      </c>
      <c r="X93" s="2" t="s">
        <v>119</v>
      </c>
      <c r="Y93" s="2" t="s">
        <v>657</v>
      </c>
      <c r="Z93" s="4">
        <v>67</v>
      </c>
      <c r="AA93" s="4">
        <f>=ROUNDDOWN(10.1515151515152,0)</f>
      </c>
      <c r="AB93" s="5">
        <v>6.6</v>
      </c>
      <c r="AC93" s="2" t="s">
        <v>98</v>
      </c>
      <c r="AD93" s="4"/>
      <c r="AE93" s="4"/>
      <c r="AF93" s="6">
        <v>63</v>
      </c>
      <c r="AG93" s="6"/>
      <c r="AH93" s="7">
        <v>1</v>
      </c>
      <c r="AI93" s="4"/>
      <c r="AJ93" s="4">
        <f>=ROUNDDOWN({0},0)</f>
      </c>
      <c r="AK93" s="5"/>
      <c r="AL93" s="2" t="s">
        <v>98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 t="s">
        <v>98</v>
      </c>
      <c r="BD93" s="8" t="s">
        <v>98</v>
      </c>
      <c r="BE93" s="4" t="s">
        <v>98</v>
      </c>
      <c r="BF93" s="8" t="s">
        <v>98</v>
      </c>
      <c r="BG93" s="7" t="s">
        <v>98</v>
      </c>
      <c r="BH93" s="7" t="s">
        <v>98</v>
      </c>
      <c r="BI93" s="7"/>
      <c r="BJ93" s="4">
        <v>21</v>
      </c>
      <c r="BK93" s="8">
        <v>160.86</v>
      </c>
      <c r="BL93" s="2" t="s">
        <v>307</v>
      </c>
      <c r="BM93" s="7"/>
      <c r="BN93" s="7"/>
      <c r="BO93" s="4"/>
      <c r="BP93" s="8"/>
      <c r="BQ93" s="4"/>
      <c r="BR93" s="8"/>
      <c r="BS93" s="7"/>
      <c r="BT93" s="7"/>
      <c r="BU93" s="2" t="s">
        <v>388</v>
      </c>
      <c r="BV93" s="2" t="s">
        <v>95</v>
      </c>
      <c r="BW93" s="2" t="s">
        <v>98</v>
      </c>
      <c r="BX93" s="2" t="s">
        <v>98</v>
      </c>
      <c r="BY93" s="2" t="s">
        <v>110</v>
      </c>
      <c r="BZ93" s="2" t="s">
        <v>98</v>
      </c>
    </row>
    <row r="94">
      <c r="A94" s="2" t="s">
        <v>673</v>
      </c>
      <c r="B94" s="2" t="s">
        <v>87</v>
      </c>
      <c r="C94" s="2" t="s">
        <v>88</v>
      </c>
      <c r="D94" s="2" t="s">
        <v>525</v>
      </c>
      <c r="E94" s="2" t="s">
        <v>525</v>
      </c>
      <c r="F94" s="2" t="s">
        <v>653</v>
      </c>
      <c r="G94" s="2" t="s">
        <v>653</v>
      </c>
      <c r="H94" s="2" t="s">
        <v>653</v>
      </c>
      <c r="I94" s="2" t="s">
        <v>674</v>
      </c>
      <c r="J94" s="2" t="s">
        <v>93</v>
      </c>
      <c r="K94" s="2" t="s">
        <v>675</v>
      </c>
      <c r="L94" s="3">
        <v>6.66</v>
      </c>
      <c r="M94" s="3">
        <v>6.99</v>
      </c>
      <c r="N94" s="3">
        <v>19.99</v>
      </c>
      <c r="O94" s="2" t="s">
        <v>95</v>
      </c>
      <c r="P94" s="2" t="s">
        <v>295</v>
      </c>
      <c r="Q94" s="2" t="s">
        <v>97</v>
      </c>
      <c r="R94" s="2" t="s">
        <v>98</v>
      </c>
      <c r="S94" s="2" t="s">
        <v>98</v>
      </c>
      <c r="T94" s="2" t="s">
        <v>98</v>
      </c>
      <c r="U94" s="2" t="s">
        <v>117</v>
      </c>
      <c r="V94" s="2" t="s">
        <v>313</v>
      </c>
      <c r="W94" s="2" t="s">
        <v>656</v>
      </c>
      <c r="X94" s="2" t="s">
        <v>119</v>
      </c>
      <c r="Y94" s="2" t="s">
        <v>657</v>
      </c>
      <c r="Z94" s="4">
        <v>88</v>
      </c>
      <c r="AA94" s="4">
        <f>=ROUNDDOWN(55,0)</f>
      </c>
      <c r="AB94" s="5">
        <v>1.6</v>
      </c>
      <c r="AC94" s="2" t="s">
        <v>98</v>
      </c>
      <c r="AD94" s="4"/>
      <c r="AE94" s="4"/>
      <c r="AF94" s="6">
        <v>63</v>
      </c>
      <c r="AG94" s="6"/>
      <c r="AH94" s="7">
        <v>1</v>
      </c>
      <c r="AI94" s="4"/>
      <c r="AJ94" s="4">
        <f>=ROUNDDOWN({0},0)</f>
      </c>
      <c r="AK94" s="5"/>
      <c r="AL94" s="2" t="s">
        <v>98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 t="s">
        <v>98</v>
      </c>
      <c r="BD94" s="8" t="s">
        <v>98</v>
      </c>
      <c r="BE94" s="4" t="s">
        <v>98</v>
      </c>
      <c r="BF94" s="8" t="s">
        <v>98</v>
      </c>
      <c r="BG94" s="7" t="s">
        <v>98</v>
      </c>
      <c r="BH94" s="7" t="s">
        <v>98</v>
      </c>
      <c r="BI94" s="7"/>
      <c r="BJ94" s="4">
        <v>3</v>
      </c>
      <c r="BK94" s="8">
        <v>22.98</v>
      </c>
      <c r="BL94" s="2" t="s">
        <v>307</v>
      </c>
      <c r="BM94" s="7"/>
      <c r="BN94" s="7"/>
      <c r="BO94" s="4"/>
      <c r="BP94" s="8"/>
      <c r="BQ94" s="4"/>
      <c r="BR94" s="8"/>
      <c r="BS94" s="7"/>
      <c r="BT94" s="7"/>
      <c r="BU94" s="2" t="s">
        <v>388</v>
      </c>
      <c r="BV94" s="2" t="s">
        <v>95</v>
      </c>
      <c r="BW94" s="2" t="s">
        <v>98</v>
      </c>
      <c r="BX94" s="2" t="s">
        <v>98</v>
      </c>
      <c r="BY94" s="2" t="s">
        <v>110</v>
      </c>
      <c r="BZ94" s="2" t="s">
        <v>98</v>
      </c>
    </row>
    <row r="95">
      <c r="A95" s="2" t="s">
        <v>676</v>
      </c>
      <c r="B95" s="2" t="s">
        <v>87</v>
      </c>
      <c r="C95" s="2" t="s">
        <v>88</v>
      </c>
      <c r="D95" s="2" t="s">
        <v>525</v>
      </c>
      <c r="E95" s="2" t="s">
        <v>525</v>
      </c>
      <c r="F95" s="2" t="s">
        <v>677</v>
      </c>
      <c r="G95" s="2" t="s">
        <v>677</v>
      </c>
      <c r="H95" s="2" t="s">
        <v>677</v>
      </c>
      <c r="I95" s="2" t="s">
        <v>678</v>
      </c>
      <c r="J95" s="2" t="s">
        <v>93</v>
      </c>
      <c r="K95" s="2" t="s">
        <v>679</v>
      </c>
      <c r="L95" s="3">
        <v>8.33</v>
      </c>
      <c r="M95" s="3">
        <v>8.75</v>
      </c>
      <c r="N95" s="3">
        <v>24.99</v>
      </c>
      <c r="O95" s="2" t="s">
        <v>95</v>
      </c>
      <c r="P95" s="2" t="s">
        <v>295</v>
      </c>
      <c r="Q95" s="2" t="s">
        <v>97</v>
      </c>
      <c r="R95" s="2" t="s">
        <v>98</v>
      </c>
      <c r="S95" s="2" t="s">
        <v>98</v>
      </c>
      <c r="T95" s="2" t="s">
        <v>98</v>
      </c>
      <c r="U95" s="2" t="s">
        <v>117</v>
      </c>
      <c r="V95" s="2" t="s">
        <v>313</v>
      </c>
      <c r="W95" s="2" t="s">
        <v>103</v>
      </c>
      <c r="X95" s="2" t="s">
        <v>119</v>
      </c>
      <c r="Y95" s="2" t="s">
        <v>657</v>
      </c>
      <c r="Z95" s="4">
        <v>28</v>
      </c>
      <c r="AA95" s="4">
        <f>=ROUNDDOWN(2.43478260869565,0)</f>
      </c>
      <c r="AB95" s="5">
        <v>11.5</v>
      </c>
      <c r="AC95" s="2" t="s">
        <v>98</v>
      </c>
      <c r="AD95" s="4"/>
      <c r="AE95" s="4"/>
      <c r="AF95" s="6">
        <v>63</v>
      </c>
      <c r="AG95" s="6"/>
      <c r="AH95" s="7">
        <v>0.8571</v>
      </c>
      <c r="AI95" s="4"/>
      <c r="AJ95" s="4">
        <f>=ROUNDDOWN({0},0)</f>
      </c>
      <c r="AK95" s="5"/>
      <c r="AL95" s="2" t="s">
        <v>98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 t="s">
        <v>98</v>
      </c>
      <c r="BD95" s="8" t="s">
        <v>98</v>
      </c>
      <c r="BE95" s="4" t="s">
        <v>98</v>
      </c>
      <c r="BF95" s="8" t="s">
        <v>98</v>
      </c>
      <c r="BG95" s="7" t="s">
        <v>98</v>
      </c>
      <c r="BH95" s="7" t="s">
        <v>98</v>
      </c>
      <c r="BI95" s="7"/>
      <c r="BJ95" s="4">
        <v>49</v>
      </c>
      <c r="BK95" s="8">
        <v>469.42</v>
      </c>
      <c r="BL95" s="2" t="s">
        <v>307</v>
      </c>
      <c r="BM95" s="7"/>
      <c r="BN95" s="7"/>
      <c r="BO95" s="4"/>
      <c r="BP95" s="8"/>
      <c r="BQ95" s="4"/>
      <c r="BR95" s="8"/>
      <c r="BS95" s="7"/>
      <c r="BT95" s="7"/>
      <c r="BU95" s="2" t="s">
        <v>388</v>
      </c>
      <c r="BV95" s="2" t="s">
        <v>95</v>
      </c>
      <c r="BW95" s="2" t="s">
        <v>98</v>
      </c>
      <c r="BX95" s="2" t="s">
        <v>98</v>
      </c>
      <c r="BY95" s="2" t="s">
        <v>110</v>
      </c>
      <c r="BZ95" s="2" t="s">
        <v>98</v>
      </c>
    </row>
    <row r="96">
      <c r="A96" s="2" t="s">
        <v>680</v>
      </c>
      <c r="B96" s="2" t="s">
        <v>87</v>
      </c>
      <c r="C96" s="2" t="s">
        <v>88</v>
      </c>
      <c r="D96" s="2" t="s">
        <v>525</v>
      </c>
      <c r="E96" s="2" t="s">
        <v>525</v>
      </c>
      <c r="F96" s="2" t="s">
        <v>677</v>
      </c>
      <c r="G96" s="2" t="s">
        <v>677</v>
      </c>
      <c r="H96" s="2" t="s">
        <v>677</v>
      </c>
      <c r="I96" s="2" t="s">
        <v>681</v>
      </c>
      <c r="J96" s="2" t="s">
        <v>93</v>
      </c>
      <c r="K96" s="2" t="s">
        <v>682</v>
      </c>
      <c r="L96" s="3">
        <v>8.33</v>
      </c>
      <c r="M96" s="3">
        <v>8.75</v>
      </c>
      <c r="N96" s="3">
        <v>24.99</v>
      </c>
      <c r="O96" s="2" t="s">
        <v>95</v>
      </c>
      <c r="P96" s="2" t="s">
        <v>295</v>
      </c>
      <c r="Q96" s="2" t="s">
        <v>97</v>
      </c>
      <c r="R96" s="2" t="s">
        <v>98</v>
      </c>
      <c r="S96" s="2" t="s">
        <v>98</v>
      </c>
      <c r="T96" s="2" t="s">
        <v>98</v>
      </c>
      <c r="U96" s="2" t="s">
        <v>117</v>
      </c>
      <c r="V96" s="2" t="s">
        <v>313</v>
      </c>
      <c r="W96" s="2" t="s">
        <v>103</v>
      </c>
      <c r="X96" s="2" t="s">
        <v>119</v>
      </c>
      <c r="Y96" s="2" t="s">
        <v>657</v>
      </c>
      <c r="Z96" s="4">
        <v>40</v>
      </c>
      <c r="AA96" s="4">
        <f>=ROUNDDOWN(2.72108843537415,0)</f>
      </c>
      <c r="AB96" s="5">
        <v>14.7</v>
      </c>
      <c r="AC96" s="2" t="s">
        <v>98</v>
      </c>
      <c r="AD96" s="4"/>
      <c r="AE96" s="4"/>
      <c r="AF96" s="6">
        <v>63</v>
      </c>
      <c r="AG96" s="6"/>
      <c r="AH96" s="7">
        <v>1</v>
      </c>
      <c r="AI96" s="4"/>
      <c r="AJ96" s="4">
        <f>=ROUNDDOWN({0},0)</f>
      </c>
      <c r="AK96" s="5"/>
      <c r="AL96" s="2" t="s">
        <v>98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 t="s">
        <v>98</v>
      </c>
      <c r="BD96" s="8" t="s">
        <v>98</v>
      </c>
      <c r="BE96" s="4" t="s">
        <v>98</v>
      </c>
      <c r="BF96" s="8" t="s">
        <v>98</v>
      </c>
      <c r="BG96" s="7" t="s">
        <v>98</v>
      </c>
      <c r="BH96" s="7" t="s">
        <v>98</v>
      </c>
      <c r="BI96" s="7"/>
      <c r="BJ96" s="4">
        <v>6</v>
      </c>
      <c r="BK96" s="8">
        <v>57.48</v>
      </c>
      <c r="BL96" s="2" t="s">
        <v>307</v>
      </c>
      <c r="BM96" s="7"/>
      <c r="BN96" s="7"/>
      <c r="BO96" s="4"/>
      <c r="BP96" s="8"/>
      <c r="BQ96" s="4"/>
      <c r="BR96" s="8"/>
      <c r="BS96" s="7"/>
      <c r="BT96" s="7"/>
      <c r="BU96" s="2" t="s">
        <v>388</v>
      </c>
      <c r="BV96" s="2" t="s">
        <v>95</v>
      </c>
      <c r="BW96" s="2" t="s">
        <v>98</v>
      </c>
      <c r="BX96" s="2" t="s">
        <v>98</v>
      </c>
      <c r="BY96" s="2" t="s">
        <v>110</v>
      </c>
      <c r="BZ96" s="2" t="s">
        <v>98</v>
      </c>
    </row>
    <row r="97">
      <c r="A97" s="2" t="s">
        <v>683</v>
      </c>
      <c r="B97" s="2" t="s">
        <v>87</v>
      </c>
      <c r="C97" s="2" t="s">
        <v>88</v>
      </c>
      <c r="D97" s="2" t="s">
        <v>525</v>
      </c>
      <c r="E97" s="2" t="s">
        <v>525</v>
      </c>
      <c r="F97" s="2" t="s">
        <v>677</v>
      </c>
      <c r="G97" s="2" t="s">
        <v>677</v>
      </c>
      <c r="H97" s="2" t="s">
        <v>677</v>
      </c>
      <c r="I97" s="2" t="s">
        <v>684</v>
      </c>
      <c r="J97" s="2" t="s">
        <v>93</v>
      </c>
      <c r="K97" s="2" t="s">
        <v>685</v>
      </c>
      <c r="L97" s="3">
        <v>8.33</v>
      </c>
      <c r="M97" s="3">
        <v>8.75</v>
      </c>
      <c r="N97" s="3">
        <v>24.99</v>
      </c>
      <c r="O97" s="2" t="s">
        <v>95</v>
      </c>
      <c r="P97" s="2" t="s">
        <v>295</v>
      </c>
      <c r="Q97" s="2" t="s">
        <v>97</v>
      </c>
      <c r="R97" s="2" t="s">
        <v>98</v>
      </c>
      <c r="S97" s="2" t="s">
        <v>98</v>
      </c>
      <c r="T97" s="2" t="s">
        <v>98</v>
      </c>
      <c r="U97" s="2" t="s">
        <v>117</v>
      </c>
      <c r="V97" s="2" t="s">
        <v>313</v>
      </c>
      <c r="W97" s="2" t="s">
        <v>103</v>
      </c>
      <c r="X97" s="2" t="s">
        <v>119</v>
      </c>
      <c r="Y97" s="2" t="s">
        <v>657</v>
      </c>
      <c r="Z97" s="4">
        <v>64</v>
      </c>
      <c r="AA97" s="4">
        <f>=ROUNDDOWN(7.80487804878049,0)</f>
      </c>
      <c r="AB97" s="5">
        <v>8.2</v>
      </c>
      <c r="AC97" s="2" t="s">
        <v>98</v>
      </c>
      <c r="AD97" s="4"/>
      <c r="AE97" s="4"/>
      <c r="AF97" s="6">
        <v>63</v>
      </c>
      <c r="AG97" s="6"/>
      <c r="AH97" s="7">
        <v>1</v>
      </c>
      <c r="AI97" s="4"/>
      <c r="AJ97" s="4">
        <f>=ROUNDDOWN({0},0)</f>
      </c>
      <c r="AK97" s="5"/>
      <c r="AL97" s="2" t="s">
        <v>98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 t="s">
        <v>98</v>
      </c>
      <c r="BD97" s="8" t="s">
        <v>98</v>
      </c>
      <c r="BE97" s="4" t="s">
        <v>98</v>
      </c>
      <c r="BF97" s="8" t="s">
        <v>98</v>
      </c>
      <c r="BG97" s="7" t="s">
        <v>98</v>
      </c>
      <c r="BH97" s="7" t="s">
        <v>98</v>
      </c>
      <c r="BI97" s="7"/>
      <c r="BJ97" s="4">
        <v>12</v>
      </c>
      <c r="BK97" s="8">
        <v>114.96</v>
      </c>
      <c r="BL97" s="2" t="s">
        <v>307</v>
      </c>
      <c r="BM97" s="7"/>
      <c r="BN97" s="7"/>
      <c r="BO97" s="4"/>
      <c r="BP97" s="8"/>
      <c r="BQ97" s="4"/>
      <c r="BR97" s="8"/>
      <c r="BS97" s="7"/>
      <c r="BT97" s="7"/>
      <c r="BU97" s="2" t="s">
        <v>388</v>
      </c>
      <c r="BV97" s="2" t="s">
        <v>95</v>
      </c>
      <c r="BW97" s="2" t="s">
        <v>98</v>
      </c>
      <c r="BX97" s="2" t="s">
        <v>98</v>
      </c>
      <c r="BY97" s="2" t="s">
        <v>110</v>
      </c>
      <c r="BZ97" s="2" t="s">
        <v>98</v>
      </c>
    </row>
    <row r="98">
      <c r="A98" s="2" t="s">
        <v>686</v>
      </c>
      <c r="B98" s="2" t="s">
        <v>87</v>
      </c>
      <c r="C98" s="2" t="s">
        <v>88</v>
      </c>
      <c r="D98" s="2" t="s">
        <v>525</v>
      </c>
      <c r="E98" s="2" t="s">
        <v>525</v>
      </c>
      <c r="F98" s="2" t="s">
        <v>687</v>
      </c>
      <c r="G98" s="2" t="s">
        <v>687</v>
      </c>
      <c r="H98" s="2" t="s">
        <v>687</v>
      </c>
      <c r="I98" s="2" t="s">
        <v>688</v>
      </c>
      <c r="J98" s="2" t="s">
        <v>93</v>
      </c>
      <c r="K98" s="2" t="s">
        <v>236</v>
      </c>
      <c r="L98" s="3">
        <v>16.15</v>
      </c>
      <c r="M98" s="3">
        <v>16.96</v>
      </c>
      <c r="N98" s="3">
        <v>33.99</v>
      </c>
      <c r="O98" s="2" t="s">
        <v>95</v>
      </c>
      <c r="P98" s="2" t="s">
        <v>142</v>
      </c>
      <c r="Q98" s="2" t="s">
        <v>97</v>
      </c>
      <c r="R98" s="2" t="s">
        <v>98</v>
      </c>
      <c r="S98" s="2" t="s">
        <v>689</v>
      </c>
      <c r="T98" s="2" t="s">
        <v>98</v>
      </c>
      <c r="U98" s="2" t="s">
        <v>157</v>
      </c>
      <c r="V98" s="2" t="s">
        <v>339</v>
      </c>
      <c r="W98" s="2" t="s">
        <v>103</v>
      </c>
      <c r="X98" s="2" t="s">
        <v>98</v>
      </c>
      <c r="Y98" s="2" t="s">
        <v>366</v>
      </c>
      <c r="Z98" s="4">
        <v>49</v>
      </c>
      <c r="AA98" s="4">
        <f>=ROUNDDOWN(12.25,0)</f>
      </c>
      <c r="AB98" s="5">
        <v>4</v>
      </c>
      <c r="AC98" s="2" t="s">
        <v>360</v>
      </c>
      <c r="AD98" s="4">
        <v>100</v>
      </c>
      <c r="AE98" s="4">
        <v>100</v>
      </c>
      <c r="AF98" s="6">
        <v>63</v>
      </c>
      <c r="AG98" s="6"/>
      <c r="AH98" s="7">
        <v>1</v>
      </c>
      <c r="AI98" s="4"/>
      <c r="AJ98" s="4">
        <f>=ROUNDDOWN({0},0)</f>
      </c>
      <c r="AK98" s="5"/>
      <c r="AL98" s="2" t="s">
        <v>98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/>
      <c r="BD98" s="8"/>
      <c r="BE98" s="4"/>
      <c r="BF98" s="8"/>
      <c r="BG98" s="7"/>
      <c r="BH98" s="7"/>
      <c r="BI98" s="7"/>
      <c r="BJ98" s="4">
        <v>3</v>
      </c>
      <c r="BK98" s="8">
        <v>48</v>
      </c>
      <c r="BL98" s="2" t="s">
        <v>690</v>
      </c>
      <c r="BM98" s="7"/>
      <c r="BN98" s="7"/>
      <c r="BO98" s="4"/>
      <c r="BP98" s="8"/>
      <c r="BQ98" s="4"/>
      <c r="BR98" s="8"/>
      <c r="BS98" s="7"/>
      <c r="BT98" s="7"/>
      <c r="BU98" s="2" t="s">
        <v>107</v>
      </c>
      <c r="BV98" s="2" t="s">
        <v>95</v>
      </c>
      <c r="BW98" s="2" t="s">
        <v>368</v>
      </c>
      <c r="BX98" s="2" t="s">
        <v>280</v>
      </c>
      <c r="BY98" s="2" t="s">
        <v>110</v>
      </c>
      <c r="BZ98" s="2" t="s">
        <v>98</v>
      </c>
    </row>
    <row r="99">
      <c r="A99" s="2" t="s">
        <v>691</v>
      </c>
      <c r="B99" s="2" t="s">
        <v>87</v>
      </c>
      <c r="C99" s="2" t="s">
        <v>88</v>
      </c>
      <c r="D99" s="2" t="s">
        <v>525</v>
      </c>
      <c r="E99" s="2" t="s">
        <v>525</v>
      </c>
      <c r="F99" s="2" t="s">
        <v>692</v>
      </c>
      <c r="G99" s="2" t="s">
        <v>692</v>
      </c>
      <c r="H99" s="2" t="s">
        <v>692</v>
      </c>
      <c r="I99" s="2" t="s">
        <v>693</v>
      </c>
      <c r="J99" s="2" t="s">
        <v>93</v>
      </c>
      <c r="K99" s="2" t="s">
        <v>277</v>
      </c>
      <c r="L99" s="3">
        <v>63.6</v>
      </c>
      <c r="M99" s="3">
        <v>66.78</v>
      </c>
      <c r="N99" s="3">
        <v>124.94</v>
      </c>
      <c r="O99" s="2" t="s">
        <v>95</v>
      </c>
      <c r="P99" s="2" t="s">
        <v>134</v>
      </c>
      <c r="Q99" s="2" t="s">
        <v>97</v>
      </c>
      <c r="R99" s="2" t="s">
        <v>98</v>
      </c>
      <c r="S99" s="2" t="s">
        <v>694</v>
      </c>
      <c r="T99" s="2" t="s">
        <v>98</v>
      </c>
      <c r="U99" s="2" t="s">
        <v>157</v>
      </c>
      <c r="V99" s="2" t="s">
        <v>331</v>
      </c>
      <c r="W99" s="2" t="s">
        <v>297</v>
      </c>
      <c r="X99" s="2" t="s">
        <v>98</v>
      </c>
      <c r="Y99" s="2" t="s">
        <v>695</v>
      </c>
      <c r="Z99" s="4">
        <v>88</v>
      </c>
      <c r="AA99" s="4">
        <f>=ROUNDDOWN(17.6,0)</f>
      </c>
      <c r="AB99" s="5">
        <v>5</v>
      </c>
      <c r="AC99" s="2" t="s">
        <v>598</v>
      </c>
      <c r="AD99" s="4">
        <v>100</v>
      </c>
      <c r="AE99" s="4">
        <v>100</v>
      </c>
      <c r="AF99" s="6">
        <v>63</v>
      </c>
      <c r="AG99" s="6"/>
      <c r="AH99" s="7">
        <v>1</v>
      </c>
      <c r="AI99" s="4"/>
      <c r="AJ99" s="4">
        <f>=ROUNDDOWN({0},0)</f>
      </c>
      <c r="AK99" s="5"/>
      <c r="AL99" s="2" t="s">
        <v>98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 t="s">
        <v>98</v>
      </c>
      <c r="BD99" s="8" t="s">
        <v>98</v>
      </c>
      <c r="BE99" s="4" t="s">
        <v>98</v>
      </c>
      <c r="BF99" s="8" t="s">
        <v>98</v>
      </c>
      <c r="BG99" s="7" t="s">
        <v>98</v>
      </c>
      <c r="BH99" s="7" t="s">
        <v>98</v>
      </c>
      <c r="BI99" s="7"/>
      <c r="BJ99" s="4">
        <v>2</v>
      </c>
      <c r="BK99" s="8">
        <v>152.78</v>
      </c>
      <c r="BL99" s="2" t="s">
        <v>696</v>
      </c>
      <c r="BM99" s="7"/>
      <c r="BN99" s="7"/>
      <c r="BO99" s="4"/>
      <c r="BP99" s="8"/>
      <c r="BQ99" s="4"/>
      <c r="BR99" s="8"/>
      <c r="BS99" s="7"/>
      <c r="BT99" s="7"/>
      <c r="BU99" s="2" t="s">
        <v>107</v>
      </c>
      <c r="BV99" s="2" t="s">
        <v>95</v>
      </c>
      <c r="BW99" s="2" t="s">
        <v>697</v>
      </c>
      <c r="BX99" s="2" t="s">
        <v>698</v>
      </c>
      <c r="BY99" s="2" t="s">
        <v>110</v>
      </c>
      <c r="BZ99" s="2" t="s">
        <v>98</v>
      </c>
    </row>
    <row r="100">
      <c r="A100" s="2" t="s">
        <v>699</v>
      </c>
      <c r="B100" s="2" t="s">
        <v>87</v>
      </c>
      <c r="C100" s="2" t="s">
        <v>88</v>
      </c>
      <c r="D100" s="2" t="s">
        <v>525</v>
      </c>
      <c r="E100" s="2" t="s">
        <v>525</v>
      </c>
      <c r="F100" s="2" t="s">
        <v>692</v>
      </c>
      <c r="G100" s="2" t="s">
        <v>692</v>
      </c>
      <c r="H100" s="2" t="s">
        <v>692</v>
      </c>
      <c r="I100" s="2" t="s">
        <v>693</v>
      </c>
      <c r="J100" s="2" t="s">
        <v>93</v>
      </c>
      <c r="K100" s="2" t="s">
        <v>133</v>
      </c>
      <c r="L100" s="3">
        <v>67.34</v>
      </c>
      <c r="M100" s="3">
        <v>70.71</v>
      </c>
      <c r="N100" s="3">
        <v>124.94</v>
      </c>
      <c r="O100" s="2" t="s">
        <v>95</v>
      </c>
      <c r="P100" s="2" t="s">
        <v>134</v>
      </c>
      <c r="Q100" s="2" t="s">
        <v>97</v>
      </c>
      <c r="R100" s="2" t="s">
        <v>98</v>
      </c>
      <c r="S100" s="2" t="s">
        <v>98</v>
      </c>
      <c r="T100" s="2" t="s">
        <v>98</v>
      </c>
      <c r="U100" s="2" t="s">
        <v>157</v>
      </c>
      <c r="V100" s="2" t="s">
        <v>331</v>
      </c>
      <c r="W100" s="2" t="s">
        <v>297</v>
      </c>
      <c r="X100" s="2" t="s">
        <v>102</v>
      </c>
      <c r="Y100" s="2" t="s">
        <v>643</v>
      </c>
      <c r="Z100" s="4">
        <v>87</v>
      </c>
      <c r="AA100" s="4">
        <f>=ROUNDDOWN(14.5,0)</f>
      </c>
      <c r="AB100" s="5">
        <v>6</v>
      </c>
      <c r="AC100" s="2" t="s">
        <v>598</v>
      </c>
      <c r="AD100" s="4">
        <v>100</v>
      </c>
      <c r="AE100" s="4">
        <v>100</v>
      </c>
      <c r="AF100" s="6">
        <v>63</v>
      </c>
      <c r="AG100" s="6"/>
      <c r="AH100" s="7">
        <v>1</v>
      </c>
      <c r="AI100" s="4"/>
      <c r="AJ100" s="4">
        <f>=ROUNDDOWN({0},0)</f>
      </c>
      <c r="AK100" s="5"/>
      <c r="AL100" s="2" t="s">
        <v>98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 t="s">
        <v>98</v>
      </c>
      <c r="BD100" s="8" t="s">
        <v>98</v>
      </c>
      <c r="BE100" s="4" t="s">
        <v>98</v>
      </c>
      <c r="BF100" s="8" t="s">
        <v>98</v>
      </c>
      <c r="BG100" s="7" t="s">
        <v>98</v>
      </c>
      <c r="BH100" s="7" t="s">
        <v>98</v>
      </c>
      <c r="BI100" s="7"/>
      <c r="BJ100" s="4">
        <v>1</v>
      </c>
      <c r="BK100" s="8">
        <v>82.49</v>
      </c>
      <c r="BL100" s="2" t="s">
        <v>700</v>
      </c>
      <c r="BM100" s="7"/>
      <c r="BN100" s="7"/>
      <c r="BO100" s="4"/>
      <c r="BP100" s="8"/>
      <c r="BQ100" s="4"/>
      <c r="BR100" s="8"/>
      <c r="BS100" s="7"/>
      <c r="BT100" s="7"/>
      <c r="BU100" s="2" t="s">
        <v>107</v>
      </c>
      <c r="BV100" s="2" t="s">
        <v>95</v>
      </c>
      <c r="BW100" s="2" t="s">
        <v>122</v>
      </c>
      <c r="BX100" s="2" t="s">
        <v>701</v>
      </c>
      <c r="BY100" s="2" t="s">
        <v>110</v>
      </c>
      <c r="BZ100" s="2" t="s">
        <v>98</v>
      </c>
    </row>
    <row r="101">
      <c r="A101" s="2" t="s">
        <v>702</v>
      </c>
      <c r="B101" s="2" t="s">
        <v>87</v>
      </c>
      <c r="C101" s="2" t="s">
        <v>88</v>
      </c>
      <c r="D101" s="2" t="s">
        <v>525</v>
      </c>
      <c r="E101" s="2" t="s">
        <v>525</v>
      </c>
      <c r="F101" s="2" t="s">
        <v>692</v>
      </c>
      <c r="G101" s="2" t="s">
        <v>692</v>
      </c>
      <c r="H101" s="2" t="s">
        <v>692</v>
      </c>
      <c r="I101" s="2" t="s">
        <v>693</v>
      </c>
      <c r="J101" s="2" t="s">
        <v>93</v>
      </c>
      <c r="K101" s="2" t="s">
        <v>616</v>
      </c>
      <c r="L101" s="3">
        <v>63.6</v>
      </c>
      <c r="M101" s="3">
        <v>66.78</v>
      </c>
      <c r="N101" s="3">
        <v>124.94</v>
      </c>
      <c r="O101" s="2" t="s">
        <v>95</v>
      </c>
      <c r="P101" s="2" t="s">
        <v>163</v>
      </c>
      <c r="Q101" s="2" t="s">
        <v>97</v>
      </c>
      <c r="R101" s="2" t="s">
        <v>98</v>
      </c>
      <c r="S101" s="2" t="s">
        <v>703</v>
      </c>
      <c r="T101" s="2" t="s">
        <v>98</v>
      </c>
      <c r="U101" s="2" t="s">
        <v>157</v>
      </c>
      <c r="V101" s="2" t="s">
        <v>331</v>
      </c>
      <c r="W101" s="2" t="s">
        <v>297</v>
      </c>
      <c r="X101" s="2" t="s">
        <v>98</v>
      </c>
      <c r="Y101" s="2" t="s">
        <v>704</v>
      </c>
      <c r="Z101" s="4">
        <v>368</v>
      </c>
      <c r="AA101" s="4">
        <f>=ROUNDDOWN(19.3684210526316,0)</f>
      </c>
      <c r="AB101" s="5">
        <v>19</v>
      </c>
      <c r="AC101" s="2" t="s">
        <v>323</v>
      </c>
      <c r="AD101" s="4">
        <v>170</v>
      </c>
      <c r="AE101" s="4">
        <v>370</v>
      </c>
      <c r="AF101" s="6">
        <v>63</v>
      </c>
      <c r="AG101" s="6"/>
      <c r="AH101" s="7">
        <v>1</v>
      </c>
      <c r="AI101" s="4"/>
      <c r="AJ101" s="4">
        <f>=ROUNDDOWN({0},0)</f>
      </c>
      <c r="AK101" s="5"/>
      <c r="AL101" s="2" t="s">
        <v>98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 t="s">
        <v>98</v>
      </c>
      <c r="BD101" s="8" t="s">
        <v>98</v>
      </c>
      <c r="BE101" s="4" t="s">
        <v>98</v>
      </c>
      <c r="BF101" s="8" t="s">
        <v>98</v>
      </c>
      <c r="BG101" s="7" t="s">
        <v>98</v>
      </c>
      <c r="BH101" s="7" t="s">
        <v>98</v>
      </c>
      <c r="BI101" s="7"/>
      <c r="BJ101" s="4">
        <v>15</v>
      </c>
      <c r="BK101" s="8">
        <v>1206.23</v>
      </c>
      <c r="BL101" s="2" t="s">
        <v>705</v>
      </c>
      <c r="BM101" s="7"/>
      <c r="BN101" s="7"/>
      <c r="BO101" s="4"/>
      <c r="BP101" s="8"/>
      <c r="BQ101" s="4"/>
      <c r="BR101" s="8"/>
      <c r="BS101" s="7"/>
      <c r="BT101" s="7"/>
      <c r="BU101" s="2" t="s">
        <v>107</v>
      </c>
      <c r="BV101" s="2" t="s">
        <v>95</v>
      </c>
      <c r="BW101" s="2" t="s">
        <v>706</v>
      </c>
      <c r="BX101" s="2" t="s">
        <v>707</v>
      </c>
      <c r="BY101" s="2" t="s">
        <v>110</v>
      </c>
      <c r="BZ101" s="2" t="s">
        <v>98</v>
      </c>
    </row>
    <row r="102">
      <c r="A102" s="2" t="s">
        <v>708</v>
      </c>
      <c r="B102" s="2" t="s">
        <v>87</v>
      </c>
      <c r="C102" s="2" t="s">
        <v>88</v>
      </c>
      <c r="D102" s="2" t="s">
        <v>525</v>
      </c>
      <c r="E102" s="2" t="s">
        <v>525</v>
      </c>
      <c r="F102" s="2" t="s">
        <v>709</v>
      </c>
      <c r="G102" s="2" t="s">
        <v>709</v>
      </c>
      <c r="H102" s="2" t="s">
        <v>709</v>
      </c>
      <c r="I102" s="2" t="s">
        <v>710</v>
      </c>
      <c r="J102" s="2" t="s">
        <v>93</v>
      </c>
      <c r="K102" s="2" t="s">
        <v>277</v>
      </c>
      <c r="L102" s="3">
        <v>24.48</v>
      </c>
      <c r="M102" s="3">
        <v>25.7</v>
      </c>
      <c r="N102" s="3">
        <v>59.49</v>
      </c>
      <c r="O102" s="2" t="s">
        <v>95</v>
      </c>
      <c r="P102" s="2" t="s">
        <v>142</v>
      </c>
      <c r="Q102" s="2" t="s">
        <v>97</v>
      </c>
      <c r="R102" s="2" t="s">
        <v>98</v>
      </c>
      <c r="S102" s="2" t="s">
        <v>98</v>
      </c>
      <c r="T102" s="2" t="s">
        <v>98</v>
      </c>
      <c r="U102" s="2" t="s">
        <v>117</v>
      </c>
      <c r="V102" s="2" t="s">
        <v>339</v>
      </c>
      <c r="W102" s="2" t="s">
        <v>103</v>
      </c>
      <c r="X102" s="2" t="s">
        <v>98</v>
      </c>
      <c r="Y102" s="2" t="s">
        <v>560</v>
      </c>
      <c r="Z102" s="4">
        <v>56</v>
      </c>
      <c r="AA102" s="4">
        <f>=ROUNDDOWN(14,0)</f>
      </c>
      <c r="AB102" s="5">
        <v>4</v>
      </c>
      <c r="AC102" s="2" t="s">
        <v>412</v>
      </c>
      <c r="AD102" s="4">
        <v>50</v>
      </c>
      <c r="AE102" s="4">
        <v>50</v>
      </c>
      <c r="AF102" s="6">
        <v>63</v>
      </c>
      <c r="AG102" s="6"/>
      <c r="AH102" s="7">
        <v>1</v>
      </c>
      <c r="AI102" s="4"/>
      <c r="AJ102" s="4">
        <f>=ROUNDDOWN({0},0)</f>
      </c>
      <c r="AK102" s="5"/>
      <c r="AL102" s="2" t="s">
        <v>98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>
        <v>1</v>
      </c>
      <c r="BK102" s="8">
        <v>31.04</v>
      </c>
      <c r="BL102" s="2" t="s">
        <v>711</v>
      </c>
      <c r="BM102" s="7"/>
      <c r="BN102" s="7"/>
      <c r="BO102" s="4"/>
      <c r="BP102" s="8"/>
      <c r="BQ102" s="4"/>
      <c r="BR102" s="8"/>
      <c r="BS102" s="7"/>
      <c r="BT102" s="7"/>
      <c r="BU102" s="2" t="s">
        <v>107</v>
      </c>
      <c r="BV102" s="2" t="s">
        <v>95</v>
      </c>
      <c r="BW102" s="2" t="s">
        <v>317</v>
      </c>
      <c r="BX102" s="2" t="s">
        <v>712</v>
      </c>
      <c r="BY102" s="2" t="s">
        <v>110</v>
      </c>
      <c r="BZ102" s="2" t="s">
        <v>98</v>
      </c>
    </row>
    <row r="103">
      <c r="A103" s="2" t="s">
        <v>713</v>
      </c>
      <c r="B103" s="2" t="s">
        <v>87</v>
      </c>
      <c r="C103" s="2" t="s">
        <v>88</v>
      </c>
      <c r="D103" s="2" t="s">
        <v>525</v>
      </c>
      <c r="E103" s="2" t="s">
        <v>525</v>
      </c>
      <c r="F103" s="2" t="s">
        <v>714</v>
      </c>
      <c r="G103" s="2" t="s">
        <v>714</v>
      </c>
      <c r="H103" s="2" t="s">
        <v>714</v>
      </c>
      <c r="I103" s="2" t="s">
        <v>715</v>
      </c>
      <c r="J103" s="2" t="s">
        <v>93</v>
      </c>
      <c r="K103" s="2" t="s">
        <v>174</v>
      </c>
      <c r="L103" s="3">
        <v>31.35</v>
      </c>
      <c r="M103" s="3">
        <v>32.92</v>
      </c>
      <c r="N103" s="3">
        <v>69.99</v>
      </c>
      <c r="O103" s="2" t="s">
        <v>155</v>
      </c>
      <c r="P103" s="2" t="s">
        <v>115</v>
      </c>
      <c r="Q103" s="2" t="s">
        <v>97</v>
      </c>
      <c r="R103" s="2" t="s">
        <v>98</v>
      </c>
      <c r="S103" s="2" t="s">
        <v>716</v>
      </c>
      <c r="T103" s="2" t="s">
        <v>98</v>
      </c>
      <c r="U103" s="2" t="s">
        <v>117</v>
      </c>
      <c r="V103" s="2" t="s">
        <v>339</v>
      </c>
      <c r="W103" s="2" t="s">
        <v>103</v>
      </c>
      <c r="X103" s="2" t="s">
        <v>98</v>
      </c>
      <c r="Y103" s="2" t="s">
        <v>717</v>
      </c>
      <c r="Z103" s="4">
        <v>66</v>
      </c>
      <c r="AA103" s="4">
        <f>=ROUNDDOWN(18.3333333333333,0)</f>
      </c>
      <c r="AB103" s="5">
        <v>3.6</v>
      </c>
      <c r="AC103" s="2" t="s">
        <v>98</v>
      </c>
      <c r="AD103" s="4"/>
      <c r="AE103" s="4"/>
      <c r="AF103" s="6">
        <v>63</v>
      </c>
      <c r="AG103" s="6"/>
      <c r="AH103" s="7">
        <v>1</v>
      </c>
      <c r="AI103" s="4"/>
      <c r="AJ103" s="4">
        <f>=ROUNDDOWN({0},0)</f>
      </c>
      <c r="AK103" s="5"/>
      <c r="AL103" s="2" t="s">
        <v>98</v>
      </c>
      <c r="AM103" s="4"/>
      <c r="AN103" s="4"/>
      <c r="AO103" s="7">
        <v>0</v>
      </c>
      <c r="AP103" s="4"/>
      <c r="AQ103" s="8"/>
      <c r="AR103" s="4">
        <v>1</v>
      </c>
      <c r="AS103" s="8">
        <v>34.56</v>
      </c>
      <c r="AT103" s="7">
        <v>-1</v>
      </c>
      <c r="AU103" s="7">
        <v>-1</v>
      </c>
      <c r="AV103" s="4"/>
      <c r="AW103" s="8"/>
      <c r="AX103" s="4">
        <v>1</v>
      </c>
      <c r="AY103" s="8">
        <v>34.56</v>
      </c>
      <c r="AZ103" s="7">
        <v>-1</v>
      </c>
      <c r="BA103" s="7">
        <v>-1</v>
      </c>
      <c r="BB103" s="7"/>
      <c r="BC103" s="4"/>
      <c r="BD103" s="8"/>
      <c r="BE103" s="4">
        <v>1</v>
      </c>
      <c r="BF103" s="8">
        <v>34.56</v>
      </c>
      <c r="BG103" s="7">
        <v>-1</v>
      </c>
      <c r="BH103" s="7">
        <v>-1</v>
      </c>
      <c r="BI103" s="7"/>
      <c r="BJ103" s="4">
        <v>4</v>
      </c>
      <c r="BK103" s="8">
        <v>127.71</v>
      </c>
      <c r="BL103" s="2" t="s">
        <v>718</v>
      </c>
      <c r="BM103" s="7"/>
      <c r="BN103" s="7"/>
      <c r="BO103" s="4"/>
      <c r="BP103" s="8"/>
      <c r="BQ103" s="4">
        <v>1</v>
      </c>
      <c r="BR103" s="8">
        <v>34.56</v>
      </c>
      <c r="BS103" s="7">
        <v>-1</v>
      </c>
      <c r="BT103" s="7">
        <v>-1</v>
      </c>
      <c r="BU103" s="2" t="s">
        <v>107</v>
      </c>
      <c r="BV103" s="2" t="s">
        <v>95</v>
      </c>
      <c r="BW103" s="2" t="s">
        <v>453</v>
      </c>
      <c r="BX103" s="2" t="s">
        <v>719</v>
      </c>
      <c r="BY103" s="2" t="s">
        <v>110</v>
      </c>
      <c r="BZ103" s="2" t="s">
        <v>98</v>
      </c>
    </row>
    <row r="104">
      <c r="A104" s="2" t="s">
        <v>720</v>
      </c>
      <c r="B104" s="2" t="s">
        <v>87</v>
      </c>
      <c r="C104" s="2" t="s">
        <v>88</v>
      </c>
      <c r="D104" s="2" t="s">
        <v>525</v>
      </c>
      <c r="E104" s="2" t="s">
        <v>525</v>
      </c>
      <c r="F104" s="2" t="s">
        <v>721</v>
      </c>
      <c r="G104" s="2" t="s">
        <v>721</v>
      </c>
      <c r="H104" s="2" t="s">
        <v>721</v>
      </c>
      <c r="I104" s="2" t="s">
        <v>722</v>
      </c>
      <c r="J104" s="2" t="s">
        <v>93</v>
      </c>
      <c r="K104" s="2" t="s">
        <v>277</v>
      </c>
      <c r="L104" s="3">
        <v>58.22</v>
      </c>
      <c r="M104" s="3">
        <v>61.13</v>
      </c>
      <c r="N104" s="3">
        <v>118.99</v>
      </c>
      <c r="O104" s="2" t="s">
        <v>95</v>
      </c>
      <c r="P104" s="2" t="s">
        <v>142</v>
      </c>
      <c r="Q104" s="2" t="s">
        <v>97</v>
      </c>
      <c r="R104" s="2" t="s">
        <v>98</v>
      </c>
      <c r="S104" s="2" t="s">
        <v>723</v>
      </c>
      <c r="T104" s="2" t="s">
        <v>98</v>
      </c>
      <c r="U104" s="2" t="s">
        <v>724</v>
      </c>
      <c r="V104" s="2" t="s">
        <v>331</v>
      </c>
      <c r="W104" s="2" t="s">
        <v>102</v>
      </c>
      <c r="X104" s="2" t="s">
        <v>98</v>
      </c>
      <c r="Y104" s="2" t="s">
        <v>725</v>
      </c>
      <c r="Z104" s="4">
        <v>63</v>
      </c>
      <c r="AA104" s="4">
        <f>=ROUNDDOWN(31.5,0)</f>
      </c>
      <c r="AB104" s="5">
        <v>2</v>
      </c>
      <c r="AC104" s="2" t="s">
        <v>98</v>
      </c>
      <c r="AD104" s="4"/>
      <c r="AE104" s="4"/>
      <c r="AF104" s="6">
        <v>63</v>
      </c>
      <c r="AG104" s="6"/>
      <c r="AH104" s="7">
        <v>1</v>
      </c>
      <c r="AI104" s="4"/>
      <c r="AJ104" s="4">
        <f>=ROUNDDOWN({0},0)</f>
      </c>
      <c r="AK104" s="5"/>
      <c r="AL104" s="2" t="s">
        <v>98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726</v>
      </c>
      <c r="BM104" s="7"/>
      <c r="BN104" s="7"/>
      <c r="BO104" s="4"/>
      <c r="BP104" s="8"/>
      <c r="BQ104" s="4"/>
      <c r="BR104" s="8"/>
      <c r="BS104" s="7"/>
      <c r="BT104" s="7"/>
      <c r="BU104" s="2" t="s">
        <v>107</v>
      </c>
      <c r="BV104" s="2" t="s">
        <v>95</v>
      </c>
      <c r="BW104" s="2" t="s">
        <v>453</v>
      </c>
      <c r="BX104" s="2" t="s">
        <v>727</v>
      </c>
      <c r="BY104" s="2" t="s">
        <v>110</v>
      </c>
      <c r="BZ104" s="2" t="s">
        <v>98</v>
      </c>
    </row>
    <row r="105">
      <c r="A105" s="2" t="s">
        <v>728</v>
      </c>
      <c r="B105" s="2" t="s">
        <v>87</v>
      </c>
      <c r="C105" s="2" t="s">
        <v>88</v>
      </c>
      <c r="D105" s="2" t="s">
        <v>525</v>
      </c>
      <c r="E105" s="2" t="s">
        <v>525</v>
      </c>
      <c r="F105" s="2" t="s">
        <v>729</v>
      </c>
      <c r="G105" s="2" t="s">
        <v>729</v>
      </c>
      <c r="H105" s="2" t="s">
        <v>729</v>
      </c>
      <c r="I105" s="2" t="s">
        <v>730</v>
      </c>
      <c r="J105" s="2" t="s">
        <v>93</v>
      </c>
      <c r="K105" s="2" t="s">
        <v>473</v>
      </c>
      <c r="L105" s="3">
        <v>61.71</v>
      </c>
      <c r="M105" s="3">
        <v>64.8</v>
      </c>
      <c r="N105" s="3">
        <v>127.49</v>
      </c>
      <c r="O105" s="2" t="s">
        <v>95</v>
      </c>
      <c r="P105" s="2" t="s">
        <v>134</v>
      </c>
      <c r="Q105" s="2" t="s">
        <v>97</v>
      </c>
      <c r="R105" s="2" t="s">
        <v>98</v>
      </c>
      <c r="S105" s="2" t="s">
        <v>731</v>
      </c>
      <c r="T105" s="2" t="s">
        <v>98</v>
      </c>
      <c r="U105" s="2" t="s">
        <v>100</v>
      </c>
      <c r="V105" s="2" t="s">
        <v>331</v>
      </c>
      <c r="W105" s="2" t="s">
        <v>102</v>
      </c>
      <c r="X105" s="2" t="s">
        <v>297</v>
      </c>
      <c r="Y105" s="2" t="s">
        <v>467</v>
      </c>
      <c r="Z105" s="4">
        <v>70</v>
      </c>
      <c r="AA105" s="4">
        <f>=ROUNDDOWN(11.6666666666667,0)</f>
      </c>
      <c r="AB105" s="5">
        <v>6</v>
      </c>
      <c r="AC105" s="2" t="s">
        <v>177</v>
      </c>
      <c r="AD105" s="4">
        <v>120</v>
      </c>
      <c r="AE105" s="4">
        <v>120</v>
      </c>
      <c r="AF105" s="6">
        <v>63</v>
      </c>
      <c r="AG105" s="6"/>
      <c r="AH105" s="7">
        <v>1</v>
      </c>
      <c r="AI105" s="4"/>
      <c r="AJ105" s="4">
        <f>=ROUNDDOWN({0},0)</f>
      </c>
      <c r="AK105" s="5"/>
      <c r="AL105" s="2" t="s">
        <v>98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>
        <v>5</v>
      </c>
      <c r="BK105" s="8">
        <v>386.3</v>
      </c>
      <c r="BL105" s="2" t="s">
        <v>732</v>
      </c>
      <c r="BM105" s="7"/>
      <c r="BN105" s="7"/>
      <c r="BO105" s="4"/>
      <c r="BP105" s="8"/>
      <c r="BQ105" s="4"/>
      <c r="BR105" s="8"/>
      <c r="BS105" s="7"/>
      <c r="BT105" s="7"/>
      <c r="BU105" s="2" t="s">
        <v>107</v>
      </c>
      <c r="BV105" s="2" t="s">
        <v>95</v>
      </c>
      <c r="BW105" s="2" t="s">
        <v>122</v>
      </c>
      <c r="BX105" s="2" t="s">
        <v>425</v>
      </c>
      <c r="BY105" s="2" t="s">
        <v>110</v>
      </c>
      <c r="BZ105" s="2" t="s">
        <v>98</v>
      </c>
    </row>
    <row r="106">
      <c r="A106" s="2" t="s">
        <v>733</v>
      </c>
      <c r="B106" s="2" t="s">
        <v>87</v>
      </c>
      <c r="C106" s="2" t="s">
        <v>88</v>
      </c>
      <c r="D106" s="2" t="s">
        <v>525</v>
      </c>
      <c r="E106" s="2" t="s">
        <v>525</v>
      </c>
      <c r="F106" s="2" t="s">
        <v>734</v>
      </c>
      <c r="G106" s="2" t="s">
        <v>734</v>
      </c>
      <c r="H106" s="2" t="s">
        <v>734</v>
      </c>
      <c r="I106" s="2" t="s">
        <v>735</v>
      </c>
      <c r="J106" s="2" t="s">
        <v>93</v>
      </c>
      <c r="K106" s="2" t="s">
        <v>736</v>
      </c>
      <c r="L106" s="3">
        <v>28.33</v>
      </c>
      <c r="M106" s="3">
        <v>29.75</v>
      </c>
      <c r="N106" s="3">
        <v>59.49</v>
      </c>
      <c r="O106" s="2" t="s">
        <v>95</v>
      </c>
      <c r="P106" s="2" t="s">
        <v>295</v>
      </c>
      <c r="Q106" s="2" t="s">
        <v>97</v>
      </c>
      <c r="R106" s="2" t="s">
        <v>98</v>
      </c>
      <c r="S106" s="2" t="s">
        <v>98</v>
      </c>
      <c r="T106" s="2" t="s">
        <v>98</v>
      </c>
      <c r="U106" s="2" t="s">
        <v>117</v>
      </c>
      <c r="V106" s="2" t="s">
        <v>313</v>
      </c>
      <c r="W106" s="2" t="s">
        <v>737</v>
      </c>
      <c r="X106" s="2" t="s">
        <v>204</v>
      </c>
      <c r="Y106" s="2" t="s">
        <v>738</v>
      </c>
      <c r="Z106" s="4">
        <v>61</v>
      </c>
      <c r="AA106" s="4">
        <f>=ROUNDDOWN(30.5,0)</f>
      </c>
      <c r="AB106" s="5">
        <v>2</v>
      </c>
      <c r="AC106" s="2" t="s">
        <v>98</v>
      </c>
      <c r="AD106" s="4"/>
      <c r="AE106" s="4"/>
      <c r="AF106" s="6">
        <v>63</v>
      </c>
      <c r="AG106" s="6"/>
      <c r="AH106" s="7">
        <v>1</v>
      </c>
      <c r="AI106" s="4"/>
      <c r="AJ106" s="4">
        <f>=ROUNDDOWN({0},0)</f>
      </c>
      <c r="AK106" s="5"/>
      <c r="AL106" s="2" t="s">
        <v>98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/>
      <c r="BK106" s="8"/>
      <c r="BL106" s="2" t="s">
        <v>98</v>
      </c>
      <c r="BM106" s="7"/>
      <c r="BN106" s="7"/>
      <c r="BO106" s="4"/>
      <c r="BP106" s="8"/>
      <c r="BQ106" s="4"/>
      <c r="BR106" s="8"/>
      <c r="BS106" s="7"/>
      <c r="BT106" s="7"/>
      <c r="BU106" s="2" t="s">
        <v>107</v>
      </c>
      <c r="BV106" s="2" t="s">
        <v>95</v>
      </c>
      <c r="BW106" s="2" t="s">
        <v>300</v>
      </c>
      <c r="BX106" s="2" t="s">
        <v>570</v>
      </c>
      <c r="BY106" s="2" t="s">
        <v>110</v>
      </c>
      <c r="BZ106" s="2" t="s">
        <v>98</v>
      </c>
    </row>
    <row r="107">
      <c r="A107" s="2" t="s">
        <v>739</v>
      </c>
      <c r="B107" s="2" t="s">
        <v>87</v>
      </c>
      <c r="C107" s="2" t="s">
        <v>88</v>
      </c>
      <c r="D107" s="2" t="s">
        <v>525</v>
      </c>
      <c r="E107" s="2" t="s">
        <v>525</v>
      </c>
      <c r="F107" s="2" t="s">
        <v>740</v>
      </c>
      <c r="G107" s="2" t="s">
        <v>740</v>
      </c>
      <c r="H107" s="2" t="s">
        <v>740</v>
      </c>
      <c r="I107" s="2" t="s">
        <v>741</v>
      </c>
      <c r="J107" s="2" t="s">
        <v>93</v>
      </c>
      <c r="K107" s="2" t="s">
        <v>742</v>
      </c>
      <c r="L107" s="3">
        <v>40.47</v>
      </c>
      <c r="M107" s="3">
        <v>42.49</v>
      </c>
      <c r="N107" s="3">
        <v>84.99</v>
      </c>
      <c r="O107" s="2" t="s">
        <v>95</v>
      </c>
      <c r="P107" s="2" t="s">
        <v>295</v>
      </c>
      <c r="Q107" s="2" t="s">
        <v>97</v>
      </c>
      <c r="R107" s="2" t="s">
        <v>98</v>
      </c>
      <c r="S107" s="2" t="s">
        <v>98</v>
      </c>
      <c r="T107" s="2" t="s">
        <v>98</v>
      </c>
      <c r="U107" s="2" t="s">
        <v>117</v>
      </c>
      <c r="V107" s="2" t="s">
        <v>486</v>
      </c>
      <c r="W107" s="2" t="s">
        <v>314</v>
      </c>
      <c r="X107" s="2" t="s">
        <v>340</v>
      </c>
      <c r="Y107" s="2" t="s">
        <v>743</v>
      </c>
      <c r="Z107" s="4">
        <v>69</v>
      </c>
      <c r="AA107" s="4">
        <f>=ROUNDDOWN(34.5,0)</f>
      </c>
      <c r="AB107" s="5">
        <v>2</v>
      </c>
      <c r="AC107" s="2" t="s">
        <v>98</v>
      </c>
      <c r="AD107" s="4"/>
      <c r="AE107" s="4"/>
      <c r="AF107" s="6">
        <v>63</v>
      </c>
      <c r="AG107" s="6"/>
      <c r="AH107" s="7">
        <v>1</v>
      </c>
      <c r="AI107" s="4"/>
      <c r="AJ107" s="4">
        <f>=ROUNDDOWN({0},0)</f>
      </c>
      <c r="AK107" s="5"/>
      <c r="AL107" s="2" t="s">
        <v>98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98</v>
      </c>
      <c r="BM107" s="7"/>
      <c r="BN107" s="7"/>
      <c r="BO107" s="4"/>
      <c r="BP107" s="8"/>
      <c r="BQ107" s="4"/>
      <c r="BR107" s="8"/>
      <c r="BS107" s="7"/>
      <c r="BT107" s="7"/>
      <c r="BU107" s="2" t="s">
        <v>107</v>
      </c>
      <c r="BV107" s="2" t="s">
        <v>95</v>
      </c>
      <c r="BW107" s="2" t="s">
        <v>300</v>
      </c>
      <c r="BX107" s="2" t="s">
        <v>744</v>
      </c>
      <c r="BY107" s="2" t="s">
        <v>110</v>
      </c>
      <c r="BZ107" s="2" t="s">
        <v>98</v>
      </c>
    </row>
    <row r="108">
      <c r="A108" s="2" t="s">
        <v>745</v>
      </c>
      <c r="B108" s="2" t="s">
        <v>87</v>
      </c>
      <c r="C108" s="2" t="s">
        <v>88</v>
      </c>
      <c r="D108" s="2" t="s">
        <v>525</v>
      </c>
      <c r="E108" s="2" t="s">
        <v>525</v>
      </c>
      <c r="F108" s="2" t="s">
        <v>746</v>
      </c>
      <c r="G108" s="2" t="s">
        <v>746</v>
      </c>
      <c r="H108" s="2" t="s">
        <v>746</v>
      </c>
      <c r="I108" s="2" t="s">
        <v>747</v>
      </c>
      <c r="J108" s="2" t="s">
        <v>93</v>
      </c>
      <c r="K108" s="2" t="s">
        <v>236</v>
      </c>
      <c r="L108" s="3">
        <v>50.03</v>
      </c>
      <c r="M108" s="3">
        <v>52.53</v>
      </c>
      <c r="N108" s="3">
        <v>101.99</v>
      </c>
      <c r="O108" s="2" t="s">
        <v>95</v>
      </c>
      <c r="P108" s="2" t="s">
        <v>142</v>
      </c>
      <c r="Q108" s="2" t="s">
        <v>97</v>
      </c>
      <c r="R108" s="2" t="s">
        <v>98</v>
      </c>
      <c r="S108" s="2" t="s">
        <v>98</v>
      </c>
      <c r="T108" s="2" t="s">
        <v>98</v>
      </c>
      <c r="U108" s="2" t="s">
        <v>100</v>
      </c>
      <c r="V108" s="2" t="s">
        <v>331</v>
      </c>
      <c r="W108" s="2" t="s">
        <v>102</v>
      </c>
      <c r="X108" s="2" t="s">
        <v>98</v>
      </c>
      <c r="Y108" s="2" t="s">
        <v>748</v>
      </c>
      <c r="Z108" s="4">
        <v>37</v>
      </c>
      <c r="AA108" s="4">
        <f>=ROUNDDOWN(24.6666666666667,0)</f>
      </c>
      <c r="AB108" s="5">
        <v>1.5</v>
      </c>
      <c r="AC108" s="2" t="s">
        <v>177</v>
      </c>
      <c r="AD108" s="4">
        <v>100</v>
      </c>
      <c r="AE108" s="4">
        <v>100</v>
      </c>
      <c r="AF108" s="6">
        <v>63</v>
      </c>
      <c r="AG108" s="6"/>
      <c r="AH108" s="7">
        <v>1</v>
      </c>
      <c r="AI108" s="4"/>
      <c r="AJ108" s="4">
        <f>=ROUNDDOWN({0},0)</f>
      </c>
      <c r="AK108" s="5"/>
      <c r="AL108" s="2" t="s">
        <v>98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>
        <v>2</v>
      </c>
      <c r="BK108" s="8">
        <v>112.3</v>
      </c>
      <c r="BL108" s="2" t="s">
        <v>749</v>
      </c>
      <c r="BM108" s="7"/>
      <c r="BN108" s="7"/>
      <c r="BO108" s="4"/>
      <c r="BP108" s="8"/>
      <c r="BQ108" s="4"/>
      <c r="BR108" s="8"/>
      <c r="BS108" s="7"/>
      <c r="BT108" s="7"/>
      <c r="BU108" s="2" t="s">
        <v>107</v>
      </c>
      <c r="BV108" s="2" t="s">
        <v>95</v>
      </c>
      <c r="BW108" s="2" t="s">
        <v>750</v>
      </c>
      <c r="BX108" s="2" t="s">
        <v>751</v>
      </c>
      <c r="BY108" s="2" t="s">
        <v>110</v>
      </c>
      <c r="BZ108" s="2" t="s">
        <v>98</v>
      </c>
    </row>
    <row r="109">
      <c r="A109" s="2" t="s">
        <v>752</v>
      </c>
      <c r="B109" s="2" t="s">
        <v>87</v>
      </c>
      <c r="C109" s="2" t="s">
        <v>88</v>
      </c>
      <c r="D109" s="2" t="s">
        <v>525</v>
      </c>
      <c r="E109" s="2" t="s">
        <v>525</v>
      </c>
      <c r="F109" s="2" t="s">
        <v>753</v>
      </c>
      <c r="G109" s="2" t="s">
        <v>753</v>
      </c>
      <c r="H109" s="2" t="s">
        <v>753</v>
      </c>
      <c r="I109" s="2" t="s">
        <v>754</v>
      </c>
      <c r="J109" s="2" t="s">
        <v>93</v>
      </c>
      <c r="K109" s="2" t="s">
        <v>236</v>
      </c>
      <c r="L109" s="3">
        <v>36.42</v>
      </c>
      <c r="M109" s="3">
        <v>38.24</v>
      </c>
      <c r="N109" s="3">
        <v>76.49</v>
      </c>
      <c r="O109" s="2" t="s">
        <v>95</v>
      </c>
      <c r="P109" s="2" t="s">
        <v>295</v>
      </c>
      <c r="Q109" s="2" t="s">
        <v>97</v>
      </c>
      <c r="R109" s="2" t="s">
        <v>98</v>
      </c>
      <c r="S109" s="2" t="s">
        <v>98</v>
      </c>
      <c r="T109" s="2" t="s">
        <v>98</v>
      </c>
      <c r="U109" s="2" t="s">
        <v>157</v>
      </c>
      <c r="V109" s="2" t="s">
        <v>331</v>
      </c>
      <c r="W109" s="2" t="s">
        <v>297</v>
      </c>
      <c r="X109" s="2" t="s">
        <v>102</v>
      </c>
      <c r="Y109" s="2" t="s">
        <v>743</v>
      </c>
      <c r="Z109" s="4">
        <v>92</v>
      </c>
      <c r="AA109" s="4">
        <f>=ROUNDDOWN(30.6666666666667,0)</f>
      </c>
      <c r="AB109" s="5">
        <v>3</v>
      </c>
      <c r="AC109" s="2" t="s">
        <v>98</v>
      </c>
      <c r="AD109" s="4"/>
      <c r="AE109" s="4"/>
      <c r="AF109" s="6">
        <v>63</v>
      </c>
      <c r="AG109" s="6"/>
      <c r="AH109" s="7">
        <v>1</v>
      </c>
      <c r="AI109" s="4"/>
      <c r="AJ109" s="4">
        <f>=ROUNDDOWN({0},0)</f>
      </c>
      <c r="AK109" s="5"/>
      <c r="AL109" s="2" t="s">
        <v>98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98</v>
      </c>
      <c r="BM109" s="7"/>
      <c r="BN109" s="7"/>
      <c r="BO109" s="4"/>
      <c r="BP109" s="8"/>
      <c r="BQ109" s="4"/>
      <c r="BR109" s="8"/>
      <c r="BS109" s="7"/>
      <c r="BT109" s="7"/>
      <c r="BU109" s="2" t="s">
        <v>107</v>
      </c>
      <c r="BV109" s="2" t="s">
        <v>95</v>
      </c>
      <c r="BW109" s="2" t="s">
        <v>300</v>
      </c>
      <c r="BX109" s="2" t="s">
        <v>98</v>
      </c>
      <c r="BY109" s="2" t="s">
        <v>110</v>
      </c>
      <c r="BZ109" s="2" t="s">
        <v>98</v>
      </c>
    </row>
    <row r="110">
      <c r="A110" s="2" t="s">
        <v>755</v>
      </c>
      <c r="B110" s="2" t="s">
        <v>87</v>
      </c>
      <c r="C110" s="2" t="s">
        <v>88</v>
      </c>
      <c r="D110" s="2" t="s">
        <v>525</v>
      </c>
      <c r="E110" s="2" t="s">
        <v>525</v>
      </c>
      <c r="F110" s="2" t="s">
        <v>756</v>
      </c>
      <c r="G110" s="2" t="s">
        <v>756</v>
      </c>
      <c r="H110" s="2" t="s">
        <v>756</v>
      </c>
      <c r="I110" s="2" t="s">
        <v>757</v>
      </c>
      <c r="J110" s="2" t="s">
        <v>93</v>
      </c>
      <c r="K110" s="2" t="s">
        <v>133</v>
      </c>
      <c r="L110" s="3">
        <v>68.02</v>
      </c>
      <c r="M110" s="3">
        <v>71.42</v>
      </c>
      <c r="N110" s="3">
        <v>146.99</v>
      </c>
      <c r="O110" s="2" t="s">
        <v>155</v>
      </c>
      <c r="P110" s="2" t="s">
        <v>115</v>
      </c>
      <c r="Q110" s="2" t="s">
        <v>97</v>
      </c>
      <c r="R110" s="2" t="s">
        <v>98</v>
      </c>
      <c r="S110" s="2" t="s">
        <v>758</v>
      </c>
      <c r="T110" s="2" t="s">
        <v>98</v>
      </c>
      <c r="U110" s="2" t="s">
        <v>157</v>
      </c>
      <c r="V110" s="2" t="s">
        <v>331</v>
      </c>
      <c r="W110" s="2" t="s">
        <v>297</v>
      </c>
      <c r="X110" s="2" t="s">
        <v>636</v>
      </c>
      <c r="Y110" s="2" t="s">
        <v>637</v>
      </c>
      <c r="Z110" s="4">
        <v>55</v>
      </c>
      <c r="AA110" s="4">
        <f>=ROUNDDOWN(39.2857142857143,0)</f>
      </c>
      <c r="AB110" s="5">
        <v>1.4</v>
      </c>
      <c r="AC110" s="2" t="s">
        <v>98</v>
      </c>
      <c r="AD110" s="4"/>
      <c r="AE110" s="4"/>
      <c r="AF110" s="6">
        <v>63</v>
      </c>
      <c r="AG110" s="6"/>
      <c r="AH110" s="7">
        <v>1</v>
      </c>
      <c r="AI110" s="4"/>
      <c r="AJ110" s="4">
        <f>=ROUNDDOWN({0},0)</f>
      </c>
      <c r="AK110" s="5"/>
      <c r="AL110" s="2" t="s">
        <v>98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>
        <v>1</v>
      </c>
      <c r="BK110" s="8">
        <v>46.42</v>
      </c>
      <c r="BL110" s="2" t="s">
        <v>759</v>
      </c>
      <c r="BM110" s="7"/>
      <c r="BN110" s="7"/>
      <c r="BO110" s="4"/>
      <c r="BP110" s="8"/>
      <c r="BQ110" s="4"/>
      <c r="BR110" s="8"/>
      <c r="BS110" s="7"/>
      <c r="BT110" s="7"/>
      <c r="BU110" s="2" t="s">
        <v>107</v>
      </c>
      <c r="BV110" s="2" t="s">
        <v>95</v>
      </c>
      <c r="BW110" s="2" t="s">
        <v>639</v>
      </c>
      <c r="BX110" s="2" t="s">
        <v>760</v>
      </c>
      <c r="BY110" s="2" t="s">
        <v>110</v>
      </c>
      <c r="BZ110" s="2" t="s">
        <v>98</v>
      </c>
    </row>
    <row r="111">
      <c r="A111" s="2" t="s">
        <v>761</v>
      </c>
      <c r="B111" s="2" t="s">
        <v>87</v>
      </c>
      <c r="C111" s="2" t="s">
        <v>88</v>
      </c>
      <c r="D111" s="2" t="s">
        <v>525</v>
      </c>
      <c r="E111" s="2" t="s">
        <v>525</v>
      </c>
      <c r="F111" s="2" t="s">
        <v>762</v>
      </c>
      <c r="G111" s="2" t="s">
        <v>98</v>
      </c>
      <c r="H111" s="2" t="s">
        <v>98</v>
      </c>
      <c r="I111" s="2" t="s">
        <v>628</v>
      </c>
      <c r="J111" s="2" t="s">
        <v>93</v>
      </c>
      <c r="K111" s="2" t="s">
        <v>277</v>
      </c>
      <c r="L111" s="3">
        <v>58.7</v>
      </c>
      <c r="M111" s="3">
        <v>61.64</v>
      </c>
      <c r="N111" s="3">
        <v>118.99</v>
      </c>
      <c r="O111" s="2" t="s">
        <v>95</v>
      </c>
      <c r="P111" s="2" t="s">
        <v>115</v>
      </c>
      <c r="Q111" s="2" t="s">
        <v>97</v>
      </c>
      <c r="R111" s="2" t="s">
        <v>98</v>
      </c>
      <c r="S111" s="2" t="s">
        <v>763</v>
      </c>
      <c r="T111" s="2" t="s">
        <v>98</v>
      </c>
      <c r="U111" s="2" t="s">
        <v>157</v>
      </c>
      <c r="V111" s="2" t="s">
        <v>165</v>
      </c>
      <c r="W111" s="2" t="s">
        <v>165</v>
      </c>
      <c r="X111" s="2" t="s">
        <v>98</v>
      </c>
      <c r="Y111" s="2" t="s">
        <v>620</v>
      </c>
      <c r="Z111" s="4">
        <v>45</v>
      </c>
      <c r="AA111" s="4">
        <f>=ROUNDDOWN(32.1428571428571,0)</f>
      </c>
      <c r="AB111" s="5">
        <v>1.4</v>
      </c>
      <c r="AC111" s="2" t="s">
        <v>98</v>
      </c>
      <c r="AD111" s="4"/>
      <c r="AE111" s="4"/>
      <c r="AF111" s="6">
        <v>63</v>
      </c>
      <c r="AG111" s="6"/>
      <c r="AH111" s="7">
        <v>1</v>
      </c>
      <c r="AI111" s="4"/>
      <c r="AJ111" s="4">
        <f>=ROUNDDOWN({0},0)</f>
      </c>
      <c r="AK111" s="5"/>
      <c r="AL111" s="2" t="s">
        <v>98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>
        <v>1</v>
      </c>
      <c r="BK111" s="8">
        <v>71</v>
      </c>
      <c r="BL111" s="2" t="s">
        <v>505</v>
      </c>
      <c r="BM111" s="7"/>
      <c r="BN111" s="7"/>
      <c r="BO111" s="4"/>
      <c r="BP111" s="8"/>
      <c r="BQ111" s="4"/>
      <c r="BR111" s="8"/>
      <c r="BS111" s="7"/>
      <c r="BT111" s="7"/>
      <c r="BU111" s="2" t="s">
        <v>107</v>
      </c>
      <c r="BV111" s="2" t="s">
        <v>95</v>
      </c>
      <c r="BW111" s="2" t="s">
        <v>453</v>
      </c>
      <c r="BX111" s="2" t="s">
        <v>764</v>
      </c>
      <c r="BY111" s="2" t="s">
        <v>110</v>
      </c>
      <c r="BZ111" s="2" t="s">
        <v>98</v>
      </c>
    </row>
    <row r="112">
      <c r="A112" s="2" t="s">
        <v>765</v>
      </c>
      <c r="B112" s="2" t="s">
        <v>87</v>
      </c>
      <c r="C112" s="2" t="s">
        <v>88</v>
      </c>
      <c r="D112" s="2" t="s">
        <v>525</v>
      </c>
      <c r="E112" s="2" t="s">
        <v>525</v>
      </c>
      <c r="F112" s="2" t="s">
        <v>766</v>
      </c>
      <c r="G112" s="2" t="s">
        <v>766</v>
      </c>
      <c r="H112" s="2" t="s">
        <v>766</v>
      </c>
      <c r="I112" s="2" t="s">
        <v>767</v>
      </c>
      <c r="J112" s="2" t="s">
        <v>93</v>
      </c>
      <c r="K112" s="2" t="s">
        <v>768</v>
      </c>
      <c r="L112" s="3">
        <v>64.52</v>
      </c>
      <c r="M112" s="3">
        <v>67.75</v>
      </c>
      <c r="N112" s="3">
        <v>124.94</v>
      </c>
      <c r="O112" s="2" t="s">
        <v>95</v>
      </c>
      <c r="P112" s="2" t="s">
        <v>96</v>
      </c>
      <c r="Q112" s="2" t="s">
        <v>97</v>
      </c>
      <c r="R112" s="2" t="s">
        <v>98</v>
      </c>
      <c r="S112" s="2" t="s">
        <v>769</v>
      </c>
      <c r="T112" s="2" t="s">
        <v>98</v>
      </c>
      <c r="U112" s="2" t="s">
        <v>157</v>
      </c>
      <c r="V112" s="2" t="s">
        <v>331</v>
      </c>
      <c r="W112" s="2" t="s">
        <v>297</v>
      </c>
      <c r="X112" s="2" t="s">
        <v>770</v>
      </c>
      <c r="Y112" s="2" t="s">
        <v>637</v>
      </c>
      <c r="Z112" s="4">
        <v>226</v>
      </c>
      <c r="AA112" s="4">
        <f>=ROUNDDOWN(32.2857142857143,0)</f>
      </c>
      <c r="AB112" s="5">
        <v>7</v>
      </c>
      <c r="AC112" s="2" t="s">
        <v>98</v>
      </c>
      <c r="AD112" s="4"/>
      <c r="AE112" s="4"/>
      <c r="AF112" s="6">
        <v>63</v>
      </c>
      <c r="AG112" s="6"/>
      <c r="AH112" s="7">
        <v>1</v>
      </c>
      <c r="AI112" s="4"/>
      <c r="AJ112" s="4">
        <f>=ROUNDDOWN({0},0)</f>
      </c>
      <c r="AK112" s="5"/>
      <c r="AL112" s="2" t="s">
        <v>98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>
        <v>4</v>
      </c>
      <c r="BK112" s="8">
        <v>303.07</v>
      </c>
      <c r="BL112" s="2" t="s">
        <v>428</v>
      </c>
      <c r="BM112" s="7"/>
      <c r="BN112" s="7"/>
      <c r="BO112" s="4"/>
      <c r="BP112" s="8"/>
      <c r="BQ112" s="4"/>
      <c r="BR112" s="8"/>
      <c r="BS112" s="7"/>
      <c r="BT112" s="7"/>
      <c r="BU112" s="2" t="s">
        <v>107</v>
      </c>
      <c r="BV112" s="2" t="s">
        <v>95</v>
      </c>
      <c r="BW112" s="2" t="s">
        <v>639</v>
      </c>
      <c r="BX112" s="2" t="s">
        <v>771</v>
      </c>
      <c r="BY112" s="2" t="s">
        <v>110</v>
      </c>
      <c r="BZ112" s="2" t="s">
        <v>98</v>
      </c>
    </row>
    <row r="113">
      <c r="A113" s="2" t="s">
        <v>772</v>
      </c>
      <c r="B113" s="2" t="s">
        <v>87</v>
      </c>
      <c r="C113" s="2" t="s">
        <v>88</v>
      </c>
      <c r="D113" s="2" t="s">
        <v>525</v>
      </c>
      <c r="E113" s="2" t="s">
        <v>525</v>
      </c>
      <c r="F113" s="2" t="s">
        <v>773</v>
      </c>
      <c r="G113" s="2" t="s">
        <v>98</v>
      </c>
      <c r="H113" s="2" t="s">
        <v>98</v>
      </c>
      <c r="I113" s="2" t="s">
        <v>774</v>
      </c>
      <c r="J113" s="2" t="s">
        <v>93</v>
      </c>
      <c r="K113" s="2" t="s">
        <v>277</v>
      </c>
      <c r="L113" s="3">
        <v>43.16</v>
      </c>
      <c r="M113" s="3">
        <v>45.32</v>
      </c>
      <c r="N113" s="3">
        <v>89.99</v>
      </c>
      <c r="O113" s="2" t="s">
        <v>95</v>
      </c>
      <c r="P113" s="2" t="s">
        <v>115</v>
      </c>
      <c r="Q113" s="2" t="s">
        <v>97</v>
      </c>
      <c r="R113" s="2" t="s">
        <v>98</v>
      </c>
      <c r="S113" s="2" t="s">
        <v>775</v>
      </c>
      <c r="T113" s="2" t="s">
        <v>98</v>
      </c>
      <c r="U113" s="2" t="s">
        <v>157</v>
      </c>
      <c r="V113" s="2" t="s">
        <v>203</v>
      </c>
      <c r="W113" s="2" t="s">
        <v>146</v>
      </c>
      <c r="X113" s="2" t="s">
        <v>98</v>
      </c>
      <c r="Y113" s="2" t="s">
        <v>366</v>
      </c>
      <c r="Z113" s="4">
        <v>15</v>
      </c>
      <c r="AA113" s="4">
        <f>=ROUNDDOWN(15,0)</f>
      </c>
      <c r="AB113" s="5">
        <v>1</v>
      </c>
      <c r="AC113" s="2" t="s">
        <v>98</v>
      </c>
      <c r="AD113" s="4"/>
      <c r="AE113" s="4"/>
      <c r="AF113" s="6">
        <v>63</v>
      </c>
      <c r="AG113" s="6"/>
      <c r="AH113" s="7">
        <v>1</v>
      </c>
      <c r="AI113" s="4"/>
      <c r="AJ113" s="4">
        <f>=ROUNDDOWN({0},0)</f>
      </c>
      <c r="AK113" s="5"/>
      <c r="AL113" s="2" t="s">
        <v>98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/>
      <c r="BD113" s="8"/>
      <c r="BE113" s="4"/>
      <c r="BF113" s="8"/>
      <c r="BG113" s="7"/>
      <c r="BH113" s="7"/>
      <c r="BI113" s="7"/>
      <c r="BJ113" s="4">
        <v>1</v>
      </c>
      <c r="BK113" s="8">
        <v>29.46</v>
      </c>
      <c r="BL113" s="2" t="s">
        <v>759</v>
      </c>
      <c r="BM113" s="7"/>
      <c r="BN113" s="7"/>
      <c r="BO113" s="4"/>
      <c r="BP113" s="8"/>
      <c r="BQ113" s="4"/>
      <c r="BR113" s="8"/>
      <c r="BS113" s="7"/>
      <c r="BT113" s="7"/>
      <c r="BU113" s="2" t="s">
        <v>107</v>
      </c>
      <c r="BV113" s="2" t="s">
        <v>95</v>
      </c>
      <c r="BW113" s="2" t="s">
        <v>368</v>
      </c>
      <c r="BX113" s="2" t="s">
        <v>369</v>
      </c>
      <c r="BY113" s="2" t="s">
        <v>110</v>
      </c>
      <c r="BZ113" s="2" t="s">
        <v>98</v>
      </c>
    </row>
    <row r="114">
      <c r="A114" s="2" t="s">
        <v>776</v>
      </c>
      <c r="B114" s="2" t="s">
        <v>87</v>
      </c>
      <c r="C114" s="2" t="s">
        <v>88</v>
      </c>
      <c r="D114" s="2" t="s">
        <v>525</v>
      </c>
      <c r="E114" s="2" t="s">
        <v>525</v>
      </c>
      <c r="F114" s="2" t="s">
        <v>777</v>
      </c>
      <c r="G114" s="2" t="s">
        <v>777</v>
      </c>
      <c r="H114" s="2" t="s">
        <v>777</v>
      </c>
      <c r="I114" s="2" t="s">
        <v>778</v>
      </c>
      <c r="J114" s="2" t="s">
        <v>93</v>
      </c>
      <c r="K114" s="2" t="s">
        <v>779</v>
      </c>
      <c r="L114" s="3">
        <v>26.98</v>
      </c>
      <c r="M114" s="3">
        <v>28.33</v>
      </c>
      <c r="N114" s="3">
        <v>59.99</v>
      </c>
      <c r="O114" s="2" t="s">
        <v>155</v>
      </c>
      <c r="P114" s="2" t="s">
        <v>115</v>
      </c>
      <c r="Q114" s="2" t="s">
        <v>97</v>
      </c>
      <c r="R114" s="2" t="s">
        <v>98</v>
      </c>
      <c r="S114" s="2" t="s">
        <v>780</v>
      </c>
      <c r="T114" s="2" t="s">
        <v>98</v>
      </c>
      <c r="U114" s="2" t="s">
        <v>157</v>
      </c>
      <c r="V114" s="2" t="s">
        <v>145</v>
      </c>
      <c r="W114" s="2" t="s">
        <v>146</v>
      </c>
      <c r="X114" s="2" t="s">
        <v>103</v>
      </c>
      <c r="Y114" s="2" t="s">
        <v>650</v>
      </c>
      <c r="Z114" s="4">
        <v>40</v>
      </c>
      <c r="AA114" s="4">
        <f>=ROUNDDOWN(7.69230769230769,0)</f>
      </c>
      <c r="AB114" s="5">
        <v>5.2</v>
      </c>
      <c r="AC114" s="2" t="s">
        <v>98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98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>
        <v>1</v>
      </c>
      <c r="BK114" s="8">
        <v>29.34</v>
      </c>
      <c r="BL114" s="2" t="s">
        <v>781</v>
      </c>
      <c r="BM114" s="7"/>
      <c r="BN114" s="7"/>
      <c r="BO114" s="4"/>
      <c r="BP114" s="8"/>
      <c r="BQ114" s="4"/>
      <c r="BR114" s="8"/>
      <c r="BS114" s="7"/>
      <c r="BT114" s="7"/>
      <c r="BU114" s="2" t="s">
        <v>107</v>
      </c>
      <c r="BV114" s="2" t="s">
        <v>95</v>
      </c>
      <c r="BW114" s="2" t="s">
        <v>352</v>
      </c>
      <c r="BX114" s="2" t="s">
        <v>782</v>
      </c>
      <c r="BY114" s="2" t="s">
        <v>110</v>
      </c>
      <c r="BZ114" s="2" t="s">
        <v>98</v>
      </c>
    </row>
    <row r="115">
      <c r="A115" s="2" t="s">
        <v>783</v>
      </c>
      <c r="B115" s="2" t="s">
        <v>87</v>
      </c>
      <c r="C115" s="2" t="s">
        <v>88</v>
      </c>
      <c r="D115" s="2" t="s">
        <v>525</v>
      </c>
      <c r="E115" s="2" t="s">
        <v>525</v>
      </c>
      <c r="F115" s="2" t="s">
        <v>784</v>
      </c>
      <c r="G115" s="2" t="s">
        <v>784</v>
      </c>
      <c r="H115" s="2" t="s">
        <v>784</v>
      </c>
      <c r="I115" s="2" t="s">
        <v>634</v>
      </c>
      <c r="J115" s="2" t="s">
        <v>93</v>
      </c>
      <c r="K115" s="2" t="s">
        <v>785</v>
      </c>
      <c r="L115" s="3">
        <v>43.01</v>
      </c>
      <c r="M115" s="3">
        <v>45.16</v>
      </c>
      <c r="N115" s="3">
        <v>84.99</v>
      </c>
      <c r="O115" s="2" t="s">
        <v>95</v>
      </c>
      <c r="P115" s="2" t="s">
        <v>96</v>
      </c>
      <c r="Q115" s="2" t="s">
        <v>97</v>
      </c>
      <c r="R115" s="2" t="s">
        <v>98</v>
      </c>
      <c r="S115" s="2" t="s">
        <v>786</v>
      </c>
      <c r="T115" s="2" t="s">
        <v>98</v>
      </c>
      <c r="U115" s="2" t="s">
        <v>100</v>
      </c>
      <c r="V115" s="2" t="s">
        <v>331</v>
      </c>
      <c r="W115" s="2" t="s">
        <v>297</v>
      </c>
      <c r="X115" s="2" t="s">
        <v>297</v>
      </c>
      <c r="Y115" s="2" t="s">
        <v>787</v>
      </c>
      <c r="Z115" s="4">
        <v>27</v>
      </c>
      <c r="AA115" s="4">
        <f>=ROUNDDOWN(1.92857142857143,0)</f>
      </c>
      <c r="AB115" s="5">
        <v>14</v>
      </c>
      <c r="AC115" s="2" t="s">
        <v>323</v>
      </c>
      <c r="AD115" s="4">
        <v>200</v>
      </c>
      <c r="AE115" s="4">
        <v>350</v>
      </c>
      <c r="AF115" s="6">
        <v>63</v>
      </c>
      <c r="AG115" s="6"/>
      <c r="AH115" s="7">
        <v>1</v>
      </c>
      <c r="AI115" s="4"/>
      <c r="AJ115" s="4">
        <f>=ROUNDDOWN({0},0)</f>
      </c>
      <c r="AK115" s="5"/>
      <c r="AL115" s="2" t="s">
        <v>98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>
        <v>7</v>
      </c>
      <c r="BK115" s="8">
        <v>363.23</v>
      </c>
      <c r="BL115" s="2" t="s">
        <v>788</v>
      </c>
      <c r="BM115" s="7"/>
      <c r="BN115" s="7"/>
      <c r="BO115" s="4"/>
      <c r="BP115" s="8"/>
      <c r="BQ115" s="4"/>
      <c r="BR115" s="8"/>
      <c r="BS115" s="7"/>
      <c r="BT115" s="7"/>
      <c r="BU115" s="2" t="s">
        <v>107</v>
      </c>
      <c r="BV115" s="2" t="s">
        <v>95</v>
      </c>
      <c r="BW115" s="2" t="s">
        <v>789</v>
      </c>
      <c r="BX115" s="2" t="s">
        <v>790</v>
      </c>
      <c r="BY115" s="2" t="s">
        <v>110</v>
      </c>
      <c r="BZ115" s="2" t="s">
        <v>98</v>
      </c>
    </row>
    <row r="116">
      <c r="A116" s="2" t="s">
        <v>791</v>
      </c>
      <c r="B116" s="2" t="s">
        <v>87</v>
      </c>
      <c r="C116" s="2" t="s">
        <v>88</v>
      </c>
      <c r="D116" s="2" t="s">
        <v>525</v>
      </c>
      <c r="E116" s="2" t="s">
        <v>326</v>
      </c>
      <c r="F116" s="2" t="s">
        <v>792</v>
      </c>
      <c r="G116" s="2" t="s">
        <v>792</v>
      </c>
      <c r="H116" s="2" t="s">
        <v>792</v>
      </c>
      <c r="I116" s="2" t="s">
        <v>793</v>
      </c>
      <c r="J116" s="2" t="s">
        <v>93</v>
      </c>
      <c r="K116" s="2" t="s">
        <v>127</v>
      </c>
      <c r="L116" s="3">
        <v>76.19</v>
      </c>
      <c r="M116" s="3">
        <v>80</v>
      </c>
      <c r="N116" s="3">
        <v>140.24</v>
      </c>
      <c r="O116" s="2" t="s">
        <v>95</v>
      </c>
      <c r="P116" s="2" t="s">
        <v>96</v>
      </c>
      <c r="Q116" s="2" t="s">
        <v>97</v>
      </c>
      <c r="R116" s="2" t="s">
        <v>98</v>
      </c>
      <c r="S116" s="2" t="s">
        <v>794</v>
      </c>
      <c r="T116" s="2" t="s">
        <v>98</v>
      </c>
      <c r="U116" s="2" t="s">
        <v>724</v>
      </c>
      <c r="V116" s="2" t="s">
        <v>331</v>
      </c>
      <c r="W116" s="2" t="s">
        <v>102</v>
      </c>
      <c r="X116" s="2" t="s">
        <v>98</v>
      </c>
      <c r="Y116" s="2" t="s">
        <v>795</v>
      </c>
      <c r="Z116" s="4">
        <v>209</v>
      </c>
      <c r="AA116" s="4">
        <f>=ROUNDDOWN(29.8571428571429,0)</f>
      </c>
      <c r="AB116" s="5">
        <v>7</v>
      </c>
      <c r="AC116" s="2" t="s">
        <v>98</v>
      </c>
      <c r="AD116" s="4"/>
      <c r="AE116" s="4"/>
      <c r="AF116" s="6">
        <v>63</v>
      </c>
      <c r="AG116" s="6"/>
      <c r="AH116" s="7">
        <v>1</v>
      </c>
      <c r="AI116" s="4"/>
      <c r="AJ116" s="4">
        <f>=ROUNDDOWN({0},0)</f>
      </c>
      <c r="AK116" s="5"/>
      <c r="AL116" s="2" t="s">
        <v>98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>
        <v>7</v>
      </c>
      <c r="BK116" s="8">
        <v>613.79</v>
      </c>
      <c r="BL116" s="2" t="s">
        <v>796</v>
      </c>
      <c r="BM116" s="7"/>
      <c r="BN116" s="7"/>
      <c r="BO116" s="4"/>
      <c r="BP116" s="8"/>
      <c r="BQ116" s="4"/>
      <c r="BR116" s="8"/>
      <c r="BS116" s="7"/>
      <c r="BT116" s="7"/>
      <c r="BU116" s="2" t="s">
        <v>107</v>
      </c>
      <c r="BV116" s="2" t="s">
        <v>95</v>
      </c>
      <c r="BW116" s="2" t="s">
        <v>368</v>
      </c>
      <c r="BX116" s="2" t="s">
        <v>797</v>
      </c>
      <c r="BY116" s="2" t="s">
        <v>110</v>
      </c>
      <c r="BZ116" s="2" t="s">
        <v>98</v>
      </c>
    </row>
    <row r="117">
      <c r="A117" s="2" t="s">
        <v>798</v>
      </c>
      <c r="B117" s="2" t="s">
        <v>87</v>
      </c>
      <c r="C117" s="2" t="s">
        <v>88</v>
      </c>
      <c r="D117" s="2" t="s">
        <v>525</v>
      </c>
      <c r="E117" s="2" t="s">
        <v>326</v>
      </c>
      <c r="F117" s="2" t="s">
        <v>799</v>
      </c>
      <c r="G117" s="2" t="s">
        <v>799</v>
      </c>
      <c r="H117" s="2" t="s">
        <v>799</v>
      </c>
      <c r="I117" s="2" t="s">
        <v>551</v>
      </c>
      <c r="J117" s="2" t="s">
        <v>93</v>
      </c>
      <c r="K117" s="2" t="s">
        <v>800</v>
      </c>
      <c r="L117" s="3">
        <v>26.91</v>
      </c>
      <c r="M117" s="3">
        <v>28.26</v>
      </c>
      <c r="N117" s="3">
        <v>55.24</v>
      </c>
      <c r="O117" s="2" t="s">
        <v>95</v>
      </c>
      <c r="P117" s="2" t="s">
        <v>115</v>
      </c>
      <c r="Q117" s="2" t="s">
        <v>97</v>
      </c>
      <c r="R117" s="2" t="s">
        <v>98</v>
      </c>
      <c r="S117" s="2" t="s">
        <v>801</v>
      </c>
      <c r="T117" s="2" t="s">
        <v>98</v>
      </c>
      <c r="U117" s="2" t="s">
        <v>117</v>
      </c>
      <c r="V117" s="2" t="s">
        <v>331</v>
      </c>
      <c r="W117" s="2" t="s">
        <v>102</v>
      </c>
      <c r="X117" s="2" t="s">
        <v>98</v>
      </c>
      <c r="Y117" s="2" t="s">
        <v>802</v>
      </c>
      <c r="Z117" s="4">
        <v>27</v>
      </c>
      <c r="AA117" s="4">
        <f>=ROUNDDOWN(9,0)</f>
      </c>
      <c r="AB117" s="5">
        <v>3</v>
      </c>
      <c r="AC117" s="2" t="s">
        <v>98</v>
      </c>
      <c r="AD117" s="4"/>
      <c r="AE117" s="4"/>
      <c r="AF117" s="6">
        <v>63</v>
      </c>
      <c r="AG117" s="6"/>
      <c r="AH117" s="7">
        <v>1</v>
      </c>
      <c r="AI117" s="4"/>
      <c r="AJ117" s="4">
        <f>=ROUNDDOWN({0},0)</f>
      </c>
      <c r="AK117" s="5"/>
      <c r="AL117" s="2" t="s">
        <v>98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/>
      <c r="BD117" s="8"/>
      <c r="BE117" s="4"/>
      <c r="BF117" s="8"/>
      <c r="BG117" s="7"/>
      <c r="BH117" s="7"/>
      <c r="BI117" s="7"/>
      <c r="BJ117" s="4">
        <v>3</v>
      </c>
      <c r="BK117" s="8">
        <v>100.8</v>
      </c>
      <c r="BL117" s="2" t="s">
        <v>803</v>
      </c>
      <c r="BM117" s="7"/>
      <c r="BN117" s="7"/>
      <c r="BO117" s="4"/>
      <c r="BP117" s="8"/>
      <c r="BQ117" s="4"/>
      <c r="BR117" s="8"/>
      <c r="BS117" s="7"/>
      <c r="BT117" s="7"/>
      <c r="BU117" s="2" t="s">
        <v>107</v>
      </c>
      <c r="BV117" s="2" t="s">
        <v>95</v>
      </c>
      <c r="BW117" s="2" t="s">
        <v>453</v>
      </c>
      <c r="BX117" s="2" t="s">
        <v>429</v>
      </c>
      <c r="BY117" s="2" t="s">
        <v>110</v>
      </c>
      <c r="BZ117" s="2" t="s">
        <v>98</v>
      </c>
    </row>
    <row r="118">
      <c r="A118" s="2" t="s">
        <v>804</v>
      </c>
      <c r="B118" s="2" t="s">
        <v>87</v>
      </c>
      <c r="C118" s="2" t="s">
        <v>88</v>
      </c>
      <c r="D118" s="2" t="s">
        <v>525</v>
      </c>
      <c r="E118" s="2" t="s">
        <v>326</v>
      </c>
      <c r="F118" s="2" t="s">
        <v>805</v>
      </c>
      <c r="G118" s="2" t="s">
        <v>805</v>
      </c>
      <c r="H118" s="2" t="s">
        <v>805</v>
      </c>
      <c r="I118" s="2" t="s">
        <v>806</v>
      </c>
      <c r="J118" s="2" t="s">
        <v>93</v>
      </c>
      <c r="K118" s="2" t="s">
        <v>595</v>
      </c>
      <c r="L118" s="3">
        <v>69.19</v>
      </c>
      <c r="M118" s="3">
        <v>72.65</v>
      </c>
      <c r="N118" s="3">
        <v>135.99</v>
      </c>
      <c r="O118" s="2" t="s">
        <v>95</v>
      </c>
      <c r="P118" s="2" t="s">
        <v>134</v>
      </c>
      <c r="Q118" s="2" t="s">
        <v>97</v>
      </c>
      <c r="R118" s="2" t="s">
        <v>98</v>
      </c>
      <c r="S118" s="2" t="s">
        <v>807</v>
      </c>
      <c r="T118" s="2" t="s">
        <v>98</v>
      </c>
      <c r="U118" s="2" t="s">
        <v>724</v>
      </c>
      <c r="V118" s="2" t="s">
        <v>331</v>
      </c>
      <c r="W118" s="2" t="s">
        <v>102</v>
      </c>
      <c r="X118" s="2" t="s">
        <v>808</v>
      </c>
      <c r="Y118" s="2" t="s">
        <v>809</v>
      </c>
      <c r="Z118" s="4">
        <v>25</v>
      </c>
      <c r="AA118" s="4">
        <f>=ROUNDDOWN(8.33333333333333,0)</f>
      </c>
      <c r="AB118" s="5">
        <v>3</v>
      </c>
      <c r="AC118" s="2" t="s">
        <v>360</v>
      </c>
      <c r="AD118" s="4">
        <v>100</v>
      </c>
      <c r="AE118" s="4">
        <v>100</v>
      </c>
      <c r="AF118" s="6">
        <v>63</v>
      </c>
      <c r="AG118" s="6"/>
      <c r="AH118" s="7">
        <v>1</v>
      </c>
      <c r="AI118" s="4"/>
      <c r="AJ118" s="4">
        <f>=ROUNDDOWN({0},0)</f>
      </c>
      <c r="AK118" s="5"/>
      <c r="AL118" s="2" t="s">
        <v>98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>
        <v>3</v>
      </c>
      <c r="BK118" s="8">
        <v>251.94</v>
      </c>
      <c r="BL118" s="2" t="s">
        <v>788</v>
      </c>
      <c r="BM118" s="7"/>
      <c r="BN118" s="7"/>
      <c r="BO118" s="4"/>
      <c r="BP118" s="8"/>
      <c r="BQ118" s="4"/>
      <c r="BR118" s="8"/>
      <c r="BS118" s="7"/>
      <c r="BT118" s="7"/>
      <c r="BU118" s="2" t="s">
        <v>107</v>
      </c>
      <c r="BV118" s="2" t="s">
        <v>95</v>
      </c>
      <c r="BW118" s="2" t="s">
        <v>352</v>
      </c>
      <c r="BX118" s="2" t="s">
        <v>810</v>
      </c>
      <c r="BY118" s="2" t="s">
        <v>110</v>
      </c>
      <c r="BZ118" s="2" t="s">
        <v>98</v>
      </c>
    </row>
    <row r="119">
      <c r="A119" s="2" t="s">
        <v>811</v>
      </c>
      <c r="B119" s="2" t="s">
        <v>87</v>
      </c>
      <c r="C119" s="2" t="s">
        <v>88</v>
      </c>
      <c r="D119" s="2" t="s">
        <v>525</v>
      </c>
      <c r="E119" s="2" t="s">
        <v>326</v>
      </c>
      <c r="F119" s="2" t="s">
        <v>812</v>
      </c>
      <c r="G119" s="2" t="s">
        <v>812</v>
      </c>
      <c r="H119" s="2" t="s">
        <v>812</v>
      </c>
      <c r="I119" s="2" t="s">
        <v>813</v>
      </c>
      <c r="J119" s="2" t="s">
        <v>93</v>
      </c>
      <c r="K119" s="2" t="s">
        <v>277</v>
      </c>
      <c r="L119" s="3">
        <v>46.22</v>
      </c>
      <c r="M119" s="3">
        <v>48.53</v>
      </c>
      <c r="N119" s="3">
        <v>89.24</v>
      </c>
      <c r="O119" s="2" t="s">
        <v>95</v>
      </c>
      <c r="P119" s="2" t="s">
        <v>134</v>
      </c>
      <c r="Q119" s="2" t="s">
        <v>97</v>
      </c>
      <c r="R119" s="2" t="s">
        <v>98</v>
      </c>
      <c r="S119" s="2" t="s">
        <v>814</v>
      </c>
      <c r="T119" s="2" t="s">
        <v>98</v>
      </c>
      <c r="U119" s="2" t="s">
        <v>100</v>
      </c>
      <c r="V119" s="2" t="s">
        <v>331</v>
      </c>
      <c r="W119" s="2" t="s">
        <v>102</v>
      </c>
      <c r="X119" s="2" t="s">
        <v>98</v>
      </c>
      <c r="Y119" s="2" t="s">
        <v>815</v>
      </c>
      <c r="Z119" s="4">
        <v>94</v>
      </c>
      <c r="AA119" s="4">
        <f>=ROUNDDOWN(18.8,0)</f>
      </c>
      <c r="AB119" s="5">
        <v>5</v>
      </c>
      <c r="AC119" s="2" t="s">
        <v>342</v>
      </c>
      <c r="AD119" s="4">
        <v>100</v>
      </c>
      <c r="AE119" s="4">
        <v>100</v>
      </c>
      <c r="AF119" s="6">
        <v>63</v>
      </c>
      <c r="AG119" s="6"/>
      <c r="AH119" s="7">
        <v>1</v>
      </c>
      <c r="AI119" s="4"/>
      <c r="AJ119" s="4">
        <f>=ROUNDDOWN({0},0)</f>
      </c>
      <c r="AK119" s="5"/>
      <c r="AL119" s="2" t="s">
        <v>98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/>
      <c r="BD119" s="8"/>
      <c r="BE119" s="4"/>
      <c r="BF119" s="8"/>
      <c r="BG119" s="7"/>
      <c r="BH119" s="7"/>
      <c r="BI119" s="7"/>
      <c r="BJ119" s="4">
        <v>6</v>
      </c>
      <c r="BK119" s="8">
        <v>337.7</v>
      </c>
      <c r="BL119" s="2" t="s">
        <v>816</v>
      </c>
      <c r="BM119" s="7"/>
      <c r="BN119" s="7"/>
      <c r="BO119" s="4"/>
      <c r="BP119" s="8"/>
      <c r="BQ119" s="4"/>
      <c r="BR119" s="8"/>
      <c r="BS119" s="7"/>
      <c r="BT119" s="7"/>
      <c r="BU119" s="2" t="s">
        <v>107</v>
      </c>
      <c r="BV119" s="2" t="s">
        <v>95</v>
      </c>
      <c r="BW119" s="2" t="s">
        <v>453</v>
      </c>
      <c r="BX119" s="2" t="s">
        <v>817</v>
      </c>
      <c r="BY119" s="2" t="s">
        <v>110</v>
      </c>
      <c r="BZ119" s="2" t="s">
        <v>98</v>
      </c>
    </row>
    <row r="120">
      <c r="A120" s="2" t="s">
        <v>818</v>
      </c>
      <c r="B120" s="2" t="s">
        <v>87</v>
      </c>
      <c r="C120" s="2" t="s">
        <v>88</v>
      </c>
      <c r="D120" s="2" t="s">
        <v>525</v>
      </c>
      <c r="E120" s="2" t="s">
        <v>326</v>
      </c>
      <c r="F120" s="2" t="s">
        <v>819</v>
      </c>
      <c r="G120" s="2" t="s">
        <v>98</v>
      </c>
      <c r="H120" s="2" t="s">
        <v>98</v>
      </c>
      <c r="I120" s="2" t="s">
        <v>820</v>
      </c>
      <c r="J120" s="2" t="s">
        <v>93</v>
      </c>
      <c r="K120" s="2" t="s">
        <v>277</v>
      </c>
      <c r="L120" s="3">
        <v>21.58</v>
      </c>
      <c r="M120" s="3">
        <v>22.66</v>
      </c>
      <c r="N120" s="3">
        <v>49.99</v>
      </c>
      <c r="O120" s="2" t="s">
        <v>155</v>
      </c>
      <c r="P120" s="2" t="s">
        <v>115</v>
      </c>
      <c r="Q120" s="2" t="s">
        <v>97</v>
      </c>
      <c r="R120" s="2" t="s">
        <v>98</v>
      </c>
      <c r="S120" s="2" t="s">
        <v>821</v>
      </c>
      <c r="T120" s="2" t="s">
        <v>98</v>
      </c>
      <c r="U120" s="2" t="s">
        <v>157</v>
      </c>
      <c r="V120" s="2" t="s">
        <v>339</v>
      </c>
      <c r="W120" s="2" t="s">
        <v>103</v>
      </c>
      <c r="X120" s="2" t="s">
        <v>98</v>
      </c>
      <c r="Y120" s="2" t="s">
        <v>618</v>
      </c>
      <c r="Z120" s="4">
        <v>105</v>
      </c>
      <c r="AA120" s="4">
        <f>=ROUNDDOWN(17.2131147540984,0)</f>
      </c>
      <c r="AB120" s="5">
        <v>6.1</v>
      </c>
      <c r="AC120" s="2" t="s">
        <v>98</v>
      </c>
      <c r="AD120" s="4"/>
      <c r="AE120" s="4"/>
      <c r="AF120" s="6">
        <v>63</v>
      </c>
      <c r="AG120" s="6"/>
      <c r="AH120" s="7">
        <v>1</v>
      </c>
      <c r="AI120" s="4"/>
      <c r="AJ120" s="4">
        <f>=ROUNDDOWN({0},0)</f>
      </c>
      <c r="AK120" s="5"/>
      <c r="AL120" s="2" t="s">
        <v>98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/>
      <c r="BD120" s="8"/>
      <c r="BE120" s="4"/>
      <c r="BF120" s="8"/>
      <c r="BG120" s="7"/>
      <c r="BH120" s="7"/>
      <c r="BI120" s="7"/>
      <c r="BJ120" s="4">
        <v>4</v>
      </c>
      <c r="BK120" s="8">
        <v>141.43</v>
      </c>
      <c r="BL120" s="2" t="s">
        <v>822</v>
      </c>
      <c r="BM120" s="7"/>
      <c r="BN120" s="7"/>
      <c r="BO120" s="4"/>
      <c r="BP120" s="8"/>
      <c r="BQ120" s="4"/>
      <c r="BR120" s="8"/>
      <c r="BS120" s="7"/>
      <c r="BT120" s="7"/>
      <c r="BU120" s="2" t="s">
        <v>107</v>
      </c>
      <c r="BV120" s="2" t="s">
        <v>95</v>
      </c>
      <c r="BW120" s="2" t="s">
        <v>368</v>
      </c>
      <c r="BX120" s="2" t="s">
        <v>823</v>
      </c>
      <c r="BY120" s="2" t="s">
        <v>110</v>
      </c>
      <c r="BZ120" s="2" t="s">
        <v>98</v>
      </c>
    </row>
    <row r="121">
      <c r="A121" s="2" t="s">
        <v>824</v>
      </c>
      <c r="B121" s="2" t="s">
        <v>87</v>
      </c>
      <c r="C121" s="2" t="s">
        <v>88</v>
      </c>
      <c r="D121" s="2" t="s">
        <v>525</v>
      </c>
      <c r="E121" s="2" t="s">
        <v>326</v>
      </c>
      <c r="F121" s="2" t="s">
        <v>825</v>
      </c>
      <c r="G121" s="2" t="s">
        <v>98</v>
      </c>
      <c r="H121" s="2" t="s">
        <v>98</v>
      </c>
      <c r="I121" s="2" t="s">
        <v>826</v>
      </c>
      <c r="J121" s="2" t="s">
        <v>93</v>
      </c>
      <c r="K121" s="2" t="s">
        <v>277</v>
      </c>
      <c r="L121" s="3">
        <v>48.43</v>
      </c>
      <c r="M121" s="3">
        <v>50.85</v>
      </c>
      <c r="N121" s="3">
        <v>98.59</v>
      </c>
      <c r="O121" s="2" t="s">
        <v>95</v>
      </c>
      <c r="P121" s="2" t="s">
        <v>134</v>
      </c>
      <c r="Q121" s="2" t="s">
        <v>97</v>
      </c>
      <c r="R121" s="2" t="s">
        <v>98</v>
      </c>
      <c r="S121" s="2" t="s">
        <v>827</v>
      </c>
      <c r="T121" s="2" t="s">
        <v>98</v>
      </c>
      <c r="U121" s="2" t="s">
        <v>100</v>
      </c>
      <c r="V121" s="2" t="s">
        <v>331</v>
      </c>
      <c r="W121" s="2" t="s">
        <v>102</v>
      </c>
      <c r="X121" s="2" t="s">
        <v>98</v>
      </c>
      <c r="Y121" s="2" t="s">
        <v>828</v>
      </c>
      <c r="Z121" s="4">
        <v>40</v>
      </c>
      <c r="AA121" s="4">
        <f>=ROUNDDOWN(8,0)</f>
      </c>
      <c r="AB121" s="5">
        <v>5</v>
      </c>
      <c r="AC121" s="2" t="s">
        <v>412</v>
      </c>
      <c r="AD121" s="4">
        <v>100</v>
      </c>
      <c r="AE121" s="4">
        <v>100</v>
      </c>
      <c r="AF121" s="6">
        <v>63</v>
      </c>
      <c r="AG121" s="6"/>
      <c r="AH121" s="7">
        <v>1</v>
      </c>
      <c r="AI121" s="4"/>
      <c r="AJ121" s="4">
        <f>=ROUNDDOWN({0},0)</f>
      </c>
      <c r="AK121" s="5"/>
      <c r="AL121" s="2" t="s">
        <v>98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/>
      <c r="BD121" s="8"/>
      <c r="BE121" s="4"/>
      <c r="BF121" s="8"/>
      <c r="BG121" s="7"/>
      <c r="BH121" s="7"/>
      <c r="BI121" s="7"/>
      <c r="BJ121" s="4">
        <v>1</v>
      </c>
      <c r="BK121" s="8">
        <v>62.82</v>
      </c>
      <c r="BL121" s="2" t="s">
        <v>829</v>
      </c>
      <c r="BM121" s="7"/>
      <c r="BN121" s="7"/>
      <c r="BO121" s="4"/>
      <c r="BP121" s="8"/>
      <c r="BQ121" s="4"/>
      <c r="BR121" s="8"/>
      <c r="BS121" s="7"/>
      <c r="BT121" s="7"/>
      <c r="BU121" s="2" t="s">
        <v>107</v>
      </c>
      <c r="BV121" s="2" t="s">
        <v>95</v>
      </c>
      <c r="BW121" s="2" t="s">
        <v>453</v>
      </c>
      <c r="BX121" s="2" t="s">
        <v>429</v>
      </c>
      <c r="BY121" s="2" t="s">
        <v>110</v>
      </c>
      <c r="BZ121" s="2" t="s">
        <v>98</v>
      </c>
    </row>
    <row r="122">
      <c r="A122" s="2" t="s">
        <v>830</v>
      </c>
      <c r="B122" s="2" t="s">
        <v>87</v>
      </c>
      <c r="C122" s="2" t="s">
        <v>88</v>
      </c>
      <c r="D122" s="2" t="s">
        <v>525</v>
      </c>
      <c r="E122" s="2" t="s">
        <v>326</v>
      </c>
      <c r="F122" s="2" t="s">
        <v>831</v>
      </c>
      <c r="G122" s="2" t="s">
        <v>831</v>
      </c>
      <c r="H122" s="2" t="s">
        <v>831</v>
      </c>
      <c r="I122" s="2" t="s">
        <v>832</v>
      </c>
      <c r="J122" s="2" t="s">
        <v>93</v>
      </c>
      <c r="K122" s="2" t="s">
        <v>833</v>
      </c>
      <c r="L122" s="3">
        <v>42.18</v>
      </c>
      <c r="M122" s="3">
        <v>44.29</v>
      </c>
      <c r="N122" s="3">
        <v>84.99</v>
      </c>
      <c r="O122" s="2" t="s">
        <v>95</v>
      </c>
      <c r="P122" s="2" t="s">
        <v>134</v>
      </c>
      <c r="Q122" s="2" t="s">
        <v>97</v>
      </c>
      <c r="R122" s="2" t="s">
        <v>98</v>
      </c>
      <c r="S122" s="2" t="s">
        <v>834</v>
      </c>
      <c r="T122" s="2" t="s">
        <v>98</v>
      </c>
      <c r="U122" s="2" t="s">
        <v>117</v>
      </c>
      <c r="V122" s="2" t="s">
        <v>313</v>
      </c>
      <c r="W122" s="2" t="s">
        <v>297</v>
      </c>
      <c r="X122" s="2" t="s">
        <v>103</v>
      </c>
      <c r="Y122" s="2" t="s">
        <v>835</v>
      </c>
      <c r="Z122" s="4">
        <v>94</v>
      </c>
      <c r="AA122" s="4">
        <f>=ROUNDDOWN(23.5,0)</f>
      </c>
      <c r="AB122" s="5">
        <v>4</v>
      </c>
      <c r="AC122" s="2" t="s">
        <v>98</v>
      </c>
      <c r="AD122" s="4"/>
      <c r="AE122" s="4"/>
      <c r="AF122" s="6">
        <v>63</v>
      </c>
      <c r="AG122" s="6"/>
      <c r="AH122" s="7">
        <v>0.5714</v>
      </c>
      <c r="AI122" s="4"/>
      <c r="AJ122" s="4">
        <f>=ROUNDDOWN({0},0)</f>
      </c>
      <c r="AK122" s="5"/>
      <c r="AL122" s="2" t="s">
        <v>98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>
        <v>2</v>
      </c>
      <c r="BK122" s="8">
        <v>95.68</v>
      </c>
      <c r="BL122" s="2" t="s">
        <v>836</v>
      </c>
      <c r="BM122" s="7"/>
      <c r="BN122" s="7"/>
      <c r="BO122" s="4"/>
      <c r="BP122" s="8"/>
      <c r="BQ122" s="4"/>
      <c r="BR122" s="8"/>
      <c r="BS122" s="7"/>
      <c r="BT122" s="7"/>
      <c r="BU122" s="2" t="s">
        <v>107</v>
      </c>
      <c r="BV122" s="2" t="s">
        <v>95</v>
      </c>
      <c r="BW122" s="2" t="s">
        <v>837</v>
      </c>
      <c r="BX122" s="2" t="s">
        <v>197</v>
      </c>
      <c r="BY122" s="2" t="s">
        <v>110</v>
      </c>
      <c r="BZ122" s="2" t="s">
        <v>98</v>
      </c>
    </row>
    <row r="123">
      <c r="A123" s="2" t="s">
        <v>838</v>
      </c>
      <c r="B123" s="2" t="s">
        <v>87</v>
      </c>
      <c r="C123" s="2" t="s">
        <v>88</v>
      </c>
      <c r="D123" s="2" t="s">
        <v>525</v>
      </c>
      <c r="E123" s="2" t="s">
        <v>326</v>
      </c>
      <c r="F123" s="2" t="s">
        <v>839</v>
      </c>
      <c r="G123" s="2" t="s">
        <v>839</v>
      </c>
      <c r="H123" s="2" t="s">
        <v>839</v>
      </c>
      <c r="I123" s="2" t="s">
        <v>840</v>
      </c>
      <c r="J123" s="2" t="s">
        <v>93</v>
      </c>
      <c r="K123" s="2" t="s">
        <v>133</v>
      </c>
      <c r="L123" s="3">
        <v>49.13</v>
      </c>
      <c r="M123" s="3">
        <v>51.59</v>
      </c>
      <c r="N123" s="3">
        <v>111.34</v>
      </c>
      <c r="O123" s="2" t="s">
        <v>95</v>
      </c>
      <c r="P123" s="2" t="s">
        <v>134</v>
      </c>
      <c r="Q123" s="2" t="s">
        <v>97</v>
      </c>
      <c r="R123" s="2" t="s">
        <v>98</v>
      </c>
      <c r="S123" s="2" t="s">
        <v>841</v>
      </c>
      <c r="T123" s="2" t="s">
        <v>98</v>
      </c>
      <c r="U123" s="2" t="s">
        <v>157</v>
      </c>
      <c r="V123" s="2" t="s">
        <v>331</v>
      </c>
      <c r="W123" s="2" t="s">
        <v>102</v>
      </c>
      <c r="X123" s="2" t="s">
        <v>98</v>
      </c>
      <c r="Y123" s="2" t="s">
        <v>842</v>
      </c>
      <c r="Z123" s="4">
        <v>92</v>
      </c>
      <c r="AA123" s="4">
        <f>=ROUNDDOWN(46,0)</f>
      </c>
      <c r="AB123" s="5">
        <v>2</v>
      </c>
      <c r="AC123" s="2" t="s">
        <v>98</v>
      </c>
      <c r="AD123" s="4"/>
      <c r="AE123" s="4"/>
      <c r="AF123" s="6">
        <v>63</v>
      </c>
      <c r="AG123" s="6"/>
      <c r="AH123" s="7">
        <v>1</v>
      </c>
      <c r="AI123" s="4"/>
      <c r="AJ123" s="4">
        <f>=ROUNDDOWN({0},0)</f>
      </c>
      <c r="AK123" s="5"/>
      <c r="AL123" s="2" t="s">
        <v>98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/>
      <c r="BD123" s="8"/>
      <c r="BE123" s="4"/>
      <c r="BF123" s="8"/>
      <c r="BG123" s="7"/>
      <c r="BH123" s="7"/>
      <c r="BI123" s="7"/>
      <c r="BJ123" s="4"/>
      <c r="BK123" s="8"/>
      <c r="BL123" s="2" t="s">
        <v>829</v>
      </c>
      <c r="BM123" s="7"/>
      <c r="BN123" s="7"/>
      <c r="BO123" s="4"/>
      <c r="BP123" s="8"/>
      <c r="BQ123" s="4"/>
      <c r="BR123" s="8"/>
      <c r="BS123" s="7"/>
      <c r="BT123" s="7"/>
      <c r="BU123" s="2" t="s">
        <v>107</v>
      </c>
      <c r="BV123" s="2" t="s">
        <v>95</v>
      </c>
      <c r="BW123" s="2" t="s">
        <v>453</v>
      </c>
      <c r="BX123" s="2" t="s">
        <v>843</v>
      </c>
      <c r="BY123" s="2" t="s">
        <v>110</v>
      </c>
      <c r="BZ123" s="2" t="s">
        <v>98</v>
      </c>
    </row>
    <row r="124">
      <c r="A124" s="2" t="s">
        <v>844</v>
      </c>
      <c r="B124" s="2" t="s">
        <v>87</v>
      </c>
      <c r="C124" s="2" t="s">
        <v>88</v>
      </c>
      <c r="D124" s="2" t="s">
        <v>525</v>
      </c>
      <c r="E124" s="2" t="s">
        <v>326</v>
      </c>
      <c r="F124" s="2" t="s">
        <v>845</v>
      </c>
      <c r="G124" s="2" t="s">
        <v>845</v>
      </c>
      <c r="H124" s="2" t="s">
        <v>845</v>
      </c>
      <c r="I124" s="2" t="s">
        <v>846</v>
      </c>
      <c r="J124" s="2" t="s">
        <v>93</v>
      </c>
      <c r="K124" s="2" t="s">
        <v>847</v>
      </c>
      <c r="L124" s="3">
        <v>52.38</v>
      </c>
      <c r="M124" s="3">
        <v>55</v>
      </c>
      <c r="N124" s="3">
        <v>109.99</v>
      </c>
      <c r="O124" s="2" t="s">
        <v>95</v>
      </c>
      <c r="P124" s="2" t="s">
        <v>295</v>
      </c>
      <c r="Q124" s="2" t="s">
        <v>97</v>
      </c>
      <c r="R124" s="2" t="s">
        <v>98</v>
      </c>
      <c r="S124" s="2" t="s">
        <v>98</v>
      </c>
      <c r="T124" s="2" t="s">
        <v>98</v>
      </c>
      <c r="U124" s="2" t="s">
        <v>117</v>
      </c>
      <c r="V124" s="2" t="s">
        <v>296</v>
      </c>
      <c r="W124" s="2" t="s">
        <v>165</v>
      </c>
      <c r="X124" s="2" t="s">
        <v>103</v>
      </c>
      <c r="Y124" s="2" t="s">
        <v>848</v>
      </c>
      <c r="Z124" s="4">
        <v>85</v>
      </c>
      <c r="AA124" s="4">
        <f>=ROUNDDOWN(28.3333333333333,0)</f>
      </c>
      <c r="AB124" s="5">
        <v>3</v>
      </c>
      <c r="AC124" s="2" t="s">
        <v>98</v>
      </c>
      <c r="AD124" s="4"/>
      <c r="AE124" s="4"/>
      <c r="AF124" s="6">
        <v>63</v>
      </c>
      <c r="AG124" s="6"/>
      <c r="AH124" s="7">
        <v>1</v>
      </c>
      <c r="AI124" s="4"/>
      <c r="AJ124" s="4">
        <f>=ROUNDDOWN({0},0)</f>
      </c>
      <c r="AK124" s="5"/>
      <c r="AL124" s="2" t="s">
        <v>98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/>
      <c r="BD124" s="8"/>
      <c r="BE124" s="4"/>
      <c r="BF124" s="8"/>
      <c r="BG124" s="7"/>
      <c r="BH124" s="7"/>
      <c r="BI124" s="7"/>
      <c r="BJ124" s="4"/>
      <c r="BK124" s="8"/>
      <c r="BL124" s="2" t="s">
        <v>98</v>
      </c>
      <c r="BM124" s="7"/>
      <c r="BN124" s="7"/>
      <c r="BO124" s="4"/>
      <c r="BP124" s="8"/>
      <c r="BQ124" s="4"/>
      <c r="BR124" s="8"/>
      <c r="BS124" s="7"/>
      <c r="BT124" s="7"/>
      <c r="BU124" s="2" t="s">
        <v>107</v>
      </c>
      <c r="BV124" s="2" t="s">
        <v>95</v>
      </c>
      <c r="BW124" s="2" t="s">
        <v>300</v>
      </c>
      <c r="BX124" s="2" t="s">
        <v>98</v>
      </c>
      <c r="BY124" s="2" t="s">
        <v>110</v>
      </c>
      <c r="BZ124" s="2" t="s">
        <v>98</v>
      </c>
    </row>
    <row r="125">
      <c r="A125" s="2" t="s">
        <v>849</v>
      </c>
      <c r="B125" s="2" t="s">
        <v>87</v>
      </c>
      <c r="C125" s="2" t="s">
        <v>88</v>
      </c>
      <c r="D125" s="2" t="s">
        <v>525</v>
      </c>
      <c r="E125" s="2" t="s">
        <v>326</v>
      </c>
      <c r="F125" s="2" t="s">
        <v>850</v>
      </c>
      <c r="G125" s="2" t="s">
        <v>98</v>
      </c>
      <c r="H125" s="2" t="s">
        <v>98</v>
      </c>
      <c r="I125" s="2" t="s">
        <v>851</v>
      </c>
      <c r="J125" s="2" t="s">
        <v>93</v>
      </c>
      <c r="K125" s="2" t="s">
        <v>277</v>
      </c>
      <c r="L125" s="3">
        <v>24.5</v>
      </c>
      <c r="M125" s="3">
        <v>25.72</v>
      </c>
      <c r="N125" s="3">
        <v>50.99</v>
      </c>
      <c r="O125" s="2" t="s">
        <v>95</v>
      </c>
      <c r="P125" s="2" t="s">
        <v>134</v>
      </c>
      <c r="Q125" s="2" t="s">
        <v>97</v>
      </c>
      <c r="R125" s="2" t="s">
        <v>98</v>
      </c>
      <c r="S125" s="2" t="s">
        <v>852</v>
      </c>
      <c r="T125" s="2" t="s">
        <v>98</v>
      </c>
      <c r="U125" s="2" t="s">
        <v>144</v>
      </c>
      <c r="V125" s="2" t="s">
        <v>165</v>
      </c>
      <c r="W125" s="2" t="s">
        <v>165</v>
      </c>
      <c r="X125" s="2" t="s">
        <v>98</v>
      </c>
      <c r="Y125" s="2" t="s">
        <v>853</v>
      </c>
      <c r="Z125" s="4">
        <v>129</v>
      </c>
      <c r="AA125" s="4">
        <f>=ROUNDDOWN(21.5,0)</f>
      </c>
      <c r="AB125" s="5">
        <v>6</v>
      </c>
      <c r="AC125" s="2" t="s">
        <v>98</v>
      </c>
      <c r="AD125" s="4"/>
      <c r="AE125" s="4"/>
      <c r="AF125" s="6">
        <v>63</v>
      </c>
      <c r="AG125" s="6"/>
      <c r="AH125" s="7">
        <v>1</v>
      </c>
      <c r="AI125" s="4"/>
      <c r="AJ125" s="4">
        <f>=ROUNDDOWN({0},0)</f>
      </c>
      <c r="AK125" s="5"/>
      <c r="AL125" s="2" t="s">
        <v>98</v>
      </c>
      <c r="AM125" s="4"/>
      <c r="AN125" s="4"/>
      <c r="AO125" s="7">
        <v>0</v>
      </c>
      <c r="AP125" s="4"/>
      <c r="AQ125" s="8"/>
      <c r="AR125" s="4">
        <v>1</v>
      </c>
      <c r="AS125" s="8">
        <v>31.77</v>
      </c>
      <c r="AT125" s="7">
        <v>-1</v>
      </c>
      <c r="AU125" s="7">
        <v>-1</v>
      </c>
      <c r="AV125" s="4"/>
      <c r="AW125" s="8"/>
      <c r="AX125" s="4">
        <v>1</v>
      </c>
      <c r="AY125" s="8">
        <v>31.77</v>
      </c>
      <c r="AZ125" s="7">
        <v>-1</v>
      </c>
      <c r="BA125" s="7">
        <v>-1</v>
      </c>
      <c r="BB125" s="7"/>
      <c r="BC125" s="4"/>
      <c r="BD125" s="8"/>
      <c r="BE125" s="4">
        <v>1</v>
      </c>
      <c r="BF125" s="8">
        <v>31.77</v>
      </c>
      <c r="BG125" s="7">
        <v>-1</v>
      </c>
      <c r="BH125" s="7">
        <v>-1</v>
      </c>
      <c r="BI125" s="7"/>
      <c r="BJ125" s="4">
        <v>11</v>
      </c>
      <c r="BK125" s="8">
        <v>343.28</v>
      </c>
      <c r="BL125" s="2" t="s">
        <v>854</v>
      </c>
      <c r="BM125" s="7"/>
      <c r="BN125" s="7"/>
      <c r="BO125" s="4"/>
      <c r="BP125" s="8"/>
      <c r="BQ125" s="4">
        <v>1</v>
      </c>
      <c r="BR125" s="8">
        <v>31.77</v>
      </c>
      <c r="BS125" s="7">
        <v>-1</v>
      </c>
      <c r="BT125" s="7">
        <v>-1</v>
      </c>
      <c r="BU125" s="2" t="s">
        <v>107</v>
      </c>
      <c r="BV125" s="2" t="s">
        <v>95</v>
      </c>
      <c r="BW125" s="2" t="s">
        <v>453</v>
      </c>
      <c r="BX125" s="2" t="s">
        <v>719</v>
      </c>
      <c r="BY125" s="2" t="s">
        <v>110</v>
      </c>
      <c r="BZ125" s="2" t="s">
        <v>98</v>
      </c>
    </row>
    <row r="126">
      <c r="A126" s="2" t="s">
        <v>855</v>
      </c>
      <c r="B126" s="2" t="s">
        <v>87</v>
      </c>
      <c r="C126" s="2" t="s">
        <v>88</v>
      </c>
      <c r="D126" s="2" t="s">
        <v>525</v>
      </c>
      <c r="E126" s="2" t="s">
        <v>326</v>
      </c>
      <c r="F126" s="2" t="s">
        <v>856</v>
      </c>
      <c r="G126" s="2" t="s">
        <v>856</v>
      </c>
      <c r="H126" s="2" t="s">
        <v>856</v>
      </c>
      <c r="I126" s="2" t="s">
        <v>857</v>
      </c>
      <c r="J126" s="2" t="s">
        <v>93</v>
      </c>
      <c r="K126" s="2" t="s">
        <v>858</v>
      </c>
      <c r="L126" s="3">
        <v>14</v>
      </c>
      <c r="M126" s="3">
        <v>14.7</v>
      </c>
      <c r="N126" s="3">
        <v>34.99</v>
      </c>
      <c r="O126" s="2" t="s">
        <v>95</v>
      </c>
      <c r="P126" s="2" t="s">
        <v>295</v>
      </c>
      <c r="Q126" s="2" t="s">
        <v>97</v>
      </c>
      <c r="R126" s="2" t="s">
        <v>98</v>
      </c>
      <c r="S126" s="2" t="s">
        <v>98</v>
      </c>
      <c r="T126" s="2" t="s">
        <v>98</v>
      </c>
      <c r="U126" s="2" t="s">
        <v>117</v>
      </c>
      <c r="V126" s="2" t="s">
        <v>313</v>
      </c>
      <c r="W126" s="2" t="s">
        <v>859</v>
      </c>
      <c r="X126" s="2" t="s">
        <v>340</v>
      </c>
      <c r="Y126" s="2" t="s">
        <v>536</v>
      </c>
      <c r="Z126" s="4">
        <v>239</v>
      </c>
      <c r="AA126" s="4">
        <f>=ROUNDDOWN(47.8,0)</f>
      </c>
      <c r="AB126" s="5">
        <v>5</v>
      </c>
      <c r="AC126" s="2" t="s">
        <v>98</v>
      </c>
      <c r="AD126" s="4"/>
      <c r="AE126" s="4"/>
      <c r="AF126" s="6">
        <v>63</v>
      </c>
      <c r="AG126" s="6"/>
      <c r="AH126" s="7">
        <v>1</v>
      </c>
      <c r="AI126" s="4"/>
      <c r="AJ126" s="4">
        <f>=ROUNDDOWN({0},0)</f>
      </c>
      <c r="AK126" s="5"/>
      <c r="AL126" s="2" t="s">
        <v>98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98</v>
      </c>
      <c r="BD126" s="8" t="s">
        <v>98</v>
      </c>
      <c r="BE126" s="4" t="s">
        <v>98</v>
      </c>
      <c r="BF126" s="8" t="s">
        <v>98</v>
      </c>
      <c r="BG126" s="7" t="s">
        <v>98</v>
      </c>
      <c r="BH126" s="7" t="s">
        <v>98</v>
      </c>
      <c r="BI126" s="7"/>
      <c r="BJ126" s="4"/>
      <c r="BK126" s="8"/>
      <c r="BL126" s="2" t="s">
        <v>98</v>
      </c>
      <c r="BM126" s="7"/>
      <c r="BN126" s="7"/>
      <c r="BO126" s="4"/>
      <c r="BP126" s="8"/>
      <c r="BQ126" s="4"/>
      <c r="BR126" s="8"/>
      <c r="BS126" s="7"/>
      <c r="BT126" s="7"/>
      <c r="BU126" s="2" t="s">
        <v>107</v>
      </c>
      <c r="BV126" s="2" t="s">
        <v>95</v>
      </c>
      <c r="BW126" s="2" t="s">
        <v>300</v>
      </c>
      <c r="BX126" s="2" t="s">
        <v>407</v>
      </c>
      <c r="BY126" s="2" t="s">
        <v>110</v>
      </c>
      <c r="BZ126" s="2" t="s">
        <v>98</v>
      </c>
    </row>
    <row r="127">
      <c r="A127" s="2" t="s">
        <v>860</v>
      </c>
      <c r="B127" s="2" t="s">
        <v>87</v>
      </c>
      <c r="C127" s="2" t="s">
        <v>88</v>
      </c>
      <c r="D127" s="2" t="s">
        <v>525</v>
      </c>
      <c r="E127" s="2" t="s">
        <v>326</v>
      </c>
      <c r="F127" s="2" t="s">
        <v>856</v>
      </c>
      <c r="G127" s="2" t="s">
        <v>856</v>
      </c>
      <c r="H127" s="2" t="s">
        <v>856</v>
      </c>
      <c r="I127" s="2" t="s">
        <v>861</v>
      </c>
      <c r="J127" s="2" t="s">
        <v>93</v>
      </c>
      <c r="K127" s="2" t="s">
        <v>862</v>
      </c>
      <c r="L127" s="3">
        <v>14</v>
      </c>
      <c r="M127" s="3">
        <v>14.7</v>
      </c>
      <c r="N127" s="3">
        <v>34.99</v>
      </c>
      <c r="O127" s="2" t="s">
        <v>95</v>
      </c>
      <c r="P127" s="2" t="s">
        <v>295</v>
      </c>
      <c r="Q127" s="2" t="s">
        <v>97</v>
      </c>
      <c r="R127" s="2" t="s">
        <v>98</v>
      </c>
      <c r="S127" s="2" t="s">
        <v>98</v>
      </c>
      <c r="T127" s="2" t="s">
        <v>98</v>
      </c>
      <c r="U127" s="2" t="s">
        <v>117</v>
      </c>
      <c r="V127" s="2" t="s">
        <v>313</v>
      </c>
      <c r="W127" s="2" t="s">
        <v>863</v>
      </c>
      <c r="X127" s="2" t="s">
        <v>102</v>
      </c>
      <c r="Y127" s="2" t="s">
        <v>536</v>
      </c>
      <c r="Z127" s="4">
        <v>148</v>
      </c>
      <c r="AA127" s="4">
        <f>=ROUNDDOWN(49.3333333333333,0)</f>
      </c>
      <c r="AB127" s="5">
        <v>3</v>
      </c>
      <c r="AC127" s="2" t="s">
        <v>98</v>
      </c>
      <c r="AD127" s="4"/>
      <c r="AE127" s="4"/>
      <c r="AF127" s="6">
        <v>63</v>
      </c>
      <c r="AG127" s="6"/>
      <c r="AH127" s="7">
        <v>1</v>
      </c>
      <c r="AI127" s="4"/>
      <c r="AJ127" s="4">
        <f>=ROUNDDOWN({0},0)</f>
      </c>
      <c r="AK127" s="5"/>
      <c r="AL127" s="2" t="s">
        <v>98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 t="s">
        <v>98</v>
      </c>
      <c r="BD127" s="8" t="s">
        <v>98</v>
      </c>
      <c r="BE127" s="4" t="s">
        <v>98</v>
      </c>
      <c r="BF127" s="8" t="s">
        <v>98</v>
      </c>
      <c r="BG127" s="7" t="s">
        <v>98</v>
      </c>
      <c r="BH127" s="7" t="s">
        <v>98</v>
      </c>
      <c r="BI127" s="7"/>
      <c r="BJ127" s="4"/>
      <c r="BK127" s="8"/>
      <c r="BL127" s="2" t="s">
        <v>98</v>
      </c>
      <c r="BM127" s="7"/>
      <c r="BN127" s="7"/>
      <c r="BO127" s="4"/>
      <c r="BP127" s="8"/>
      <c r="BQ127" s="4"/>
      <c r="BR127" s="8"/>
      <c r="BS127" s="7"/>
      <c r="BT127" s="7"/>
      <c r="BU127" s="2" t="s">
        <v>107</v>
      </c>
      <c r="BV127" s="2" t="s">
        <v>95</v>
      </c>
      <c r="BW127" s="2" t="s">
        <v>300</v>
      </c>
      <c r="BX127" s="2" t="s">
        <v>98</v>
      </c>
      <c r="BY127" s="2" t="s">
        <v>110</v>
      </c>
      <c r="BZ127" s="2" t="s">
        <v>98</v>
      </c>
    </row>
    <row r="128">
      <c r="A128" s="2" t="s">
        <v>864</v>
      </c>
      <c r="B128" s="2" t="s">
        <v>87</v>
      </c>
      <c r="C128" s="2" t="s">
        <v>88</v>
      </c>
      <c r="D128" s="2" t="s">
        <v>525</v>
      </c>
      <c r="E128" s="2" t="s">
        <v>326</v>
      </c>
      <c r="F128" s="2" t="s">
        <v>856</v>
      </c>
      <c r="G128" s="2" t="s">
        <v>856</v>
      </c>
      <c r="H128" s="2" t="s">
        <v>856</v>
      </c>
      <c r="I128" s="2" t="s">
        <v>865</v>
      </c>
      <c r="J128" s="2" t="s">
        <v>93</v>
      </c>
      <c r="K128" s="2" t="s">
        <v>866</v>
      </c>
      <c r="L128" s="3">
        <v>14</v>
      </c>
      <c r="M128" s="3">
        <v>14.7</v>
      </c>
      <c r="N128" s="3">
        <v>34.99</v>
      </c>
      <c r="O128" s="2" t="s">
        <v>95</v>
      </c>
      <c r="P128" s="2" t="s">
        <v>295</v>
      </c>
      <c r="Q128" s="2" t="s">
        <v>97</v>
      </c>
      <c r="R128" s="2" t="s">
        <v>98</v>
      </c>
      <c r="S128" s="2" t="s">
        <v>98</v>
      </c>
      <c r="T128" s="2" t="s">
        <v>98</v>
      </c>
      <c r="U128" s="2" t="s">
        <v>117</v>
      </c>
      <c r="V128" s="2" t="s">
        <v>313</v>
      </c>
      <c r="W128" s="2" t="s">
        <v>867</v>
      </c>
      <c r="X128" s="2" t="s">
        <v>103</v>
      </c>
      <c r="Y128" s="2" t="s">
        <v>536</v>
      </c>
      <c r="Z128" s="4">
        <v>130</v>
      </c>
      <c r="AA128" s="4">
        <f>=ROUNDDOWN(65,0)</f>
      </c>
      <c r="AB128" s="5">
        <v>2</v>
      </c>
      <c r="AC128" s="2" t="s">
        <v>98</v>
      </c>
      <c r="AD128" s="4"/>
      <c r="AE128" s="4"/>
      <c r="AF128" s="6">
        <v>63</v>
      </c>
      <c r="AG128" s="6"/>
      <c r="AH128" s="7">
        <v>1</v>
      </c>
      <c r="AI128" s="4"/>
      <c r="AJ128" s="4">
        <f>=ROUNDDOWN({0},0)</f>
      </c>
      <c r="AK128" s="5"/>
      <c r="AL128" s="2" t="s">
        <v>98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 t="s">
        <v>98</v>
      </c>
      <c r="BD128" s="8" t="s">
        <v>98</v>
      </c>
      <c r="BE128" s="4" t="s">
        <v>98</v>
      </c>
      <c r="BF128" s="8" t="s">
        <v>98</v>
      </c>
      <c r="BG128" s="7" t="s">
        <v>98</v>
      </c>
      <c r="BH128" s="7" t="s">
        <v>98</v>
      </c>
      <c r="BI128" s="7"/>
      <c r="BJ128" s="4"/>
      <c r="BK128" s="8"/>
      <c r="BL128" s="2" t="s">
        <v>98</v>
      </c>
      <c r="BM128" s="7"/>
      <c r="BN128" s="7"/>
      <c r="BO128" s="4"/>
      <c r="BP128" s="8"/>
      <c r="BQ128" s="4"/>
      <c r="BR128" s="8"/>
      <c r="BS128" s="7"/>
      <c r="BT128" s="7"/>
      <c r="BU128" s="2" t="s">
        <v>107</v>
      </c>
      <c r="BV128" s="2" t="s">
        <v>95</v>
      </c>
      <c r="BW128" s="2" t="s">
        <v>300</v>
      </c>
      <c r="BX128" s="2" t="s">
        <v>98</v>
      </c>
      <c r="BY128" s="2" t="s">
        <v>110</v>
      </c>
      <c r="BZ128" s="2" t="s">
        <v>98</v>
      </c>
    </row>
    <row r="129">
      <c r="A129" s="2" t="s">
        <v>868</v>
      </c>
      <c r="B129" s="2" t="s">
        <v>87</v>
      </c>
      <c r="C129" s="2" t="s">
        <v>88</v>
      </c>
      <c r="D129" s="2" t="s">
        <v>525</v>
      </c>
      <c r="E129" s="2" t="s">
        <v>326</v>
      </c>
      <c r="F129" s="2" t="s">
        <v>856</v>
      </c>
      <c r="G129" s="2" t="s">
        <v>856</v>
      </c>
      <c r="H129" s="2" t="s">
        <v>856</v>
      </c>
      <c r="I129" s="2" t="s">
        <v>869</v>
      </c>
      <c r="J129" s="2" t="s">
        <v>93</v>
      </c>
      <c r="K129" s="2" t="s">
        <v>870</v>
      </c>
      <c r="L129" s="3">
        <v>14</v>
      </c>
      <c r="M129" s="3">
        <v>14.7</v>
      </c>
      <c r="N129" s="3">
        <v>34.99</v>
      </c>
      <c r="O129" s="2" t="s">
        <v>95</v>
      </c>
      <c r="P129" s="2" t="s">
        <v>295</v>
      </c>
      <c r="Q129" s="2" t="s">
        <v>97</v>
      </c>
      <c r="R129" s="2" t="s">
        <v>98</v>
      </c>
      <c r="S129" s="2" t="s">
        <v>98</v>
      </c>
      <c r="T129" s="2" t="s">
        <v>98</v>
      </c>
      <c r="U129" s="2" t="s">
        <v>117</v>
      </c>
      <c r="V129" s="2" t="s">
        <v>313</v>
      </c>
      <c r="W129" s="2" t="s">
        <v>867</v>
      </c>
      <c r="X129" s="2" t="s">
        <v>103</v>
      </c>
      <c r="Y129" s="2" t="s">
        <v>536</v>
      </c>
      <c r="Z129" s="4">
        <v>127</v>
      </c>
      <c r="AA129" s="4">
        <f>=ROUNDDOWN(42.3333333333333,0)</f>
      </c>
      <c r="AB129" s="5">
        <v>3</v>
      </c>
      <c r="AC129" s="2" t="s">
        <v>98</v>
      </c>
      <c r="AD129" s="4"/>
      <c r="AE129" s="4"/>
      <c r="AF129" s="6">
        <v>63</v>
      </c>
      <c r="AG129" s="6"/>
      <c r="AH129" s="7">
        <v>1</v>
      </c>
      <c r="AI129" s="4"/>
      <c r="AJ129" s="4">
        <f>=ROUNDDOWN({0},0)</f>
      </c>
      <c r="AK129" s="5"/>
      <c r="AL129" s="2" t="s">
        <v>98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 t="s">
        <v>98</v>
      </c>
      <c r="BD129" s="8" t="s">
        <v>98</v>
      </c>
      <c r="BE129" s="4" t="s">
        <v>98</v>
      </c>
      <c r="BF129" s="8" t="s">
        <v>98</v>
      </c>
      <c r="BG129" s="7" t="s">
        <v>98</v>
      </c>
      <c r="BH129" s="7" t="s">
        <v>98</v>
      </c>
      <c r="BI129" s="7"/>
      <c r="BJ129" s="4"/>
      <c r="BK129" s="8"/>
      <c r="BL129" s="2" t="s">
        <v>98</v>
      </c>
      <c r="BM129" s="7"/>
      <c r="BN129" s="7"/>
      <c r="BO129" s="4"/>
      <c r="BP129" s="8"/>
      <c r="BQ129" s="4"/>
      <c r="BR129" s="8"/>
      <c r="BS129" s="7"/>
      <c r="BT129" s="7"/>
      <c r="BU129" s="2" t="s">
        <v>107</v>
      </c>
      <c r="BV129" s="2" t="s">
        <v>95</v>
      </c>
      <c r="BW129" s="2" t="s">
        <v>300</v>
      </c>
      <c r="BX129" s="2" t="s">
        <v>98</v>
      </c>
      <c r="BY129" s="2" t="s">
        <v>110</v>
      </c>
      <c r="BZ129" s="2" t="s">
        <v>98</v>
      </c>
    </row>
    <row r="130">
      <c r="A130" s="2" t="s">
        <v>871</v>
      </c>
      <c r="B130" s="2" t="s">
        <v>87</v>
      </c>
      <c r="C130" s="2" t="s">
        <v>88</v>
      </c>
      <c r="D130" s="2" t="s">
        <v>525</v>
      </c>
      <c r="E130" s="2" t="s">
        <v>326</v>
      </c>
      <c r="F130" s="2" t="s">
        <v>856</v>
      </c>
      <c r="G130" s="2" t="s">
        <v>856</v>
      </c>
      <c r="H130" s="2" t="s">
        <v>856</v>
      </c>
      <c r="I130" s="2" t="s">
        <v>872</v>
      </c>
      <c r="J130" s="2" t="s">
        <v>93</v>
      </c>
      <c r="K130" s="2" t="s">
        <v>873</v>
      </c>
      <c r="L130" s="3">
        <v>14</v>
      </c>
      <c r="M130" s="3">
        <v>14.7</v>
      </c>
      <c r="N130" s="3">
        <v>34.99</v>
      </c>
      <c r="O130" s="2" t="s">
        <v>95</v>
      </c>
      <c r="P130" s="2" t="s">
        <v>295</v>
      </c>
      <c r="Q130" s="2" t="s">
        <v>97</v>
      </c>
      <c r="R130" s="2" t="s">
        <v>98</v>
      </c>
      <c r="S130" s="2" t="s">
        <v>98</v>
      </c>
      <c r="T130" s="2" t="s">
        <v>98</v>
      </c>
      <c r="U130" s="2" t="s">
        <v>117</v>
      </c>
      <c r="V130" s="2" t="s">
        <v>313</v>
      </c>
      <c r="W130" s="2" t="s">
        <v>867</v>
      </c>
      <c r="X130" s="2" t="s">
        <v>103</v>
      </c>
      <c r="Y130" s="2" t="s">
        <v>536</v>
      </c>
      <c r="Z130" s="4">
        <v>112</v>
      </c>
      <c r="AA130" s="4">
        <f>=ROUNDDOWN(28,0)</f>
      </c>
      <c r="AB130" s="5">
        <v>4</v>
      </c>
      <c r="AC130" s="2" t="s">
        <v>98</v>
      </c>
      <c r="AD130" s="4"/>
      <c r="AE130" s="4"/>
      <c r="AF130" s="6">
        <v>63</v>
      </c>
      <c r="AG130" s="6"/>
      <c r="AH130" s="7">
        <v>1</v>
      </c>
      <c r="AI130" s="4"/>
      <c r="AJ130" s="4">
        <f>=ROUNDDOWN({0},0)</f>
      </c>
      <c r="AK130" s="5"/>
      <c r="AL130" s="2" t="s">
        <v>98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 t="s">
        <v>98</v>
      </c>
      <c r="BD130" s="8" t="s">
        <v>98</v>
      </c>
      <c r="BE130" s="4" t="s">
        <v>98</v>
      </c>
      <c r="BF130" s="8" t="s">
        <v>98</v>
      </c>
      <c r="BG130" s="7" t="s">
        <v>98</v>
      </c>
      <c r="BH130" s="7" t="s">
        <v>98</v>
      </c>
      <c r="BI130" s="7"/>
      <c r="BJ130" s="4"/>
      <c r="BK130" s="8"/>
      <c r="BL130" s="2" t="s">
        <v>98</v>
      </c>
      <c r="BM130" s="7"/>
      <c r="BN130" s="7"/>
      <c r="BO130" s="4"/>
      <c r="BP130" s="8"/>
      <c r="BQ130" s="4"/>
      <c r="BR130" s="8"/>
      <c r="BS130" s="7"/>
      <c r="BT130" s="7"/>
      <c r="BU130" s="2" t="s">
        <v>107</v>
      </c>
      <c r="BV130" s="2" t="s">
        <v>95</v>
      </c>
      <c r="BW130" s="2" t="s">
        <v>300</v>
      </c>
      <c r="BX130" s="2" t="s">
        <v>98</v>
      </c>
      <c r="BY130" s="2" t="s">
        <v>110</v>
      </c>
      <c r="BZ130" s="2" t="s">
        <v>98</v>
      </c>
    </row>
    <row r="131">
      <c r="A131" s="2" t="s">
        <v>874</v>
      </c>
      <c r="B131" s="2" t="s">
        <v>87</v>
      </c>
      <c r="C131" s="2" t="s">
        <v>88</v>
      </c>
      <c r="D131" s="2" t="s">
        <v>525</v>
      </c>
      <c r="E131" s="2" t="s">
        <v>326</v>
      </c>
      <c r="F131" s="2" t="s">
        <v>856</v>
      </c>
      <c r="G131" s="2" t="s">
        <v>856</v>
      </c>
      <c r="H131" s="2" t="s">
        <v>856</v>
      </c>
      <c r="I131" s="2" t="s">
        <v>875</v>
      </c>
      <c r="J131" s="2" t="s">
        <v>93</v>
      </c>
      <c r="K131" s="2" t="s">
        <v>876</v>
      </c>
      <c r="L131" s="3">
        <v>14</v>
      </c>
      <c r="M131" s="3">
        <v>14.7</v>
      </c>
      <c r="N131" s="3">
        <v>34.99</v>
      </c>
      <c r="O131" s="2" t="s">
        <v>95</v>
      </c>
      <c r="P131" s="2" t="s">
        <v>295</v>
      </c>
      <c r="Q131" s="2" t="s">
        <v>97</v>
      </c>
      <c r="R131" s="2" t="s">
        <v>98</v>
      </c>
      <c r="S131" s="2" t="s">
        <v>98</v>
      </c>
      <c r="T131" s="2" t="s">
        <v>98</v>
      </c>
      <c r="U131" s="2" t="s">
        <v>117</v>
      </c>
      <c r="V131" s="2" t="s">
        <v>313</v>
      </c>
      <c r="W131" s="2" t="s">
        <v>867</v>
      </c>
      <c r="X131" s="2" t="s">
        <v>103</v>
      </c>
      <c r="Y131" s="2" t="s">
        <v>536</v>
      </c>
      <c r="Z131" s="4">
        <v>138</v>
      </c>
      <c r="AA131" s="4">
        <f>=ROUNDDOWN(34.5,0)</f>
      </c>
      <c r="AB131" s="5">
        <v>4</v>
      </c>
      <c r="AC131" s="2" t="s">
        <v>98</v>
      </c>
      <c r="AD131" s="4"/>
      <c r="AE131" s="4"/>
      <c r="AF131" s="6">
        <v>63</v>
      </c>
      <c r="AG131" s="6"/>
      <c r="AH131" s="7">
        <v>1</v>
      </c>
      <c r="AI131" s="4"/>
      <c r="AJ131" s="4">
        <f>=ROUNDDOWN({0},0)</f>
      </c>
      <c r="AK131" s="5"/>
      <c r="AL131" s="2" t="s">
        <v>98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98</v>
      </c>
      <c r="BD131" s="8" t="s">
        <v>98</v>
      </c>
      <c r="BE131" s="4" t="s">
        <v>98</v>
      </c>
      <c r="BF131" s="8" t="s">
        <v>98</v>
      </c>
      <c r="BG131" s="7" t="s">
        <v>98</v>
      </c>
      <c r="BH131" s="7" t="s">
        <v>98</v>
      </c>
      <c r="BI131" s="7"/>
      <c r="BJ131" s="4"/>
      <c r="BK131" s="8"/>
      <c r="BL131" s="2" t="s">
        <v>98</v>
      </c>
      <c r="BM131" s="7"/>
      <c r="BN131" s="7"/>
      <c r="BO131" s="4"/>
      <c r="BP131" s="8"/>
      <c r="BQ131" s="4"/>
      <c r="BR131" s="8"/>
      <c r="BS131" s="7"/>
      <c r="BT131" s="7"/>
      <c r="BU131" s="2" t="s">
        <v>107</v>
      </c>
      <c r="BV131" s="2" t="s">
        <v>95</v>
      </c>
      <c r="BW131" s="2" t="s">
        <v>300</v>
      </c>
      <c r="BX131" s="2" t="s">
        <v>98</v>
      </c>
      <c r="BY131" s="2" t="s">
        <v>110</v>
      </c>
      <c r="BZ131" s="2" t="s">
        <v>98</v>
      </c>
    </row>
    <row r="132">
      <c r="A132" s="2" t="s">
        <v>877</v>
      </c>
      <c r="B132" s="2" t="s">
        <v>87</v>
      </c>
      <c r="C132" s="2" t="s">
        <v>88</v>
      </c>
      <c r="D132" s="2" t="s">
        <v>525</v>
      </c>
      <c r="E132" s="2" t="s">
        <v>326</v>
      </c>
      <c r="F132" s="2" t="s">
        <v>856</v>
      </c>
      <c r="G132" s="2" t="s">
        <v>856</v>
      </c>
      <c r="H132" s="2" t="s">
        <v>856</v>
      </c>
      <c r="I132" s="2" t="s">
        <v>878</v>
      </c>
      <c r="J132" s="2" t="s">
        <v>93</v>
      </c>
      <c r="K132" s="2" t="s">
        <v>879</v>
      </c>
      <c r="L132" s="3">
        <v>14</v>
      </c>
      <c r="M132" s="3">
        <v>14.7</v>
      </c>
      <c r="N132" s="3">
        <v>34.99</v>
      </c>
      <c r="O132" s="2" t="s">
        <v>95</v>
      </c>
      <c r="P132" s="2" t="s">
        <v>134</v>
      </c>
      <c r="Q132" s="2" t="s">
        <v>97</v>
      </c>
      <c r="R132" s="2" t="s">
        <v>98</v>
      </c>
      <c r="S132" s="2" t="s">
        <v>98</v>
      </c>
      <c r="T132" s="2" t="s">
        <v>98</v>
      </c>
      <c r="U132" s="2" t="s">
        <v>117</v>
      </c>
      <c r="V132" s="2" t="s">
        <v>313</v>
      </c>
      <c r="W132" s="2" t="s">
        <v>880</v>
      </c>
      <c r="X132" s="2" t="s">
        <v>204</v>
      </c>
      <c r="Y132" s="2" t="s">
        <v>536</v>
      </c>
      <c r="Z132" s="4">
        <v>165</v>
      </c>
      <c r="AA132" s="4">
        <f>=ROUNDDOWN(23.5714285714286,0)</f>
      </c>
      <c r="AB132" s="5">
        <v>7</v>
      </c>
      <c r="AC132" s="2" t="s">
        <v>412</v>
      </c>
      <c r="AD132" s="4">
        <v>100</v>
      </c>
      <c r="AE132" s="4">
        <v>100</v>
      </c>
      <c r="AF132" s="6">
        <v>63</v>
      </c>
      <c r="AG132" s="6"/>
      <c r="AH132" s="7">
        <v>1</v>
      </c>
      <c r="AI132" s="4"/>
      <c r="AJ132" s="4">
        <f>=ROUNDDOWN({0},0)</f>
      </c>
      <c r="AK132" s="5"/>
      <c r="AL132" s="2" t="s">
        <v>98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 t="s">
        <v>98</v>
      </c>
      <c r="BD132" s="8" t="s">
        <v>98</v>
      </c>
      <c r="BE132" s="4" t="s">
        <v>98</v>
      </c>
      <c r="BF132" s="8" t="s">
        <v>98</v>
      </c>
      <c r="BG132" s="7" t="s">
        <v>98</v>
      </c>
      <c r="BH132" s="7" t="s">
        <v>98</v>
      </c>
      <c r="BI132" s="7"/>
      <c r="BJ132" s="4"/>
      <c r="BK132" s="8"/>
      <c r="BL132" s="2" t="s">
        <v>98</v>
      </c>
      <c r="BM132" s="7"/>
      <c r="BN132" s="7"/>
      <c r="BO132" s="4"/>
      <c r="BP132" s="8"/>
      <c r="BQ132" s="4"/>
      <c r="BR132" s="8"/>
      <c r="BS132" s="7"/>
      <c r="BT132" s="7"/>
      <c r="BU132" s="2" t="s">
        <v>107</v>
      </c>
      <c r="BV132" s="2" t="s">
        <v>95</v>
      </c>
      <c r="BW132" s="2" t="s">
        <v>300</v>
      </c>
      <c r="BX132" s="2" t="s">
        <v>98</v>
      </c>
      <c r="BY132" s="2" t="s">
        <v>110</v>
      </c>
      <c r="BZ132" s="2" t="s">
        <v>98</v>
      </c>
    </row>
    <row r="133">
      <c r="A133" s="2" t="s">
        <v>881</v>
      </c>
      <c r="B133" s="2" t="s">
        <v>87</v>
      </c>
      <c r="C133" s="2" t="s">
        <v>88</v>
      </c>
      <c r="D133" s="2" t="s">
        <v>525</v>
      </c>
      <c r="E133" s="2" t="s">
        <v>326</v>
      </c>
      <c r="F133" s="2" t="s">
        <v>882</v>
      </c>
      <c r="G133" s="2" t="s">
        <v>882</v>
      </c>
      <c r="H133" s="2" t="s">
        <v>882</v>
      </c>
      <c r="I133" s="2" t="s">
        <v>851</v>
      </c>
      <c r="J133" s="2" t="s">
        <v>93</v>
      </c>
      <c r="K133" s="2" t="s">
        <v>277</v>
      </c>
      <c r="L133" s="3">
        <v>55.77</v>
      </c>
      <c r="M133" s="3">
        <v>58.56</v>
      </c>
      <c r="N133" s="3">
        <v>118.99</v>
      </c>
      <c r="O133" s="2" t="s">
        <v>95</v>
      </c>
      <c r="P133" s="2" t="s">
        <v>134</v>
      </c>
      <c r="Q133" s="2" t="s">
        <v>97</v>
      </c>
      <c r="R133" s="2" t="s">
        <v>98</v>
      </c>
      <c r="S133" s="2" t="s">
        <v>883</v>
      </c>
      <c r="T133" s="2" t="s">
        <v>98</v>
      </c>
      <c r="U133" s="2" t="s">
        <v>144</v>
      </c>
      <c r="V133" s="2" t="s">
        <v>165</v>
      </c>
      <c r="W133" s="2" t="s">
        <v>165</v>
      </c>
      <c r="X133" s="2" t="s">
        <v>98</v>
      </c>
      <c r="Y133" s="2" t="s">
        <v>427</v>
      </c>
      <c r="Z133" s="4">
        <v>37</v>
      </c>
      <c r="AA133" s="4">
        <f>=ROUNDDOWN(12.3333333333333,0)</f>
      </c>
      <c r="AB133" s="5">
        <v>3</v>
      </c>
      <c r="AC133" s="2" t="s">
        <v>177</v>
      </c>
      <c r="AD133" s="4">
        <v>100</v>
      </c>
      <c r="AE133" s="4">
        <v>100</v>
      </c>
      <c r="AF133" s="6">
        <v>63</v>
      </c>
      <c r="AG133" s="6"/>
      <c r="AH133" s="7">
        <v>1</v>
      </c>
      <c r="AI133" s="4"/>
      <c r="AJ133" s="4">
        <f>=ROUNDDOWN({0},0)</f>
      </c>
      <c r="AK133" s="5"/>
      <c r="AL133" s="2" t="s">
        <v>98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/>
      <c r="BD133" s="8"/>
      <c r="BE133" s="4"/>
      <c r="BF133" s="8"/>
      <c r="BG133" s="7"/>
      <c r="BH133" s="7"/>
      <c r="BI133" s="7"/>
      <c r="BJ133" s="4">
        <v>1</v>
      </c>
      <c r="BK133" s="8">
        <v>68.53</v>
      </c>
      <c r="BL133" s="2" t="s">
        <v>781</v>
      </c>
      <c r="BM133" s="7"/>
      <c r="BN133" s="7"/>
      <c r="BO133" s="4"/>
      <c r="BP133" s="8"/>
      <c r="BQ133" s="4"/>
      <c r="BR133" s="8"/>
      <c r="BS133" s="7"/>
      <c r="BT133" s="7"/>
      <c r="BU133" s="2" t="s">
        <v>107</v>
      </c>
      <c r="BV133" s="2" t="s">
        <v>95</v>
      </c>
      <c r="BW133" s="2" t="s">
        <v>453</v>
      </c>
      <c r="BX133" s="2" t="s">
        <v>884</v>
      </c>
      <c r="BY133" s="2" t="s">
        <v>110</v>
      </c>
      <c r="BZ133" s="2" t="s">
        <v>98</v>
      </c>
    </row>
    <row r="134">
      <c r="A134" s="2" t="s">
        <v>885</v>
      </c>
      <c r="B134" s="2" t="s">
        <v>87</v>
      </c>
      <c r="C134" s="2" t="s">
        <v>88</v>
      </c>
      <c r="D134" s="2" t="s">
        <v>525</v>
      </c>
      <c r="E134" s="2" t="s">
        <v>326</v>
      </c>
      <c r="F134" s="2" t="s">
        <v>886</v>
      </c>
      <c r="G134" s="2" t="s">
        <v>886</v>
      </c>
      <c r="H134" s="2" t="s">
        <v>886</v>
      </c>
      <c r="I134" s="2" t="s">
        <v>887</v>
      </c>
      <c r="J134" s="2" t="s">
        <v>93</v>
      </c>
      <c r="K134" s="2" t="s">
        <v>127</v>
      </c>
      <c r="L134" s="3">
        <v>44.47</v>
      </c>
      <c r="M134" s="3">
        <v>46.69</v>
      </c>
      <c r="N134" s="3">
        <v>96.04</v>
      </c>
      <c r="O134" s="2" t="s">
        <v>95</v>
      </c>
      <c r="P134" s="2" t="s">
        <v>142</v>
      </c>
      <c r="Q134" s="2" t="s">
        <v>97</v>
      </c>
      <c r="R134" s="2" t="s">
        <v>98</v>
      </c>
      <c r="S134" s="2" t="s">
        <v>888</v>
      </c>
      <c r="T134" s="2" t="s">
        <v>98</v>
      </c>
      <c r="U134" s="2" t="s">
        <v>117</v>
      </c>
      <c r="V134" s="2" t="s">
        <v>331</v>
      </c>
      <c r="W134" s="2" t="s">
        <v>102</v>
      </c>
      <c r="X134" s="2" t="s">
        <v>98</v>
      </c>
      <c r="Y134" s="2" t="s">
        <v>427</v>
      </c>
      <c r="Z134" s="4">
        <v>76</v>
      </c>
      <c r="AA134" s="4">
        <f>=ROUNDDOWN(38,0)</f>
      </c>
      <c r="AB134" s="5">
        <v>2</v>
      </c>
      <c r="AC134" s="2" t="s">
        <v>360</v>
      </c>
      <c r="AD134" s="4">
        <v>100</v>
      </c>
      <c r="AE134" s="4">
        <v>100</v>
      </c>
      <c r="AF134" s="6">
        <v>63</v>
      </c>
      <c r="AG134" s="6"/>
      <c r="AH134" s="7">
        <v>1</v>
      </c>
      <c r="AI134" s="4"/>
      <c r="AJ134" s="4">
        <f>=ROUNDDOWN({0},0)</f>
      </c>
      <c r="AK134" s="5"/>
      <c r="AL134" s="2" t="s">
        <v>98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/>
      <c r="BD134" s="8"/>
      <c r="BE134" s="4"/>
      <c r="BF134" s="8"/>
      <c r="BG134" s="7"/>
      <c r="BH134" s="7"/>
      <c r="BI134" s="7"/>
      <c r="BJ134" s="4">
        <v>1</v>
      </c>
      <c r="BK134" s="8">
        <v>54.05</v>
      </c>
      <c r="BL134" s="2" t="s">
        <v>781</v>
      </c>
      <c r="BM134" s="7"/>
      <c r="BN134" s="7"/>
      <c r="BO134" s="4"/>
      <c r="BP134" s="8"/>
      <c r="BQ134" s="4"/>
      <c r="BR134" s="8"/>
      <c r="BS134" s="7"/>
      <c r="BT134" s="7"/>
      <c r="BU134" s="2" t="s">
        <v>107</v>
      </c>
      <c r="BV134" s="2" t="s">
        <v>95</v>
      </c>
      <c r="BW134" s="2" t="s">
        <v>453</v>
      </c>
      <c r="BX134" s="2" t="s">
        <v>889</v>
      </c>
      <c r="BY134" s="2" t="s">
        <v>110</v>
      </c>
      <c r="BZ134" s="2" t="s">
        <v>98</v>
      </c>
    </row>
    <row r="135">
      <c r="A135" s="2" t="s">
        <v>890</v>
      </c>
      <c r="B135" s="2" t="s">
        <v>87</v>
      </c>
      <c r="C135" s="2" t="s">
        <v>88</v>
      </c>
      <c r="D135" s="2" t="s">
        <v>525</v>
      </c>
      <c r="E135" s="2" t="s">
        <v>90</v>
      </c>
      <c r="F135" s="2" t="s">
        <v>891</v>
      </c>
      <c r="G135" s="2" t="s">
        <v>891</v>
      </c>
      <c r="H135" s="2" t="s">
        <v>891</v>
      </c>
      <c r="I135" s="2" t="s">
        <v>892</v>
      </c>
      <c r="J135" s="2" t="s">
        <v>93</v>
      </c>
      <c r="K135" s="2" t="s">
        <v>348</v>
      </c>
      <c r="L135" s="3">
        <v>21.85</v>
      </c>
      <c r="M135" s="3">
        <v>22.94</v>
      </c>
      <c r="N135" s="3">
        <v>50.99</v>
      </c>
      <c r="O135" s="2" t="s">
        <v>95</v>
      </c>
      <c r="P135" s="2" t="s">
        <v>115</v>
      </c>
      <c r="Q135" s="2" t="s">
        <v>97</v>
      </c>
      <c r="R135" s="2" t="s">
        <v>98</v>
      </c>
      <c r="S135" s="2" t="s">
        <v>893</v>
      </c>
      <c r="T135" s="2" t="s">
        <v>98</v>
      </c>
      <c r="U135" s="2" t="s">
        <v>100</v>
      </c>
      <c r="V135" s="2" t="s">
        <v>339</v>
      </c>
      <c r="W135" s="2" t="s">
        <v>119</v>
      </c>
      <c r="X135" s="2" t="s">
        <v>102</v>
      </c>
      <c r="Y135" s="2" t="s">
        <v>894</v>
      </c>
      <c r="Z135" s="4">
        <v>56</v>
      </c>
      <c r="AA135" s="4">
        <f>=ROUNDDOWN(14,0)</f>
      </c>
      <c r="AB135" s="5">
        <v>4</v>
      </c>
      <c r="AC135" s="2" t="s">
        <v>98</v>
      </c>
      <c r="AD135" s="4"/>
      <c r="AE135" s="4"/>
      <c r="AF135" s="6">
        <v>63</v>
      </c>
      <c r="AG135" s="6"/>
      <c r="AH135" s="7">
        <v>1</v>
      </c>
      <c r="AI135" s="4"/>
      <c r="AJ135" s="4">
        <f>=ROUNDDOWN({0},0)</f>
      </c>
      <c r="AK135" s="5"/>
      <c r="AL135" s="2" t="s">
        <v>98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/>
      <c r="BD135" s="8"/>
      <c r="BE135" s="4"/>
      <c r="BF135" s="8"/>
      <c r="BG135" s="7"/>
      <c r="BH135" s="7"/>
      <c r="BI135" s="7"/>
      <c r="BJ135" s="4">
        <v>1</v>
      </c>
      <c r="BK135" s="8">
        <v>21.6</v>
      </c>
      <c r="BL135" s="2" t="s">
        <v>895</v>
      </c>
      <c r="BM135" s="7"/>
      <c r="BN135" s="7"/>
      <c r="BO135" s="4"/>
      <c r="BP135" s="8"/>
      <c r="BQ135" s="4"/>
      <c r="BR135" s="8"/>
      <c r="BS135" s="7"/>
      <c r="BT135" s="7"/>
      <c r="BU135" s="2" t="s">
        <v>107</v>
      </c>
      <c r="BV135" s="2" t="s">
        <v>95</v>
      </c>
      <c r="BW135" s="2" t="s">
        <v>289</v>
      </c>
      <c r="BX135" s="2" t="s">
        <v>896</v>
      </c>
      <c r="BY135" s="2" t="s">
        <v>110</v>
      </c>
      <c r="BZ135" s="2" t="s">
        <v>98</v>
      </c>
    </row>
    <row r="136">
      <c r="A136" s="2" t="s">
        <v>897</v>
      </c>
      <c r="B136" s="2" t="s">
        <v>87</v>
      </c>
      <c r="C136" s="2" t="s">
        <v>88</v>
      </c>
      <c r="D136" s="2" t="s">
        <v>525</v>
      </c>
      <c r="E136" s="2" t="s">
        <v>90</v>
      </c>
      <c r="F136" s="2" t="s">
        <v>898</v>
      </c>
      <c r="G136" s="2" t="s">
        <v>898</v>
      </c>
      <c r="H136" s="2" t="s">
        <v>898</v>
      </c>
      <c r="I136" s="2" t="s">
        <v>899</v>
      </c>
      <c r="J136" s="2" t="s">
        <v>93</v>
      </c>
      <c r="K136" s="2" t="s">
        <v>211</v>
      </c>
      <c r="L136" s="3">
        <v>38.67</v>
      </c>
      <c r="M136" s="3">
        <v>40.6</v>
      </c>
      <c r="N136" s="3">
        <v>79.99</v>
      </c>
      <c r="O136" s="2" t="s">
        <v>155</v>
      </c>
      <c r="P136" s="2" t="s">
        <v>115</v>
      </c>
      <c r="Q136" s="2" t="s">
        <v>97</v>
      </c>
      <c r="R136" s="2" t="s">
        <v>98</v>
      </c>
      <c r="S136" s="2" t="s">
        <v>98</v>
      </c>
      <c r="T136" s="2" t="s">
        <v>98</v>
      </c>
      <c r="U136" s="2" t="s">
        <v>100</v>
      </c>
      <c r="V136" s="2" t="s">
        <v>101</v>
      </c>
      <c r="W136" s="2" t="s">
        <v>119</v>
      </c>
      <c r="X136" s="2" t="s">
        <v>204</v>
      </c>
      <c r="Y136" s="2" t="s">
        <v>900</v>
      </c>
      <c r="Z136" s="4">
        <v>43</v>
      </c>
      <c r="AA136" s="4">
        <f>=ROUNDDOWN(26.875,0)</f>
      </c>
      <c r="AB136" s="5">
        <v>1.6</v>
      </c>
      <c r="AC136" s="2" t="s">
        <v>98</v>
      </c>
      <c r="AD136" s="4"/>
      <c r="AE136" s="4"/>
      <c r="AF136" s="6">
        <v>63</v>
      </c>
      <c r="AG136" s="6"/>
      <c r="AH136" s="7">
        <v>1</v>
      </c>
      <c r="AI136" s="4"/>
      <c r="AJ136" s="4">
        <f>=ROUNDDOWN({0},0)</f>
      </c>
      <c r="AK136" s="5"/>
      <c r="AL136" s="2" t="s">
        <v>98</v>
      </c>
      <c r="AM136" s="4"/>
      <c r="AN136" s="4"/>
      <c r="AO136" s="7">
        <v>0</v>
      </c>
      <c r="AP136" s="4"/>
      <c r="AQ136" s="8"/>
      <c r="AR136" s="4">
        <v>1</v>
      </c>
      <c r="AS136" s="8">
        <v>44.88</v>
      </c>
      <c r="AT136" s="7">
        <v>-1</v>
      </c>
      <c r="AU136" s="7">
        <v>-1</v>
      </c>
      <c r="AV136" s="4"/>
      <c r="AW136" s="8"/>
      <c r="AX136" s="4">
        <v>1</v>
      </c>
      <c r="AY136" s="8">
        <v>44.88</v>
      </c>
      <c r="AZ136" s="7">
        <v>-1</v>
      </c>
      <c r="BA136" s="7">
        <v>-1</v>
      </c>
      <c r="BB136" s="7"/>
      <c r="BC136" s="4"/>
      <c r="BD136" s="8"/>
      <c r="BE136" s="4">
        <v>1</v>
      </c>
      <c r="BF136" s="8">
        <v>44.88</v>
      </c>
      <c r="BG136" s="7">
        <v>-1</v>
      </c>
      <c r="BH136" s="7">
        <v>-1</v>
      </c>
      <c r="BI136" s="7"/>
      <c r="BJ136" s="4"/>
      <c r="BK136" s="8"/>
      <c r="BL136" s="2" t="s">
        <v>901</v>
      </c>
      <c r="BM136" s="7"/>
      <c r="BN136" s="7"/>
      <c r="BO136" s="4"/>
      <c r="BP136" s="8"/>
      <c r="BQ136" s="4">
        <v>1</v>
      </c>
      <c r="BR136" s="8">
        <v>44.88</v>
      </c>
      <c r="BS136" s="7">
        <v>-1</v>
      </c>
      <c r="BT136" s="7">
        <v>-1</v>
      </c>
      <c r="BU136" s="2" t="s">
        <v>107</v>
      </c>
      <c r="BV136" s="2" t="s">
        <v>95</v>
      </c>
      <c r="BW136" s="2" t="s">
        <v>289</v>
      </c>
      <c r="BX136" s="2" t="s">
        <v>902</v>
      </c>
      <c r="BY136" s="2" t="s">
        <v>110</v>
      </c>
      <c r="BZ136" s="2" t="s">
        <v>98</v>
      </c>
    </row>
    <row r="137">
      <c r="A137" s="2" t="s">
        <v>903</v>
      </c>
      <c r="B137" s="2" t="s">
        <v>87</v>
      </c>
      <c r="C137" s="2" t="s">
        <v>88</v>
      </c>
      <c r="D137" s="2" t="s">
        <v>525</v>
      </c>
      <c r="E137" s="2" t="s">
        <v>90</v>
      </c>
      <c r="F137" s="2" t="s">
        <v>904</v>
      </c>
      <c r="G137" s="2" t="s">
        <v>904</v>
      </c>
      <c r="H137" s="2" t="s">
        <v>904</v>
      </c>
      <c r="I137" s="2" t="s">
        <v>905</v>
      </c>
      <c r="J137" s="2" t="s">
        <v>93</v>
      </c>
      <c r="K137" s="2" t="s">
        <v>211</v>
      </c>
      <c r="L137" s="3">
        <v>77.71</v>
      </c>
      <c r="M137" s="3">
        <v>81.6</v>
      </c>
      <c r="N137" s="3">
        <v>169.99</v>
      </c>
      <c r="O137" s="2" t="s">
        <v>95</v>
      </c>
      <c r="P137" s="2" t="s">
        <v>142</v>
      </c>
      <c r="Q137" s="2" t="s">
        <v>97</v>
      </c>
      <c r="R137" s="2" t="s">
        <v>98</v>
      </c>
      <c r="S137" s="2" t="s">
        <v>906</v>
      </c>
      <c r="T137" s="2" t="s">
        <v>98</v>
      </c>
      <c r="U137" s="2" t="s">
        <v>724</v>
      </c>
      <c r="V137" s="2" t="s">
        <v>331</v>
      </c>
      <c r="W137" s="2" t="s">
        <v>102</v>
      </c>
      <c r="X137" s="2" t="s">
        <v>297</v>
      </c>
      <c r="Y137" s="2" t="s">
        <v>907</v>
      </c>
      <c r="Z137" s="4">
        <v>94</v>
      </c>
      <c r="AA137" s="4">
        <f>=ROUNDDOWN(47,0)</f>
      </c>
      <c r="AB137" s="5">
        <v>2</v>
      </c>
      <c r="AC137" s="2" t="s">
        <v>98</v>
      </c>
      <c r="AD137" s="4"/>
      <c r="AE137" s="4"/>
      <c r="AF137" s="6">
        <v>63</v>
      </c>
      <c r="AG137" s="6"/>
      <c r="AH137" s="7">
        <v>1</v>
      </c>
      <c r="AI137" s="4"/>
      <c r="AJ137" s="4">
        <f>=ROUNDDOWN({0},0)</f>
      </c>
      <c r="AK137" s="5"/>
      <c r="AL137" s="2" t="s">
        <v>98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/>
      <c r="BD137" s="8"/>
      <c r="BE137" s="4"/>
      <c r="BF137" s="8"/>
      <c r="BG137" s="7"/>
      <c r="BH137" s="7"/>
      <c r="BI137" s="7"/>
      <c r="BJ137" s="4">
        <v>1</v>
      </c>
      <c r="BK137" s="8">
        <v>100.79</v>
      </c>
      <c r="BL137" s="2" t="s">
        <v>781</v>
      </c>
      <c r="BM137" s="7"/>
      <c r="BN137" s="7"/>
      <c r="BO137" s="4"/>
      <c r="BP137" s="8"/>
      <c r="BQ137" s="4"/>
      <c r="BR137" s="8"/>
      <c r="BS137" s="7"/>
      <c r="BT137" s="7"/>
      <c r="BU137" s="2" t="s">
        <v>107</v>
      </c>
      <c r="BV137" s="2" t="s">
        <v>95</v>
      </c>
      <c r="BW137" s="2" t="s">
        <v>289</v>
      </c>
      <c r="BX137" s="2" t="s">
        <v>908</v>
      </c>
      <c r="BY137" s="2" t="s">
        <v>110</v>
      </c>
      <c r="BZ137" s="2" t="s">
        <v>98</v>
      </c>
    </row>
    <row r="138">
      <c r="A138" s="2" t="s">
        <v>909</v>
      </c>
      <c r="B138" s="2" t="s">
        <v>87</v>
      </c>
      <c r="C138" s="2" t="s">
        <v>88</v>
      </c>
      <c r="D138" s="2" t="s">
        <v>910</v>
      </c>
      <c r="E138" s="2" t="s">
        <v>910</v>
      </c>
      <c r="F138" s="2" t="s">
        <v>911</v>
      </c>
      <c r="G138" s="2" t="s">
        <v>911</v>
      </c>
      <c r="H138" s="2" t="s">
        <v>911</v>
      </c>
      <c r="I138" s="2" t="s">
        <v>648</v>
      </c>
      <c r="J138" s="2" t="s">
        <v>93</v>
      </c>
      <c r="K138" s="2" t="s">
        <v>912</v>
      </c>
      <c r="L138" s="3">
        <v>56.03</v>
      </c>
      <c r="M138" s="3">
        <v>58.83</v>
      </c>
      <c r="N138" s="3">
        <v>116.99</v>
      </c>
      <c r="O138" s="2" t="s">
        <v>95</v>
      </c>
      <c r="P138" s="2" t="s">
        <v>134</v>
      </c>
      <c r="Q138" s="2" t="s">
        <v>97</v>
      </c>
      <c r="R138" s="2" t="s">
        <v>98</v>
      </c>
      <c r="S138" s="2" t="s">
        <v>913</v>
      </c>
      <c r="T138" s="2" t="s">
        <v>98</v>
      </c>
      <c r="U138" s="2" t="s">
        <v>157</v>
      </c>
      <c r="V138" s="2" t="s">
        <v>145</v>
      </c>
      <c r="W138" s="2" t="s">
        <v>146</v>
      </c>
      <c r="X138" s="2" t="s">
        <v>119</v>
      </c>
      <c r="Y138" s="2" t="s">
        <v>914</v>
      </c>
      <c r="Z138" s="4">
        <v>168</v>
      </c>
      <c r="AA138" s="4">
        <f>=ROUNDDOWN(33.6,0)</f>
      </c>
      <c r="AB138" s="5">
        <v>5</v>
      </c>
      <c r="AC138" s="2" t="s">
        <v>98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98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/>
      <c r="BD138" s="8"/>
      <c r="BE138" s="4"/>
      <c r="BF138" s="8"/>
      <c r="BG138" s="7"/>
      <c r="BH138" s="7"/>
      <c r="BI138" s="7"/>
      <c r="BJ138" s="4">
        <v>4</v>
      </c>
      <c r="BK138" s="8">
        <v>249.73</v>
      </c>
      <c r="BL138" s="2" t="s">
        <v>915</v>
      </c>
      <c r="BM138" s="7"/>
      <c r="BN138" s="7"/>
      <c r="BO138" s="4"/>
      <c r="BP138" s="8"/>
      <c r="BQ138" s="4"/>
      <c r="BR138" s="8"/>
      <c r="BS138" s="7"/>
      <c r="BT138" s="7"/>
      <c r="BU138" s="2" t="s">
        <v>107</v>
      </c>
      <c r="BV138" s="2" t="s">
        <v>95</v>
      </c>
      <c r="BW138" s="2" t="s">
        <v>453</v>
      </c>
      <c r="BX138" s="2" t="s">
        <v>916</v>
      </c>
      <c r="BY138" s="2" t="s">
        <v>110</v>
      </c>
      <c r="BZ138" s="2" t="s">
        <v>98</v>
      </c>
    </row>
    <row r="139">
      <c r="A139" s="2" t="s">
        <v>917</v>
      </c>
      <c r="B139" s="2" t="s">
        <v>87</v>
      </c>
      <c r="C139" s="2" t="s">
        <v>88</v>
      </c>
      <c r="D139" s="2" t="s">
        <v>910</v>
      </c>
      <c r="E139" s="2" t="s">
        <v>910</v>
      </c>
      <c r="F139" s="2" t="s">
        <v>918</v>
      </c>
      <c r="G139" s="2" t="s">
        <v>98</v>
      </c>
      <c r="H139" s="2" t="s">
        <v>98</v>
      </c>
      <c r="I139" s="2" t="s">
        <v>919</v>
      </c>
      <c r="J139" s="2" t="s">
        <v>93</v>
      </c>
      <c r="K139" s="2" t="s">
        <v>559</v>
      </c>
      <c r="L139" s="3">
        <v>39.47</v>
      </c>
      <c r="M139" s="3">
        <v>41.44</v>
      </c>
      <c r="N139" s="3">
        <v>81.99</v>
      </c>
      <c r="O139" s="2" t="s">
        <v>95</v>
      </c>
      <c r="P139" s="2" t="s">
        <v>134</v>
      </c>
      <c r="Q139" s="2" t="s">
        <v>97</v>
      </c>
      <c r="R139" s="2" t="s">
        <v>98</v>
      </c>
      <c r="S139" s="2" t="s">
        <v>920</v>
      </c>
      <c r="T139" s="2" t="s">
        <v>98</v>
      </c>
      <c r="U139" s="2" t="s">
        <v>144</v>
      </c>
      <c r="V139" s="2" t="s">
        <v>203</v>
      </c>
      <c r="W139" s="2" t="s">
        <v>146</v>
      </c>
      <c r="X139" s="2" t="s">
        <v>98</v>
      </c>
      <c r="Y139" s="2" t="s">
        <v>366</v>
      </c>
      <c r="Z139" s="4">
        <v>96</v>
      </c>
      <c r="AA139" s="4">
        <f>=ROUNDDOWN(12,0)</f>
      </c>
      <c r="AB139" s="5">
        <v>8</v>
      </c>
      <c r="AC139" s="2" t="s">
        <v>136</v>
      </c>
      <c r="AD139" s="4">
        <v>100</v>
      </c>
      <c r="AE139" s="4">
        <v>200</v>
      </c>
      <c r="AF139" s="6">
        <v>63</v>
      </c>
      <c r="AG139" s="6"/>
      <c r="AH139" s="7">
        <v>1</v>
      </c>
      <c r="AI139" s="4"/>
      <c r="AJ139" s="4">
        <f>=ROUNDDOWN({0},0)</f>
      </c>
      <c r="AK139" s="5"/>
      <c r="AL139" s="2" t="s">
        <v>98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/>
      <c r="BD139" s="8"/>
      <c r="BE139" s="4"/>
      <c r="BF139" s="8"/>
      <c r="BG139" s="7"/>
      <c r="BH139" s="7"/>
      <c r="BI139" s="7"/>
      <c r="BJ139" s="4">
        <v>5</v>
      </c>
      <c r="BK139" s="8">
        <v>199.49</v>
      </c>
      <c r="BL139" s="2" t="s">
        <v>921</v>
      </c>
      <c r="BM139" s="7"/>
      <c r="BN139" s="7"/>
      <c r="BO139" s="4"/>
      <c r="BP139" s="8"/>
      <c r="BQ139" s="4"/>
      <c r="BR139" s="8"/>
      <c r="BS139" s="7"/>
      <c r="BT139" s="7"/>
      <c r="BU139" s="2" t="s">
        <v>107</v>
      </c>
      <c r="BV139" s="2" t="s">
        <v>95</v>
      </c>
      <c r="BW139" s="2" t="s">
        <v>368</v>
      </c>
      <c r="BX139" s="2" t="s">
        <v>922</v>
      </c>
      <c r="BY139" s="2" t="s">
        <v>110</v>
      </c>
      <c r="BZ139" s="2" t="s">
        <v>98</v>
      </c>
    </row>
    <row r="140">
      <c r="A140" s="2" t="s">
        <v>923</v>
      </c>
      <c r="B140" s="2" t="s">
        <v>87</v>
      </c>
      <c r="C140" s="2" t="s">
        <v>88</v>
      </c>
      <c r="D140" s="2" t="s">
        <v>924</v>
      </c>
      <c r="E140" s="2" t="s">
        <v>925</v>
      </c>
      <c r="F140" s="2" t="s">
        <v>926</v>
      </c>
      <c r="G140" s="2" t="s">
        <v>926</v>
      </c>
      <c r="H140" s="2" t="s">
        <v>926</v>
      </c>
      <c r="I140" s="2" t="s">
        <v>927</v>
      </c>
      <c r="J140" s="2" t="s">
        <v>93</v>
      </c>
      <c r="K140" s="2" t="s">
        <v>928</v>
      </c>
      <c r="L140" s="3">
        <v>40.19</v>
      </c>
      <c r="M140" s="3">
        <v>42.2</v>
      </c>
      <c r="N140" s="3">
        <v>89.99</v>
      </c>
      <c r="O140" s="2" t="s">
        <v>155</v>
      </c>
      <c r="P140" s="2" t="s">
        <v>115</v>
      </c>
      <c r="Q140" s="2" t="s">
        <v>97</v>
      </c>
      <c r="R140" s="2" t="s">
        <v>98</v>
      </c>
      <c r="S140" s="2" t="s">
        <v>929</v>
      </c>
      <c r="T140" s="2" t="s">
        <v>98</v>
      </c>
      <c r="U140" s="2" t="s">
        <v>117</v>
      </c>
      <c r="V140" s="2" t="s">
        <v>439</v>
      </c>
      <c r="W140" s="2" t="s">
        <v>102</v>
      </c>
      <c r="X140" s="2" t="s">
        <v>297</v>
      </c>
      <c r="Y140" s="2" t="s">
        <v>930</v>
      </c>
      <c r="Z140" s="4">
        <v>125</v>
      </c>
      <c r="AA140" s="4">
        <f>=ROUNDDOWN(125,0)</f>
      </c>
      <c r="AB140" s="5">
        <v>1</v>
      </c>
      <c r="AC140" s="2" t="s">
        <v>98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98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 t="s">
        <v>98</v>
      </c>
      <c r="BD140" s="8" t="s">
        <v>98</v>
      </c>
      <c r="BE140" s="4" t="s">
        <v>98</v>
      </c>
      <c r="BF140" s="8" t="s">
        <v>98</v>
      </c>
      <c r="BG140" s="7" t="s">
        <v>98</v>
      </c>
      <c r="BH140" s="7" t="s">
        <v>98</v>
      </c>
      <c r="BI140" s="7"/>
      <c r="BJ140" s="4">
        <v>3</v>
      </c>
      <c r="BK140" s="8">
        <v>157.3</v>
      </c>
      <c r="BL140" s="2" t="s">
        <v>931</v>
      </c>
      <c r="BM140" s="7"/>
      <c r="BN140" s="7"/>
      <c r="BO140" s="4"/>
      <c r="BP140" s="8"/>
      <c r="BQ140" s="4"/>
      <c r="BR140" s="8"/>
      <c r="BS140" s="7"/>
      <c r="BT140" s="7"/>
      <c r="BU140" s="2" t="s">
        <v>107</v>
      </c>
      <c r="BV140" s="2" t="s">
        <v>95</v>
      </c>
      <c r="BW140" s="2" t="s">
        <v>932</v>
      </c>
      <c r="BX140" s="2" t="s">
        <v>376</v>
      </c>
      <c r="BY140" s="2" t="s">
        <v>110</v>
      </c>
      <c r="BZ140" s="2" t="s">
        <v>98</v>
      </c>
    </row>
    <row r="141">
      <c r="A141" s="2" t="s">
        <v>933</v>
      </c>
      <c r="B141" s="2" t="s">
        <v>87</v>
      </c>
      <c r="C141" s="2" t="s">
        <v>88</v>
      </c>
      <c r="D141" s="2" t="s">
        <v>924</v>
      </c>
      <c r="E141" s="2" t="s">
        <v>925</v>
      </c>
      <c r="F141" s="2" t="s">
        <v>926</v>
      </c>
      <c r="G141" s="2" t="s">
        <v>926</v>
      </c>
      <c r="H141" s="2" t="s">
        <v>926</v>
      </c>
      <c r="I141" s="2" t="s">
        <v>927</v>
      </c>
      <c r="J141" s="2" t="s">
        <v>93</v>
      </c>
      <c r="K141" s="2" t="s">
        <v>934</v>
      </c>
      <c r="L141" s="3">
        <v>40.19</v>
      </c>
      <c r="M141" s="3">
        <v>42.2</v>
      </c>
      <c r="N141" s="3">
        <v>89.99</v>
      </c>
      <c r="O141" s="2" t="s">
        <v>95</v>
      </c>
      <c r="P141" s="2" t="s">
        <v>134</v>
      </c>
      <c r="Q141" s="2" t="s">
        <v>97</v>
      </c>
      <c r="R141" s="2" t="s">
        <v>98</v>
      </c>
      <c r="S141" s="2" t="s">
        <v>929</v>
      </c>
      <c r="T141" s="2" t="s">
        <v>98</v>
      </c>
      <c r="U141" s="2" t="s">
        <v>117</v>
      </c>
      <c r="V141" s="2" t="s">
        <v>439</v>
      </c>
      <c r="W141" s="2" t="s">
        <v>102</v>
      </c>
      <c r="X141" s="2" t="s">
        <v>204</v>
      </c>
      <c r="Y141" s="2" t="s">
        <v>930</v>
      </c>
      <c r="Z141" s="4"/>
      <c r="AA141" s="4">
        <f>=ROUNDDOWN({0},0)</f>
      </c>
      <c r="AB141" s="5">
        <v>8</v>
      </c>
      <c r="AC141" s="2" t="s">
        <v>105</v>
      </c>
      <c r="AD141" s="4">
        <v>100</v>
      </c>
      <c r="AE141" s="4">
        <v>200</v>
      </c>
      <c r="AF141" s="6">
        <v>65</v>
      </c>
      <c r="AG141" s="6"/>
      <c r="AH141" s="7">
        <v>0</v>
      </c>
      <c r="AI141" s="4"/>
      <c r="AJ141" s="4">
        <f>=ROUNDDOWN({0},0)</f>
      </c>
      <c r="AK141" s="5"/>
      <c r="AL141" s="2" t="s">
        <v>98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98</v>
      </c>
      <c r="BD141" s="8" t="s">
        <v>98</v>
      </c>
      <c r="BE141" s="4" t="s">
        <v>98</v>
      </c>
      <c r="BF141" s="8" t="s">
        <v>98</v>
      </c>
      <c r="BG141" s="7" t="s">
        <v>98</v>
      </c>
      <c r="BH141" s="7" t="s">
        <v>98</v>
      </c>
      <c r="BI141" s="7"/>
      <c r="BJ141" s="4">
        <v>1</v>
      </c>
      <c r="BK141" s="8">
        <v>51.35</v>
      </c>
      <c r="BL141" s="2" t="s">
        <v>935</v>
      </c>
      <c r="BM141" s="7"/>
      <c r="BN141" s="7"/>
      <c r="BO141" s="4"/>
      <c r="BP141" s="8"/>
      <c r="BQ141" s="4"/>
      <c r="BR141" s="8"/>
      <c r="BS141" s="7"/>
      <c r="BT141" s="7"/>
      <c r="BU141" s="2" t="s">
        <v>107</v>
      </c>
      <c r="BV141" s="2" t="s">
        <v>95</v>
      </c>
      <c r="BW141" s="2" t="s">
        <v>932</v>
      </c>
      <c r="BX141" s="2" t="s">
        <v>98</v>
      </c>
      <c r="BY141" s="2" t="s">
        <v>110</v>
      </c>
      <c r="BZ141" s="2" t="s">
        <v>98</v>
      </c>
    </row>
    <row r="142">
      <c r="A142" s="2" t="s">
        <v>936</v>
      </c>
      <c r="B142" s="2" t="s">
        <v>87</v>
      </c>
      <c r="C142" s="2" t="s">
        <v>88</v>
      </c>
      <c r="D142" s="2" t="s">
        <v>924</v>
      </c>
      <c r="E142" s="2" t="s">
        <v>925</v>
      </c>
      <c r="F142" s="2" t="s">
        <v>926</v>
      </c>
      <c r="G142" s="2" t="s">
        <v>926</v>
      </c>
      <c r="H142" s="2" t="s">
        <v>926</v>
      </c>
      <c r="I142" s="2" t="s">
        <v>927</v>
      </c>
      <c r="J142" s="2" t="s">
        <v>93</v>
      </c>
      <c r="K142" s="2" t="s">
        <v>937</v>
      </c>
      <c r="L142" s="3">
        <v>40.19</v>
      </c>
      <c r="M142" s="3">
        <v>42.2</v>
      </c>
      <c r="N142" s="3">
        <v>89.99</v>
      </c>
      <c r="O142" s="2" t="s">
        <v>95</v>
      </c>
      <c r="P142" s="2" t="s">
        <v>96</v>
      </c>
      <c r="Q142" s="2" t="s">
        <v>97</v>
      </c>
      <c r="R142" s="2" t="s">
        <v>98</v>
      </c>
      <c r="S142" s="2" t="s">
        <v>938</v>
      </c>
      <c r="T142" s="2" t="s">
        <v>98</v>
      </c>
      <c r="U142" s="2" t="s">
        <v>117</v>
      </c>
      <c r="V142" s="2" t="s">
        <v>439</v>
      </c>
      <c r="W142" s="2" t="s">
        <v>102</v>
      </c>
      <c r="X142" s="2" t="s">
        <v>98</v>
      </c>
      <c r="Y142" s="2" t="s">
        <v>939</v>
      </c>
      <c r="Z142" s="4">
        <v>167</v>
      </c>
      <c r="AA142" s="4">
        <f>=ROUNDDOWN(11.1333333333333,0)</f>
      </c>
      <c r="AB142" s="5">
        <v>15</v>
      </c>
      <c r="AC142" s="2" t="s">
        <v>105</v>
      </c>
      <c r="AD142" s="4">
        <v>200</v>
      </c>
      <c r="AE142" s="4">
        <v>200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98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 t="s">
        <v>98</v>
      </c>
      <c r="BD142" s="8" t="s">
        <v>98</v>
      </c>
      <c r="BE142" s="4" t="s">
        <v>98</v>
      </c>
      <c r="BF142" s="8" t="s">
        <v>98</v>
      </c>
      <c r="BG142" s="7" t="s">
        <v>98</v>
      </c>
      <c r="BH142" s="7" t="s">
        <v>98</v>
      </c>
      <c r="BI142" s="7"/>
      <c r="BJ142" s="4">
        <v>15</v>
      </c>
      <c r="BK142" s="8">
        <v>709.23</v>
      </c>
      <c r="BL142" s="2" t="s">
        <v>940</v>
      </c>
      <c r="BM142" s="7"/>
      <c r="BN142" s="7"/>
      <c r="BO142" s="4"/>
      <c r="BP142" s="8"/>
      <c r="BQ142" s="4"/>
      <c r="BR142" s="8"/>
      <c r="BS142" s="7"/>
      <c r="BT142" s="7"/>
      <c r="BU142" s="2" t="s">
        <v>107</v>
      </c>
      <c r="BV142" s="2" t="s">
        <v>95</v>
      </c>
      <c r="BW142" s="2" t="s">
        <v>837</v>
      </c>
      <c r="BX142" s="2" t="s">
        <v>941</v>
      </c>
      <c r="BY142" s="2" t="s">
        <v>110</v>
      </c>
      <c r="BZ142" s="2" t="s">
        <v>98</v>
      </c>
    </row>
    <row r="143">
      <c r="A143" s="2" t="s">
        <v>942</v>
      </c>
      <c r="B143" s="2" t="s">
        <v>87</v>
      </c>
      <c r="C143" s="2" t="s">
        <v>88</v>
      </c>
      <c r="D143" s="2" t="s">
        <v>943</v>
      </c>
      <c r="E143" s="2" t="s">
        <v>944</v>
      </c>
      <c r="F143" s="2" t="s">
        <v>945</v>
      </c>
      <c r="G143" s="2" t="s">
        <v>946</v>
      </c>
      <c r="H143" s="2" t="s">
        <v>947</v>
      </c>
      <c r="I143" s="2" t="s">
        <v>948</v>
      </c>
      <c r="J143" s="2" t="s">
        <v>93</v>
      </c>
      <c r="K143" s="2" t="s">
        <v>219</v>
      </c>
      <c r="L143" s="3">
        <v>34.24</v>
      </c>
      <c r="M143" s="3">
        <v>35.95</v>
      </c>
      <c r="N143" s="3">
        <v>69.69</v>
      </c>
      <c r="O143" s="2" t="s">
        <v>95</v>
      </c>
      <c r="P143" s="2" t="s">
        <v>134</v>
      </c>
      <c r="Q143" s="2" t="s">
        <v>97</v>
      </c>
      <c r="R143" s="2" t="s">
        <v>98</v>
      </c>
      <c r="S143" s="2" t="s">
        <v>949</v>
      </c>
      <c r="T143" s="2" t="s">
        <v>98</v>
      </c>
      <c r="U143" s="2" t="s">
        <v>157</v>
      </c>
      <c r="V143" s="2" t="s">
        <v>439</v>
      </c>
      <c r="W143" s="2" t="s">
        <v>103</v>
      </c>
      <c r="X143" s="2" t="s">
        <v>98</v>
      </c>
      <c r="Y143" s="2" t="s">
        <v>950</v>
      </c>
      <c r="Z143" s="4">
        <v>223</v>
      </c>
      <c r="AA143" s="4">
        <f>=ROUNDDOWN(18.5833333333333,0)</f>
      </c>
      <c r="AB143" s="5">
        <v>12</v>
      </c>
      <c r="AC143" s="2" t="s">
        <v>222</v>
      </c>
      <c r="AD143" s="4">
        <v>100</v>
      </c>
      <c r="AE143" s="4">
        <v>100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98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/>
      <c r="BD143" s="8"/>
      <c r="BE143" s="4"/>
      <c r="BF143" s="8"/>
      <c r="BG143" s="7"/>
      <c r="BH143" s="7"/>
      <c r="BI143" s="7"/>
      <c r="BJ143" s="4">
        <v>1</v>
      </c>
      <c r="BK143" s="8">
        <v>30.82</v>
      </c>
      <c r="BL143" s="2" t="s">
        <v>651</v>
      </c>
      <c r="BM143" s="7"/>
      <c r="BN143" s="7"/>
      <c r="BO143" s="4"/>
      <c r="BP143" s="8"/>
      <c r="BQ143" s="4"/>
      <c r="BR143" s="8"/>
      <c r="BS143" s="7"/>
      <c r="BT143" s="7"/>
      <c r="BU143" s="2" t="s">
        <v>107</v>
      </c>
      <c r="BV143" s="2" t="s">
        <v>95</v>
      </c>
      <c r="BW143" s="2" t="s">
        <v>499</v>
      </c>
      <c r="BX143" s="2" t="s">
        <v>98</v>
      </c>
      <c r="BY143" s="2" t="s">
        <v>110</v>
      </c>
      <c r="BZ143" s="2" t="s">
        <v>98</v>
      </c>
    </row>
    <row r="144">
      <c r="A144" s="2" t="s">
        <v>951</v>
      </c>
      <c r="B144" s="2" t="s">
        <v>87</v>
      </c>
      <c r="C144" s="2" t="s">
        <v>952</v>
      </c>
      <c r="D144" s="2" t="s">
        <v>89</v>
      </c>
      <c r="E144" s="2" t="s">
        <v>89</v>
      </c>
      <c r="F144" s="2" t="s">
        <v>953</v>
      </c>
      <c r="G144" s="2" t="s">
        <v>953</v>
      </c>
      <c r="H144" s="2" t="s">
        <v>953</v>
      </c>
      <c r="I144" s="2" t="s">
        <v>954</v>
      </c>
      <c r="J144" s="2" t="s">
        <v>93</v>
      </c>
      <c r="K144" s="2" t="s">
        <v>322</v>
      </c>
      <c r="L144" s="3">
        <v>52.62</v>
      </c>
      <c r="M144" s="3">
        <v>55.25</v>
      </c>
      <c r="N144" s="3">
        <v>110.49</v>
      </c>
      <c r="O144" s="2" t="s">
        <v>95</v>
      </c>
      <c r="P144" s="2" t="s">
        <v>134</v>
      </c>
      <c r="Q144" s="2" t="s">
        <v>97</v>
      </c>
      <c r="R144" s="2" t="s">
        <v>98</v>
      </c>
      <c r="S144" s="2" t="s">
        <v>955</v>
      </c>
      <c r="T144" s="2" t="s">
        <v>98</v>
      </c>
      <c r="U144" s="2" t="s">
        <v>117</v>
      </c>
      <c r="V144" s="2" t="s">
        <v>145</v>
      </c>
      <c r="W144" s="2" t="s">
        <v>956</v>
      </c>
      <c r="X144" s="2" t="s">
        <v>98</v>
      </c>
      <c r="Y144" s="2" t="s">
        <v>957</v>
      </c>
      <c r="Z144" s="4">
        <v>76</v>
      </c>
      <c r="AA144" s="4">
        <f>=ROUNDDOWN(12.6666666666667,0)</f>
      </c>
      <c r="AB144" s="5">
        <v>6</v>
      </c>
      <c r="AC144" s="2" t="s">
        <v>287</v>
      </c>
      <c r="AD144" s="4">
        <v>100</v>
      </c>
      <c r="AE144" s="4">
        <v>100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98</v>
      </c>
      <c r="AM144" s="4"/>
      <c r="AN144" s="4"/>
      <c r="AO144" s="7">
        <v>0</v>
      </c>
      <c r="AP144" s="4">
        <v>1</v>
      </c>
      <c r="AQ144" s="8">
        <v>68.24</v>
      </c>
      <c r="AR144" s="4"/>
      <c r="AS144" s="8"/>
      <c r="AT144" s="7"/>
      <c r="AU144" s="7"/>
      <c r="AV144" s="4">
        <v>1</v>
      </c>
      <c r="AW144" s="8">
        <v>68.24</v>
      </c>
      <c r="AX144" s="4"/>
      <c r="AY144" s="8"/>
      <c r="AZ144" s="7"/>
      <c r="BA144" s="7"/>
      <c r="BB144" s="7">
        <v>1</v>
      </c>
      <c r="BC144" s="4">
        <v>1</v>
      </c>
      <c r="BD144" s="8">
        <v>68.24</v>
      </c>
      <c r="BE144" s="4"/>
      <c r="BF144" s="8"/>
      <c r="BG144" s="7"/>
      <c r="BH144" s="7"/>
      <c r="BI144" s="7">
        <v>1</v>
      </c>
      <c r="BJ144" s="4">
        <v>3</v>
      </c>
      <c r="BK144" s="8">
        <v>178.74</v>
      </c>
      <c r="BL144" s="2" t="s">
        <v>958</v>
      </c>
      <c r="BM144" s="7">
        <v>0.3333</v>
      </c>
      <c r="BN144" s="7">
        <v>0.3818</v>
      </c>
      <c r="BO144" s="4">
        <v>1</v>
      </c>
      <c r="BP144" s="8">
        <v>68.24</v>
      </c>
      <c r="BQ144" s="4"/>
      <c r="BR144" s="8"/>
      <c r="BS144" s="7"/>
      <c r="BT144" s="7"/>
      <c r="BU144" s="2" t="s">
        <v>107</v>
      </c>
      <c r="BV144" s="2" t="s">
        <v>95</v>
      </c>
      <c r="BW144" s="2" t="s">
        <v>402</v>
      </c>
      <c r="BX144" s="2" t="s">
        <v>959</v>
      </c>
      <c r="BY144" s="2" t="s">
        <v>110</v>
      </c>
      <c r="BZ144" s="2" t="s">
        <v>98</v>
      </c>
    </row>
    <row r="145">
      <c r="A145" s="2" t="s">
        <v>960</v>
      </c>
      <c r="B145" s="2" t="s">
        <v>87</v>
      </c>
      <c r="C145" s="2" t="s">
        <v>952</v>
      </c>
      <c r="D145" s="2" t="s">
        <v>89</v>
      </c>
      <c r="E145" s="2" t="s">
        <v>90</v>
      </c>
      <c r="F145" s="2" t="s">
        <v>961</v>
      </c>
      <c r="G145" s="2" t="s">
        <v>961</v>
      </c>
      <c r="H145" s="2" t="s">
        <v>961</v>
      </c>
      <c r="I145" s="2" t="s">
        <v>962</v>
      </c>
      <c r="J145" s="2" t="s">
        <v>93</v>
      </c>
      <c r="K145" s="2" t="s">
        <v>322</v>
      </c>
      <c r="L145" s="3">
        <v>52.38</v>
      </c>
      <c r="M145" s="3">
        <v>55</v>
      </c>
      <c r="N145" s="3">
        <v>109.99</v>
      </c>
      <c r="O145" s="2" t="s">
        <v>95</v>
      </c>
      <c r="P145" s="2" t="s">
        <v>295</v>
      </c>
      <c r="Q145" s="2" t="s">
        <v>97</v>
      </c>
      <c r="R145" s="2" t="s">
        <v>98</v>
      </c>
      <c r="S145" s="2" t="s">
        <v>98</v>
      </c>
      <c r="T145" s="2" t="s">
        <v>98</v>
      </c>
      <c r="U145" s="2" t="s">
        <v>117</v>
      </c>
      <c r="V145" s="2" t="s">
        <v>331</v>
      </c>
      <c r="W145" s="2" t="s">
        <v>102</v>
      </c>
      <c r="X145" s="2" t="s">
        <v>963</v>
      </c>
      <c r="Y145" s="2" t="s">
        <v>848</v>
      </c>
      <c r="Z145" s="4">
        <v>79</v>
      </c>
      <c r="AA145" s="4">
        <f>=ROUNDDOWN(39.5,0)</f>
      </c>
      <c r="AB145" s="5">
        <v>2</v>
      </c>
      <c r="AC145" s="2" t="s">
        <v>98</v>
      </c>
      <c r="AD145" s="4"/>
      <c r="AE145" s="4"/>
      <c r="AF145" s="6">
        <v>63</v>
      </c>
      <c r="AG145" s="6"/>
      <c r="AH145" s="7">
        <v>1</v>
      </c>
      <c r="AI145" s="4"/>
      <c r="AJ145" s="4">
        <f>=ROUNDDOWN({0},0)</f>
      </c>
      <c r="AK145" s="5"/>
      <c r="AL145" s="2" t="s">
        <v>98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/>
      <c r="BD145" s="8"/>
      <c r="BE145" s="4"/>
      <c r="BF145" s="8"/>
      <c r="BG145" s="7"/>
      <c r="BH145" s="7"/>
      <c r="BI145" s="7"/>
      <c r="BJ145" s="4"/>
      <c r="BK145" s="8"/>
      <c r="BL145" s="2" t="s">
        <v>98</v>
      </c>
      <c r="BM145" s="7"/>
      <c r="BN145" s="7"/>
      <c r="BO145" s="4"/>
      <c r="BP145" s="8"/>
      <c r="BQ145" s="4"/>
      <c r="BR145" s="8"/>
      <c r="BS145" s="7"/>
      <c r="BT145" s="7"/>
      <c r="BU145" s="2" t="s">
        <v>107</v>
      </c>
      <c r="BV145" s="2" t="s">
        <v>95</v>
      </c>
      <c r="BW145" s="2" t="s">
        <v>300</v>
      </c>
      <c r="BX145" s="2" t="s">
        <v>98</v>
      </c>
      <c r="BY145" s="2" t="s">
        <v>110</v>
      </c>
      <c r="BZ145" s="2" t="s">
        <v>98</v>
      </c>
    </row>
    <row r="146">
      <c r="A146" s="2" t="s">
        <v>964</v>
      </c>
      <c r="B146" s="2" t="s">
        <v>87</v>
      </c>
      <c r="C146" s="2" t="s">
        <v>952</v>
      </c>
      <c r="D146" s="2" t="s">
        <v>89</v>
      </c>
      <c r="E146" s="2" t="s">
        <v>90</v>
      </c>
      <c r="F146" s="2" t="s">
        <v>965</v>
      </c>
      <c r="G146" s="2" t="s">
        <v>965</v>
      </c>
      <c r="H146" s="2" t="s">
        <v>965</v>
      </c>
      <c r="I146" s="2" t="s">
        <v>966</v>
      </c>
      <c r="J146" s="2" t="s">
        <v>93</v>
      </c>
      <c r="K146" s="2" t="s">
        <v>967</v>
      </c>
      <c r="L146" s="3">
        <v>35.58</v>
      </c>
      <c r="M146" s="3">
        <v>37.36</v>
      </c>
      <c r="N146" s="3">
        <v>76.49</v>
      </c>
      <c r="O146" s="2" t="s">
        <v>95</v>
      </c>
      <c r="P146" s="2" t="s">
        <v>142</v>
      </c>
      <c r="Q146" s="2" t="s">
        <v>97</v>
      </c>
      <c r="R146" s="2" t="s">
        <v>98</v>
      </c>
      <c r="S146" s="2" t="s">
        <v>98</v>
      </c>
      <c r="T146" s="2" t="s">
        <v>98</v>
      </c>
      <c r="U146" s="2" t="s">
        <v>117</v>
      </c>
      <c r="V146" s="2" t="s">
        <v>439</v>
      </c>
      <c r="W146" s="2" t="s">
        <v>968</v>
      </c>
      <c r="X146" s="2" t="s">
        <v>98</v>
      </c>
      <c r="Y146" s="2" t="s">
        <v>427</v>
      </c>
      <c r="Z146" s="4">
        <v>74</v>
      </c>
      <c r="AA146" s="4">
        <f>=ROUNDDOWN(18.5,0)</f>
      </c>
      <c r="AB146" s="5">
        <v>4</v>
      </c>
      <c r="AC146" s="2" t="s">
        <v>98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98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/>
      <c r="BD146" s="8"/>
      <c r="BE146" s="4"/>
      <c r="BF146" s="8"/>
      <c r="BG146" s="7"/>
      <c r="BH146" s="7"/>
      <c r="BI146" s="7"/>
      <c r="BJ146" s="4">
        <v>5</v>
      </c>
      <c r="BK146" s="8">
        <v>175.11</v>
      </c>
      <c r="BL146" s="2" t="s">
        <v>969</v>
      </c>
      <c r="BM146" s="7"/>
      <c r="BN146" s="7"/>
      <c r="BO146" s="4"/>
      <c r="BP146" s="8"/>
      <c r="BQ146" s="4"/>
      <c r="BR146" s="8"/>
      <c r="BS146" s="7"/>
      <c r="BT146" s="7"/>
      <c r="BU146" s="2" t="s">
        <v>107</v>
      </c>
      <c r="BV146" s="2" t="s">
        <v>95</v>
      </c>
      <c r="BW146" s="2" t="s">
        <v>697</v>
      </c>
      <c r="BX146" s="2" t="s">
        <v>970</v>
      </c>
      <c r="BY146" s="2" t="s">
        <v>110</v>
      </c>
      <c r="BZ146" s="2" t="s">
        <v>98</v>
      </c>
    </row>
    <row r="147">
      <c r="A147" s="2" t="s">
        <v>971</v>
      </c>
      <c r="B147" s="2" t="s">
        <v>87</v>
      </c>
      <c r="C147" s="2" t="s">
        <v>952</v>
      </c>
      <c r="D147" s="2" t="s">
        <v>89</v>
      </c>
      <c r="E147" s="2" t="s">
        <v>90</v>
      </c>
      <c r="F147" s="2" t="s">
        <v>972</v>
      </c>
      <c r="G147" s="2" t="s">
        <v>972</v>
      </c>
      <c r="H147" s="2" t="s">
        <v>972</v>
      </c>
      <c r="I147" s="2" t="s">
        <v>973</v>
      </c>
      <c r="J147" s="2" t="s">
        <v>93</v>
      </c>
      <c r="K147" s="2" t="s">
        <v>127</v>
      </c>
      <c r="L147" s="3">
        <v>37.19</v>
      </c>
      <c r="M147" s="3">
        <v>39.05</v>
      </c>
      <c r="N147" s="3">
        <v>78.19</v>
      </c>
      <c r="O147" s="2" t="s">
        <v>95</v>
      </c>
      <c r="P147" s="2" t="s">
        <v>134</v>
      </c>
      <c r="Q147" s="2" t="s">
        <v>97</v>
      </c>
      <c r="R147" s="2" t="s">
        <v>98</v>
      </c>
      <c r="S147" s="2" t="s">
        <v>974</v>
      </c>
      <c r="T147" s="2" t="s">
        <v>98</v>
      </c>
      <c r="U147" s="2" t="s">
        <v>117</v>
      </c>
      <c r="V147" s="2" t="s">
        <v>439</v>
      </c>
      <c r="W147" s="2" t="s">
        <v>968</v>
      </c>
      <c r="X147" s="2" t="s">
        <v>98</v>
      </c>
      <c r="Y147" s="2" t="s">
        <v>248</v>
      </c>
      <c r="Z147" s="4">
        <v>177</v>
      </c>
      <c r="AA147" s="4">
        <f>=ROUNDDOWN(59,0)</f>
      </c>
      <c r="AB147" s="5">
        <v>3</v>
      </c>
      <c r="AC147" s="2" t="s">
        <v>98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98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/>
      <c r="BD147" s="8"/>
      <c r="BE147" s="4"/>
      <c r="BF147" s="8"/>
      <c r="BG147" s="7"/>
      <c r="BH147" s="7"/>
      <c r="BI147" s="7"/>
      <c r="BJ147" s="4">
        <v>4</v>
      </c>
      <c r="BK147" s="8">
        <v>162.44</v>
      </c>
      <c r="BL147" s="2" t="s">
        <v>975</v>
      </c>
      <c r="BM147" s="7"/>
      <c r="BN147" s="7"/>
      <c r="BO147" s="4"/>
      <c r="BP147" s="8"/>
      <c r="BQ147" s="4"/>
      <c r="BR147" s="8"/>
      <c r="BS147" s="7"/>
      <c r="BT147" s="7"/>
      <c r="BU147" s="2" t="s">
        <v>107</v>
      </c>
      <c r="BV147" s="2" t="s">
        <v>95</v>
      </c>
      <c r="BW147" s="2" t="s">
        <v>250</v>
      </c>
      <c r="BX147" s="2" t="s">
        <v>976</v>
      </c>
      <c r="BY147" s="2" t="s">
        <v>110</v>
      </c>
      <c r="BZ147" s="2" t="s">
        <v>98</v>
      </c>
    </row>
    <row r="148">
      <c r="A148" s="2" t="s">
        <v>977</v>
      </c>
      <c r="B148" s="2" t="s">
        <v>87</v>
      </c>
      <c r="C148" s="2" t="s">
        <v>952</v>
      </c>
      <c r="D148" s="2" t="s">
        <v>89</v>
      </c>
      <c r="E148" s="2" t="s">
        <v>90</v>
      </c>
      <c r="F148" s="2" t="s">
        <v>978</v>
      </c>
      <c r="G148" s="2" t="s">
        <v>978</v>
      </c>
      <c r="H148" s="2" t="s">
        <v>978</v>
      </c>
      <c r="I148" s="2" t="s">
        <v>979</v>
      </c>
      <c r="J148" s="2" t="s">
        <v>93</v>
      </c>
      <c r="K148" s="2" t="s">
        <v>473</v>
      </c>
      <c r="L148" s="3">
        <v>22.24</v>
      </c>
      <c r="M148" s="3">
        <v>23.35</v>
      </c>
      <c r="N148" s="3">
        <v>50.99</v>
      </c>
      <c r="O148" s="2" t="s">
        <v>95</v>
      </c>
      <c r="P148" s="2" t="s">
        <v>96</v>
      </c>
      <c r="Q148" s="2" t="s">
        <v>97</v>
      </c>
      <c r="R148" s="2" t="s">
        <v>98</v>
      </c>
      <c r="S148" s="2" t="s">
        <v>980</v>
      </c>
      <c r="T148" s="2" t="s">
        <v>98</v>
      </c>
      <c r="U148" s="2" t="s">
        <v>117</v>
      </c>
      <c r="V148" s="2" t="s">
        <v>439</v>
      </c>
      <c r="W148" s="2" t="s">
        <v>968</v>
      </c>
      <c r="X148" s="2" t="s">
        <v>98</v>
      </c>
      <c r="Y148" s="2" t="s">
        <v>427</v>
      </c>
      <c r="Z148" s="4">
        <v>100</v>
      </c>
      <c r="AA148" s="4">
        <f>=ROUNDDOWN(5.88235294117647,0)</f>
      </c>
      <c r="AB148" s="5">
        <v>17</v>
      </c>
      <c r="AC148" s="2" t="s">
        <v>105</v>
      </c>
      <c r="AD148" s="4">
        <v>250</v>
      </c>
      <c r="AE148" s="4">
        <v>450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98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/>
      <c r="BD148" s="8"/>
      <c r="BE148" s="4"/>
      <c r="BF148" s="8"/>
      <c r="BG148" s="7"/>
      <c r="BH148" s="7"/>
      <c r="BI148" s="7"/>
      <c r="BJ148" s="4">
        <v>13</v>
      </c>
      <c r="BK148" s="8">
        <v>351.93</v>
      </c>
      <c r="BL148" s="2" t="s">
        <v>981</v>
      </c>
      <c r="BM148" s="7"/>
      <c r="BN148" s="7"/>
      <c r="BO148" s="4"/>
      <c r="BP148" s="8"/>
      <c r="BQ148" s="4"/>
      <c r="BR148" s="8"/>
      <c r="BS148" s="7"/>
      <c r="BT148" s="7"/>
      <c r="BU148" s="2" t="s">
        <v>107</v>
      </c>
      <c r="BV148" s="2" t="s">
        <v>95</v>
      </c>
      <c r="BW148" s="2" t="s">
        <v>280</v>
      </c>
      <c r="BX148" s="2" t="s">
        <v>982</v>
      </c>
      <c r="BY148" s="2" t="s">
        <v>110</v>
      </c>
      <c r="BZ148" s="2" t="s">
        <v>98</v>
      </c>
    </row>
    <row r="149">
      <c r="A149" s="2" t="s">
        <v>983</v>
      </c>
      <c r="B149" s="2" t="s">
        <v>87</v>
      </c>
      <c r="C149" s="2" t="s">
        <v>952</v>
      </c>
      <c r="D149" s="2" t="s">
        <v>89</v>
      </c>
      <c r="E149" s="2" t="s">
        <v>90</v>
      </c>
      <c r="F149" s="2" t="s">
        <v>984</v>
      </c>
      <c r="G149" s="2" t="s">
        <v>984</v>
      </c>
      <c r="H149" s="2" t="s">
        <v>984</v>
      </c>
      <c r="I149" s="2" t="s">
        <v>985</v>
      </c>
      <c r="J149" s="2" t="s">
        <v>93</v>
      </c>
      <c r="K149" s="2" t="s">
        <v>127</v>
      </c>
      <c r="L149" s="3">
        <v>66.56</v>
      </c>
      <c r="M149" s="3">
        <v>69.89</v>
      </c>
      <c r="N149" s="3">
        <v>144.49</v>
      </c>
      <c r="O149" s="2" t="s">
        <v>95</v>
      </c>
      <c r="P149" s="2" t="s">
        <v>96</v>
      </c>
      <c r="Q149" s="2" t="s">
        <v>97</v>
      </c>
      <c r="R149" s="2" t="s">
        <v>98</v>
      </c>
      <c r="S149" s="2" t="s">
        <v>986</v>
      </c>
      <c r="T149" s="2" t="s">
        <v>98</v>
      </c>
      <c r="U149" s="2" t="s">
        <v>117</v>
      </c>
      <c r="V149" s="2" t="s">
        <v>439</v>
      </c>
      <c r="W149" s="2" t="s">
        <v>102</v>
      </c>
      <c r="X149" s="2" t="s">
        <v>98</v>
      </c>
      <c r="Y149" s="2" t="s">
        <v>987</v>
      </c>
      <c r="Z149" s="4">
        <v>154</v>
      </c>
      <c r="AA149" s="4">
        <f>=ROUNDDOWN(25.6666666666667,0)</f>
      </c>
      <c r="AB149" s="5">
        <v>6</v>
      </c>
      <c r="AC149" s="2" t="s">
        <v>230</v>
      </c>
      <c r="AD149" s="4">
        <v>150</v>
      </c>
      <c r="AE149" s="4">
        <v>150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98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/>
      <c r="BD149" s="8"/>
      <c r="BE149" s="4"/>
      <c r="BF149" s="8"/>
      <c r="BG149" s="7"/>
      <c r="BH149" s="7"/>
      <c r="BI149" s="7"/>
      <c r="BJ149" s="4">
        <v>2</v>
      </c>
      <c r="BK149" s="8">
        <v>133.61</v>
      </c>
      <c r="BL149" s="2" t="s">
        <v>988</v>
      </c>
      <c r="BM149" s="7"/>
      <c r="BN149" s="7"/>
      <c r="BO149" s="4"/>
      <c r="BP149" s="8"/>
      <c r="BQ149" s="4"/>
      <c r="BR149" s="8"/>
      <c r="BS149" s="7"/>
      <c r="BT149" s="7"/>
      <c r="BU149" s="2" t="s">
        <v>107</v>
      </c>
      <c r="BV149" s="2" t="s">
        <v>95</v>
      </c>
      <c r="BW149" s="2" t="s">
        <v>453</v>
      </c>
      <c r="BX149" s="2" t="s">
        <v>989</v>
      </c>
      <c r="BY149" s="2" t="s">
        <v>110</v>
      </c>
      <c r="BZ149" s="2" t="s">
        <v>98</v>
      </c>
    </row>
    <row r="150">
      <c r="A150" s="2" t="s">
        <v>990</v>
      </c>
      <c r="B150" s="2" t="s">
        <v>87</v>
      </c>
      <c r="C150" s="2" t="s">
        <v>952</v>
      </c>
      <c r="D150" s="2" t="s">
        <v>525</v>
      </c>
      <c r="E150" s="2" t="s">
        <v>326</v>
      </c>
      <c r="F150" s="2" t="s">
        <v>991</v>
      </c>
      <c r="G150" s="2" t="s">
        <v>991</v>
      </c>
      <c r="H150" s="2" t="s">
        <v>991</v>
      </c>
      <c r="I150" s="2" t="s">
        <v>992</v>
      </c>
      <c r="J150" s="2" t="s">
        <v>93</v>
      </c>
      <c r="K150" s="2" t="s">
        <v>473</v>
      </c>
      <c r="L150" s="3">
        <v>47.61</v>
      </c>
      <c r="M150" s="3">
        <v>49.99</v>
      </c>
      <c r="N150" s="3">
        <v>99.99</v>
      </c>
      <c r="O150" s="2" t="s">
        <v>95</v>
      </c>
      <c r="P150" s="2" t="s">
        <v>295</v>
      </c>
      <c r="Q150" s="2" t="s">
        <v>97</v>
      </c>
      <c r="R150" s="2" t="s">
        <v>98</v>
      </c>
      <c r="S150" s="2" t="s">
        <v>98</v>
      </c>
      <c r="T150" s="2" t="s">
        <v>98</v>
      </c>
      <c r="U150" s="2" t="s">
        <v>100</v>
      </c>
      <c r="V150" s="2" t="s">
        <v>459</v>
      </c>
      <c r="W150" s="2" t="s">
        <v>102</v>
      </c>
      <c r="X150" s="2" t="s">
        <v>963</v>
      </c>
      <c r="Y150" s="2" t="s">
        <v>848</v>
      </c>
      <c r="Z150" s="4">
        <v>87</v>
      </c>
      <c r="AA150" s="4">
        <f>=ROUNDDOWN(17.4,0)</f>
      </c>
      <c r="AB150" s="5">
        <v>5</v>
      </c>
      <c r="AC150" s="2" t="s">
        <v>98</v>
      </c>
      <c r="AD150" s="4"/>
      <c r="AE150" s="4"/>
      <c r="AF150" s="6">
        <v>63</v>
      </c>
      <c r="AG150" s="6"/>
      <c r="AH150" s="7">
        <v>1</v>
      </c>
      <c r="AI150" s="4"/>
      <c r="AJ150" s="4">
        <f>=ROUNDDOWN({0},0)</f>
      </c>
      <c r="AK150" s="5"/>
      <c r="AL150" s="2" t="s">
        <v>98</v>
      </c>
      <c r="AM150" s="4"/>
      <c r="AN150" s="4"/>
      <c r="AO150" s="7">
        <v>0</v>
      </c>
      <c r="AP150" s="4">
        <v>1</v>
      </c>
      <c r="AQ150" s="8">
        <v>52.49</v>
      </c>
      <c r="AR150" s="4"/>
      <c r="AS150" s="8"/>
      <c r="AT150" s="7"/>
      <c r="AU150" s="7"/>
      <c r="AV150" s="4">
        <v>1</v>
      </c>
      <c r="AW150" s="8">
        <v>52.49</v>
      </c>
      <c r="AX150" s="4"/>
      <c r="AY150" s="8"/>
      <c r="AZ150" s="7"/>
      <c r="BA150" s="7"/>
      <c r="BB150" s="7">
        <v>1</v>
      </c>
      <c r="BC150" s="4">
        <v>1</v>
      </c>
      <c r="BD150" s="8">
        <v>52.49</v>
      </c>
      <c r="BE150" s="4"/>
      <c r="BF150" s="8"/>
      <c r="BG150" s="7"/>
      <c r="BH150" s="7"/>
      <c r="BI150" s="7">
        <v>1</v>
      </c>
      <c r="BJ150" s="4">
        <v>1</v>
      </c>
      <c r="BK150" s="8">
        <v>52.49</v>
      </c>
      <c r="BL150" s="2" t="s">
        <v>16</v>
      </c>
      <c r="BM150" s="7">
        <v>1</v>
      </c>
      <c r="BN150" s="7">
        <v>1</v>
      </c>
      <c r="BO150" s="4">
        <v>1</v>
      </c>
      <c r="BP150" s="8">
        <v>52.49</v>
      </c>
      <c r="BQ150" s="4"/>
      <c r="BR150" s="8"/>
      <c r="BS150" s="7"/>
      <c r="BT150" s="7"/>
      <c r="BU150" s="2" t="s">
        <v>107</v>
      </c>
      <c r="BV150" s="2" t="s">
        <v>95</v>
      </c>
      <c r="BW150" s="2" t="s">
        <v>300</v>
      </c>
      <c r="BX150" s="2" t="s">
        <v>993</v>
      </c>
      <c r="BY150" s="2" t="s">
        <v>110</v>
      </c>
      <c r="BZ150" s="2" t="s">
        <v>98</v>
      </c>
    </row>
    <row r="151">
      <c r="A151" s="2" t="s">
        <v>994</v>
      </c>
      <c r="B151" s="2" t="s">
        <v>87</v>
      </c>
      <c r="C151" s="2" t="s">
        <v>952</v>
      </c>
      <c r="D151" s="2" t="s">
        <v>525</v>
      </c>
      <c r="E151" s="2" t="s">
        <v>326</v>
      </c>
      <c r="F151" s="2" t="s">
        <v>995</v>
      </c>
      <c r="G151" s="2" t="s">
        <v>995</v>
      </c>
      <c r="H151" s="2" t="s">
        <v>995</v>
      </c>
      <c r="I151" s="2" t="s">
        <v>996</v>
      </c>
      <c r="J151" s="2" t="s">
        <v>93</v>
      </c>
      <c r="K151" s="2" t="s">
        <v>277</v>
      </c>
      <c r="L151" s="3">
        <v>45.71</v>
      </c>
      <c r="M151" s="3">
        <v>48</v>
      </c>
      <c r="N151" s="3">
        <v>99.99</v>
      </c>
      <c r="O151" s="2" t="s">
        <v>95</v>
      </c>
      <c r="P151" s="2" t="s">
        <v>295</v>
      </c>
      <c r="Q151" s="2" t="s">
        <v>97</v>
      </c>
      <c r="R151" s="2" t="s">
        <v>98</v>
      </c>
      <c r="S151" s="2" t="s">
        <v>98</v>
      </c>
      <c r="T151" s="2" t="s">
        <v>98</v>
      </c>
      <c r="U151" s="2" t="s">
        <v>117</v>
      </c>
      <c r="V151" s="2" t="s">
        <v>296</v>
      </c>
      <c r="W151" s="2" t="s">
        <v>997</v>
      </c>
      <c r="X151" s="2" t="s">
        <v>204</v>
      </c>
      <c r="Y151" s="2" t="s">
        <v>536</v>
      </c>
      <c r="Z151" s="4">
        <v>88</v>
      </c>
      <c r="AA151" s="4">
        <f>=ROUNDDOWN(29.3333333333333,0)</f>
      </c>
      <c r="AB151" s="5">
        <v>3</v>
      </c>
      <c r="AC151" s="2" t="s">
        <v>98</v>
      </c>
      <c r="AD151" s="4"/>
      <c r="AE151" s="4"/>
      <c r="AF151" s="6">
        <v>63</v>
      </c>
      <c r="AG151" s="6"/>
      <c r="AH151" s="7">
        <v>1</v>
      </c>
      <c r="AI151" s="4"/>
      <c r="AJ151" s="4">
        <f>=ROUNDDOWN({0},0)</f>
      </c>
      <c r="AK151" s="5"/>
      <c r="AL151" s="2" t="s">
        <v>98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/>
      <c r="BD151" s="8"/>
      <c r="BE151" s="4"/>
      <c r="BF151" s="8"/>
      <c r="BG151" s="7"/>
      <c r="BH151" s="7"/>
      <c r="BI151" s="7"/>
      <c r="BJ151" s="4"/>
      <c r="BK151" s="8"/>
      <c r="BL151" s="2" t="s">
        <v>98</v>
      </c>
      <c r="BM151" s="7"/>
      <c r="BN151" s="7"/>
      <c r="BO151" s="4"/>
      <c r="BP151" s="8"/>
      <c r="BQ151" s="4"/>
      <c r="BR151" s="8"/>
      <c r="BS151" s="7"/>
      <c r="BT151" s="7"/>
      <c r="BU151" s="2" t="s">
        <v>107</v>
      </c>
      <c r="BV151" s="2" t="s">
        <v>95</v>
      </c>
      <c r="BW151" s="2" t="s">
        <v>300</v>
      </c>
      <c r="BX151" s="2" t="s">
        <v>98</v>
      </c>
      <c r="BY151" s="2" t="s">
        <v>110</v>
      </c>
      <c r="BZ151" s="2" t="s">
        <v>98</v>
      </c>
    </row>
    <row r="152">
      <c r="A152" s="2" t="s">
        <v>998</v>
      </c>
      <c r="B152" s="2" t="s">
        <v>87</v>
      </c>
      <c r="C152" s="2" t="s">
        <v>952</v>
      </c>
      <c r="D152" s="2" t="s">
        <v>525</v>
      </c>
      <c r="E152" s="2" t="s">
        <v>326</v>
      </c>
      <c r="F152" s="2" t="s">
        <v>999</v>
      </c>
      <c r="G152" s="2" t="s">
        <v>999</v>
      </c>
      <c r="H152" s="2" t="s">
        <v>999</v>
      </c>
      <c r="I152" s="2" t="s">
        <v>1000</v>
      </c>
      <c r="J152" s="2" t="s">
        <v>93</v>
      </c>
      <c r="K152" s="2" t="s">
        <v>236</v>
      </c>
      <c r="L152" s="3">
        <v>71.42</v>
      </c>
      <c r="M152" s="3">
        <v>74.99</v>
      </c>
      <c r="N152" s="3">
        <v>149.99</v>
      </c>
      <c r="O152" s="2" t="s">
        <v>95</v>
      </c>
      <c r="P152" s="2" t="s">
        <v>295</v>
      </c>
      <c r="Q152" s="2" t="s">
        <v>97</v>
      </c>
      <c r="R152" s="2" t="s">
        <v>98</v>
      </c>
      <c r="S152" s="2" t="s">
        <v>98</v>
      </c>
      <c r="T152" s="2" t="s">
        <v>98</v>
      </c>
      <c r="U152" s="2" t="s">
        <v>100</v>
      </c>
      <c r="V152" s="2" t="s">
        <v>118</v>
      </c>
      <c r="W152" s="2" t="s">
        <v>963</v>
      </c>
      <c r="X152" s="2" t="s">
        <v>103</v>
      </c>
      <c r="Y152" s="2" t="s">
        <v>1001</v>
      </c>
      <c r="Z152" s="4">
        <v>91</v>
      </c>
      <c r="AA152" s="4">
        <f>=ROUNDDOWN(18.2,0)</f>
      </c>
      <c r="AB152" s="5">
        <v>5</v>
      </c>
      <c r="AC152" s="2" t="s">
        <v>98</v>
      </c>
      <c r="AD152" s="4"/>
      <c r="AE152" s="4"/>
      <c r="AF152" s="6">
        <v>63</v>
      </c>
      <c r="AG152" s="6"/>
      <c r="AH152" s="7">
        <v>1</v>
      </c>
      <c r="AI152" s="4"/>
      <c r="AJ152" s="4">
        <f>=ROUNDDOWN({0},0)</f>
      </c>
      <c r="AK152" s="5"/>
      <c r="AL152" s="2" t="s">
        <v>98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/>
      <c r="BD152" s="8"/>
      <c r="BE152" s="4"/>
      <c r="BF152" s="8"/>
      <c r="BG152" s="7"/>
      <c r="BH152" s="7"/>
      <c r="BI152" s="7"/>
      <c r="BJ152" s="4"/>
      <c r="BK152" s="8"/>
      <c r="BL152" s="2" t="s">
        <v>98</v>
      </c>
      <c r="BM152" s="7"/>
      <c r="BN152" s="7"/>
      <c r="BO152" s="4"/>
      <c r="BP152" s="8"/>
      <c r="BQ152" s="4"/>
      <c r="BR152" s="8"/>
      <c r="BS152" s="7"/>
      <c r="BT152" s="7"/>
      <c r="BU152" s="2" t="s">
        <v>107</v>
      </c>
      <c r="BV152" s="2" t="s">
        <v>95</v>
      </c>
      <c r="BW152" s="2" t="s">
        <v>300</v>
      </c>
      <c r="BX152" s="2" t="s">
        <v>98</v>
      </c>
      <c r="BY152" s="2" t="s">
        <v>110</v>
      </c>
      <c r="BZ152" s="2" t="s">
        <v>98</v>
      </c>
    </row>
    <row r="153">
      <c r="A153" s="2" t="s">
        <v>1002</v>
      </c>
      <c r="B153" s="2" t="s">
        <v>87</v>
      </c>
      <c r="C153" s="2" t="s">
        <v>952</v>
      </c>
      <c r="D153" s="2" t="s">
        <v>525</v>
      </c>
      <c r="E153" s="2" t="s">
        <v>525</v>
      </c>
      <c r="F153" s="2" t="s">
        <v>1003</v>
      </c>
      <c r="G153" s="2" t="s">
        <v>1003</v>
      </c>
      <c r="H153" s="2" t="s">
        <v>1003</v>
      </c>
      <c r="I153" s="2" t="s">
        <v>1004</v>
      </c>
      <c r="J153" s="2" t="s">
        <v>93</v>
      </c>
      <c r="K153" s="2" t="s">
        <v>1005</v>
      </c>
      <c r="L153" s="3">
        <v>32.38</v>
      </c>
      <c r="M153" s="3">
        <v>34</v>
      </c>
      <c r="N153" s="3">
        <v>67.99</v>
      </c>
      <c r="O153" s="2" t="s">
        <v>95</v>
      </c>
      <c r="P153" s="2" t="s">
        <v>134</v>
      </c>
      <c r="Q153" s="2" t="s">
        <v>97</v>
      </c>
      <c r="R153" s="2" t="s">
        <v>98</v>
      </c>
      <c r="S153" s="2" t="s">
        <v>98</v>
      </c>
      <c r="T153" s="2" t="s">
        <v>98</v>
      </c>
      <c r="U153" s="2" t="s">
        <v>100</v>
      </c>
      <c r="V153" s="2" t="s">
        <v>296</v>
      </c>
      <c r="W153" s="2" t="s">
        <v>119</v>
      </c>
      <c r="X153" s="2" t="s">
        <v>103</v>
      </c>
      <c r="Y153" s="2" t="s">
        <v>1006</v>
      </c>
      <c r="Z153" s="4">
        <v>205</v>
      </c>
      <c r="AA153" s="4">
        <f>=ROUNDDOWN(15.7692307692308,0)</f>
      </c>
      <c r="AB153" s="5">
        <v>13</v>
      </c>
      <c r="AC153" s="2" t="s">
        <v>412</v>
      </c>
      <c r="AD153" s="4">
        <v>100</v>
      </c>
      <c r="AE153" s="4">
        <v>270</v>
      </c>
      <c r="AF153" s="6">
        <v>63</v>
      </c>
      <c r="AG153" s="6"/>
      <c r="AH153" s="7">
        <v>1</v>
      </c>
      <c r="AI153" s="4"/>
      <c r="AJ153" s="4">
        <f>=ROUNDDOWN({0},0)</f>
      </c>
      <c r="AK153" s="5"/>
      <c r="AL153" s="2" t="s">
        <v>98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/>
      <c r="BD153" s="8"/>
      <c r="BE153" s="4"/>
      <c r="BF153" s="8"/>
      <c r="BG153" s="7"/>
      <c r="BH153" s="7"/>
      <c r="BI153" s="7"/>
      <c r="BJ153" s="4">
        <v>11</v>
      </c>
      <c r="BK153" s="8">
        <v>462.9</v>
      </c>
      <c r="BL153" s="2" t="s">
        <v>1007</v>
      </c>
      <c r="BM153" s="7"/>
      <c r="BN153" s="7"/>
      <c r="BO153" s="4"/>
      <c r="BP153" s="8"/>
      <c r="BQ153" s="4"/>
      <c r="BR153" s="8"/>
      <c r="BS153" s="7"/>
      <c r="BT153" s="7"/>
      <c r="BU153" s="2" t="s">
        <v>388</v>
      </c>
      <c r="BV153" s="2" t="s">
        <v>95</v>
      </c>
      <c r="BW153" s="2" t="s">
        <v>98</v>
      </c>
      <c r="BX153" s="2" t="s">
        <v>98</v>
      </c>
      <c r="BY153" s="2" t="s">
        <v>110</v>
      </c>
      <c r="BZ153" s="2" t="s">
        <v>98</v>
      </c>
    </row>
    <row r="154">
      <c r="A154" s="2" t="s">
        <v>1008</v>
      </c>
      <c r="B154" s="2" t="s">
        <v>87</v>
      </c>
      <c r="C154" s="2" t="s">
        <v>952</v>
      </c>
      <c r="D154" s="2" t="s">
        <v>525</v>
      </c>
      <c r="E154" s="2" t="s">
        <v>525</v>
      </c>
      <c r="F154" s="2" t="s">
        <v>1009</v>
      </c>
      <c r="G154" s="2" t="s">
        <v>1009</v>
      </c>
      <c r="H154" s="2" t="s">
        <v>1009</v>
      </c>
      <c r="I154" s="2" t="s">
        <v>1010</v>
      </c>
      <c r="J154" s="2" t="s">
        <v>93</v>
      </c>
      <c r="K154" s="2" t="s">
        <v>357</v>
      </c>
      <c r="L154" s="3">
        <v>40.03</v>
      </c>
      <c r="M154" s="3">
        <v>42.03</v>
      </c>
      <c r="N154" s="3">
        <v>87.54</v>
      </c>
      <c r="O154" s="2" t="s">
        <v>95</v>
      </c>
      <c r="P154" s="2" t="s">
        <v>134</v>
      </c>
      <c r="Q154" s="2" t="s">
        <v>97</v>
      </c>
      <c r="R154" s="2" t="s">
        <v>98</v>
      </c>
      <c r="S154" s="2" t="s">
        <v>1011</v>
      </c>
      <c r="T154" s="2" t="s">
        <v>98</v>
      </c>
      <c r="U154" s="2" t="s">
        <v>117</v>
      </c>
      <c r="V154" s="2" t="s">
        <v>331</v>
      </c>
      <c r="W154" s="2" t="s">
        <v>102</v>
      </c>
      <c r="X154" s="2" t="s">
        <v>98</v>
      </c>
      <c r="Y154" s="2" t="s">
        <v>427</v>
      </c>
      <c r="Z154" s="4">
        <v>82</v>
      </c>
      <c r="AA154" s="4">
        <f>=ROUNDDOWN(21.5789473684211,0)</f>
      </c>
      <c r="AB154" s="5">
        <v>3.8</v>
      </c>
      <c r="AC154" s="2" t="s">
        <v>412</v>
      </c>
      <c r="AD154" s="4">
        <v>100</v>
      </c>
      <c r="AE154" s="4">
        <v>100</v>
      </c>
      <c r="AF154" s="6">
        <v>63</v>
      </c>
      <c r="AG154" s="6"/>
      <c r="AH154" s="7">
        <v>1</v>
      </c>
      <c r="AI154" s="4"/>
      <c r="AJ154" s="4">
        <f>=ROUNDDOWN({0},0)</f>
      </c>
      <c r="AK154" s="5"/>
      <c r="AL154" s="2" t="s">
        <v>98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/>
      <c r="BD154" s="8"/>
      <c r="BE154" s="4"/>
      <c r="BF154" s="8"/>
      <c r="BG154" s="7"/>
      <c r="BH154" s="7"/>
      <c r="BI154" s="7"/>
      <c r="BJ154" s="4">
        <v>1</v>
      </c>
      <c r="BK154" s="8">
        <v>38.58</v>
      </c>
      <c r="BL154" s="2" t="s">
        <v>1012</v>
      </c>
      <c r="BM154" s="7"/>
      <c r="BN154" s="7"/>
      <c r="BO154" s="4"/>
      <c r="BP154" s="8"/>
      <c r="BQ154" s="4"/>
      <c r="BR154" s="8"/>
      <c r="BS154" s="7"/>
      <c r="BT154" s="7"/>
      <c r="BU154" s="2" t="s">
        <v>107</v>
      </c>
      <c r="BV154" s="2" t="s">
        <v>95</v>
      </c>
      <c r="BW154" s="2" t="s">
        <v>453</v>
      </c>
      <c r="BX154" s="2" t="s">
        <v>1013</v>
      </c>
      <c r="BY154" s="2" t="s">
        <v>110</v>
      </c>
      <c r="BZ154" s="2" t="s">
        <v>98</v>
      </c>
    </row>
    <row r="155">
      <c r="A155" s="2" t="s">
        <v>1014</v>
      </c>
      <c r="B155" s="2" t="s">
        <v>87</v>
      </c>
      <c r="C155" s="2" t="s">
        <v>952</v>
      </c>
      <c r="D155" s="2" t="s">
        <v>525</v>
      </c>
      <c r="E155" s="2" t="s">
        <v>525</v>
      </c>
      <c r="F155" s="2" t="s">
        <v>1015</v>
      </c>
      <c r="G155" s="2" t="s">
        <v>1015</v>
      </c>
      <c r="H155" s="2" t="s">
        <v>1015</v>
      </c>
      <c r="I155" s="2" t="s">
        <v>1016</v>
      </c>
      <c r="J155" s="2" t="s">
        <v>93</v>
      </c>
      <c r="K155" s="2" t="s">
        <v>967</v>
      </c>
      <c r="L155" s="3">
        <v>72.85</v>
      </c>
      <c r="M155" s="3">
        <v>76.49</v>
      </c>
      <c r="N155" s="3">
        <v>152.99</v>
      </c>
      <c r="O155" s="2" t="s">
        <v>95</v>
      </c>
      <c r="P155" s="2" t="s">
        <v>134</v>
      </c>
      <c r="Q155" s="2" t="s">
        <v>97</v>
      </c>
      <c r="R155" s="2" t="s">
        <v>98</v>
      </c>
      <c r="S155" s="2" t="s">
        <v>1017</v>
      </c>
      <c r="T155" s="2" t="s">
        <v>98</v>
      </c>
      <c r="U155" s="2" t="s">
        <v>100</v>
      </c>
      <c r="V155" s="2" t="s">
        <v>331</v>
      </c>
      <c r="W155" s="2" t="s">
        <v>102</v>
      </c>
      <c r="X155" s="2" t="s">
        <v>956</v>
      </c>
      <c r="Y155" s="2" t="s">
        <v>1018</v>
      </c>
      <c r="Z155" s="4">
        <v>48</v>
      </c>
      <c r="AA155" s="4">
        <f>=ROUNDDOWN(16,0)</f>
      </c>
      <c r="AB155" s="5">
        <v>3</v>
      </c>
      <c r="AC155" s="2" t="s">
        <v>177</v>
      </c>
      <c r="AD155" s="4">
        <v>100</v>
      </c>
      <c r="AE155" s="4">
        <v>100</v>
      </c>
      <c r="AF155" s="6">
        <v>63</v>
      </c>
      <c r="AG155" s="6"/>
      <c r="AH155" s="7">
        <v>1</v>
      </c>
      <c r="AI155" s="4"/>
      <c r="AJ155" s="4">
        <f>=ROUNDDOWN({0},0)</f>
      </c>
      <c r="AK155" s="5"/>
      <c r="AL155" s="2" t="s">
        <v>98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/>
      <c r="BD155" s="8"/>
      <c r="BE155" s="4"/>
      <c r="BF155" s="8"/>
      <c r="BG155" s="7"/>
      <c r="BH155" s="7"/>
      <c r="BI155" s="7"/>
      <c r="BJ155" s="4"/>
      <c r="BK155" s="8"/>
      <c r="BL155" s="2" t="s">
        <v>98</v>
      </c>
      <c r="BM155" s="7"/>
      <c r="BN155" s="7"/>
      <c r="BO155" s="4"/>
      <c r="BP155" s="8"/>
      <c r="BQ155" s="4"/>
      <c r="BR155" s="8"/>
      <c r="BS155" s="7"/>
      <c r="BT155" s="7"/>
      <c r="BU155" s="2" t="s">
        <v>107</v>
      </c>
      <c r="BV155" s="2" t="s">
        <v>95</v>
      </c>
      <c r="BW155" s="2" t="s">
        <v>1019</v>
      </c>
      <c r="BX155" s="2" t="s">
        <v>98</v>
      </c>
      <c r="BY155" s="2" t="s">
        <v>110</v>
      </c>
      <c r="BZ155" s="2" t="s">
        <v>98</v>
      </c>
    </row>
    <row r="156">
      <c r="A156" s="2" t="s">
        <v>1020</v>
      </c>
      <c r="B156" s="2" t="s">
        <v>87</v>
      </c>
      <c r="C156" s="2" t="s">
        <v>952</v>
      </c>
      <c r="D156" s="2" t="s">
        <v>525</v>
      </c>
      <c r="E156" s="2" t="s">
        <v>525</v>
      </c>
      <c r="F156" s="2" t="s">
        <v>1021</v>
      </c>
      <c r="G156" s="2" t="s">
        <v>1021</v>
      </c>
      <c r="H156" s="2" t="s">
        <v>1021</v>
      </c>
      <c r="I156" s="2" t="s">
        <v>628</v>
      </c>
      <c r="J156" s="2" t="s">
        <v>93</v>
      </c>
      <c r="K156" s="2" t="s">
        <v>277</v>
      </c>
      <c r="L156" s="3">
        <v>41.27</v>
      </c>
      <c r="M156" s="3">
        <v>43.33</v>
      </c>
      <c r="N156" s="3">
        <v>84.99</v>
      </c>
      <c r="O156" s="2" t="s">
        <v>95</v>
      </c>
      <c r="P156" s="2" t="s">
        <v>134</v>
      </c>
      <c r="Q156" s="2" t="s">
        <v>97</v>
      </c>
      <c r="R156" s="2" t="s">
        <v>98</v>
      </c>
      <c r="S156" s="2" t="s">
        <v>1022</v>
      </c>
      <c r="T156" s="2" t="s">
        <v>98</v>
      </c>
      <c r="U156" s="2" t="s">
        <v>157</v>
      </c>
      <c r="V156" s="2" t="s">
        <v>331</v>
      </c>
      <c r="W156" s="2" t="s">
        <v>102</v>
      </c>
      <c r="X156" s="2" t="s">
        <v>98</v>
      </c>
      <c r="Y156" s="2" t="s">
        <v>366</v>
      </c>
      <c r="Z156" s="4">
        <v>161</v>
      </c>
      <c r="AA156" s="4">
        <f>=ROUNDDOWN(26.8333333333333,0)</f>
      </c>
      <c r="AB156" s="5">
        <v>6</v>
      </c>
      <c r="AC156" s="2" t="s">
        <v>98</v>
      </c>
      <c r="AD156" s="4"/>
      <c r="AE156" s="4"/>
      <c r="AF156" s="6">
        <v>63</v>
      </c>
      <c r="AG156" s="6"/>
      <c r="AH156" s="7">
        <v>1</v>
      </c>
      <c r="AI156" s="4"/>
      <c r="AJ156" s="4">
        <f>=ROUNDDOWN({0},0)</f>
      </c>
      <c r="AK156" s="5"/>
      <c r="AL156" s="2" t="s">
        <v>98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/>
      <c r="BD156" s="8"/>
      <c r="BE156" s="4"/>
      <c r="BF156" s="8"/>
      <c r="BG156" s="7"/>
      <c r="BH156" s="7"/>
      <c r="BI156" s="7"/>
      <c r="BJ156" s="4">
        <v>6</v>
      </c>
      <c r="BK156" s="8">
        <v>350.7</v>
      </c>
      <c r="BL156" s="2" t="s">
        <v>1023</v>
      </c>
      <c r="BM156" s="7"/>
      <c r="BN156" s="7"/>
      <c r="BO156" s="4"/>
      <c r="BP156" s="8"/>
      <c r="BQ156" s="4"/>
      <c r="BR156" s="8"/>
      <c r="BS156" s="7"/>
      <c r="BT156" s="7"/>
      <c r="BU156" s="2" t="s">
        <v>107</v>
      </c>
      <c r="BV156" s="2" t="s">
        <v>95</v>
      </c>
      <c r="BW156" s="2" t="s">
        <v>368</v>
      </c>
      <c r="BX156" s="2" t="s">
        <v>625</v>
      </c>
      <c r="BY156" s="2" t="s">
        <v>110</v>
      </c>
      <c r="BZ156" s="2" t="s">
        <v>98</v>
      </c>
    </row>
    <row r="157">
      <c r="A157" s="2" t="s">
        <v>1024</v>
      </c>
      <c r="B157" s="2" t="s">
        <v>87</v>
      </c>
      <c r="C157" s="2" t="s">
        <v>952</v>
      </c>
      <c r="D157" s="2" t="s">
        <v>525</v>
      </c>
      <c r="E157" s="2" t="s">
        <v>525</v>
      </c>
      <c r="F157" s="2" t="s">
        <v>1025</v>
      </c>
      <c r="G157" s="2" t="s">
        <v>1025</v>
      </c>
      <c r="H157" s="2" t="s">
        <v>98</v>
      </c>
      <c r="I157" s="2" t="s">
        <v>1026</v>
      </c>
      <c r="J157" s="2" t="s">
        <v>93</v>
      </c>
      <c r="K157" s="2" t="s">
        <v>277</v>
      </c>
      <c r="L157" s="3">
        <v>26.76</v>
      </c>
      <c r="M157" s="3">
        <v>28.1</v>
      </c>
      <c r="N157" s="3">
        <v>59.49</v>
      </c>
      <c r="O157" s="2" t="s">
        <v>95</v>
      </c>
      <c r="P157" s="2" t="s">
        <v>115</v>
      </c>
      <c r="Q157" s="2" t="s">
        <v>97</v>
      </c>
      <c r="R157" s="2" t="s">
        <v>98</v>
      </c>
      <c r="S157" s="2" t="s">
        <v>1027</v>
      </c>
      <c r="T157" s="2" t="s">
        <v>98</v>
      </c>
      <c r="U157" s="2" t="s">
        <v>117</v>
      </c>
      <c r="V157" s="2" t="s">
        <v>331</v>
      </c>
      <c r="W157" s="2" t="s">
        <v>102</v>
      </c>
      <c r="X157" s="2" t="s">
        <v>98</v>
      </c>
      <c r="Y157" s="2" t="s">
        <v>366</v>
      </c>
      <c r="Z157" s="4">
        <v>24</v>
      </c>
      <c r="AA157" s="4">
        <f>=ROUNDDOWN(8,0)</f>
      </c>
      <c r="AB157" s="5">
        <v>3</v>
      </c>
      <c r="AC157" s="2" t="s">
        <v>98</v>
      </c>
      <c r="AD157" s="4"/>
      <c r="AE157" s="4"/>
      <c r="AF157" s="6">
        <v>63</v>
      </c>
      <c r="AG157" s="6"/>
      <c r="AH157" s="7">
        <v>1</v>
      </c>
      <c r="AI157" s="4"/>
      <c r="AJ157" s="4">
        <f>=ROUNDDOWN({0},0)</f>
      </c>
      <c r="AK157" s="5"/>
      <c r="AL157" s="2" t="s">
        <v>98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/>
      <c r="AW157" s="8"/>
      <c r="AX157" s="4"/>
      <c r="AY157" s="8"/>
      <c r="AZ157" s="7"/>
      <c r="BA157" s="7"/>
      <c r="BB157" s="7"/>
      <c r="BC157" s="4"/>
      <c r="BD157" s="8"/>
      <c r="BE157" s="4"/>
      <c r="BF157" s="8"/>
      <c r="BG157" s="7"/>
      <c r="BH157" s="7"/>
      <c r="BI157" s="7"/>
      <c r="BJ157" s="4"/>
      <c r="BK157" s="8"/>
      <c r="BL157" s="2" t="s">
        <v>1028</v>
      </c>
      <c r="BM157" s="7"/>
      <c r="BN157" s="7"/>
      <c r="BO157" s="4"/>
      <c r="BP157" s="8"/>
      <c r="BQ157" s="4"/>
      <c r="BR157" s="8"/>
      <c r="BS157" s="7"/>
      <c r="BT157" s="7"/>
      <c r="BU157" s="2" t="s">
        <v>107</v>
      </c>
      <c r="BV157" s="2" t="s">
        <v>95</v>
      </c>
      <c r="BW157" s="2" t="s">
        <v>499</v>
      </c>
      <c r="BX157" s="2" t="s">
        <v>1029</v>
      </c>
      <c r="BY157" s="2" t="s">
        <v>110</v>
      </c>
      <c r="BZ157" s="2" t="s">
        <v>98</v>
      </c>
    </row>
    <row r="158">
      <c r="A158" s="2" t="s">
        <v>1030</v>
      </c>
      <c r="B158" s="2" t="s">
        <v>87</v>
      </c>
      <c r="C158" s="2" t="s">
        <v>952</v>
      </c>
      <c r="D158" s="2" t="s">
        <v>525</v>
      </c>
      <c r="E158" s="2" t="s">
        <v>525</v>
      </c>
      <c r="F158" s="2" t="s">
        <v>1031</v>
      </c>
      <c r="G158" s="2" t="s">
        <v>1031</v>
      </c>
      <c r="H158" s="2" t="s">
        <v>1031</v>
      </c>
      <c r="I158" s="2" t="s">
        <v>1032</v>
      </c>
      <c r="J158" s="2" t="s">
        <v>93</v>
      </c>
      <c r="K158" s="2" t="s">
        <v>421</v>
      </c>
      <c r="L158" s="3">
        <v>68.81</v>
      </c>
      <c r="M158" s="3">
        <v>72.25</v>
      </c>
      <c r="N158" s="3">
        <v>144.49</v>
      </c>
      <c r="O158" s="2" t="s">
        <v>95</v>
      </c>
      <c r="P158" s="2" t="s">
        <v>142</v>
      </c>
      <c r="Q158" s="2" t="s">
        <v>97</v>
      </c>
      <c r="R158" s="2" t="s">
        <v>98</v>
      </c>
      <c r="S158" s="2" t="s">
        <v>1033</v>
      </c>
      <c r="T158" s="2" t="s">
        <v>98</v>
      </c>
      <c r="U158" s="2" t="s">
        <v>157</v>
      </c>
      <c r="V158" s="2" t="s">
        <v>331</v>
      </c>
      <c r="W158" s="2" t="s">
        <v>102</v>
      </c>
      <c r="X158" s="2" t="s">
        <v>297</v>
      </c>
      <c r="Y158" s="2" t="s">
        <v>1018</v>
      </c>
      <c r="Z158" s="4">
        <v>82</v>
      </c>
      <c r="AA158" s="4">
        <f>=ROUNDDOWN(82,0)</f>
      </c>
      <c r="AB158" s="5">
        <v>1</v>
      </c>
      <c r="AC158" s="2" t="s">
        <v>98</v>
      </c>
      <c r="AD158" s="4"/>
      <c r="AE158" s="4"/>
      <c r="AF158" s="6">
        <v>63</v>
      </c>
      <c r="AG158" s="6"/>
      <c r="AH158" s="7">
        <v>1</v>
      </c>
      <c r="AI158" s="4"/>
      <c r="AJ158" s="4">
        <f>=ROUNDDOWN({0},0)</f>
      </c>
      <c r="AK158" s="5"/>
      <c r="AL158" s="2" t="s">
        <v>98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/>
      <c r="BD158" s="8"/>
      <c r="BE158" s="4"/>
      <c r="BF158" s="8"/>
      <c r="BG158" s="7"/>
      <c r="BH158" s="7"/>
      <c r="BI158" s="7"/>
      <c r="BJ158" s="4"/>
      <c r="BK158" s="8"/>
      <c r="BL158" s="2" t="s">
        <v>98</v>
      </c>
      <c r="BM158" s="7"/>
      <c r="BN158" s="7"/>
      <c r="BO158" s="4"/>
      <c r="BP158" s="8"/>
      <c r="BQ158" s="4"/>
      <c r="BR158" s="8"/>
      <c r="BS158" s="7"/>
      <c r="BT158" s="7"/>
      <c r="BU158" s="2" t="s">
        <v>107</v>
      </c>
      <c r="BV158" s="2" t="s">
        <v>95</v>
      </c>
      <c r="BW158" s="2" t="s">
        <v>1019</v>
      </c>
      <c r="BX158" s="2" t="s">
        <v>98</v>
      </c>
      <c r="BY158" s="2" t="s">
        <v>110</v>
      </c>
      <c r="BZ158" s="2" t="s">
        <v>98</v>
      </c>
    </row>
    <row r="159">
      <c r="A159" s="2" t="s">
        <v>1034</v>
      </c>
      <c r="B159" s="2" t="s">
        <v>87</v>
      </c>
      <c r="C159" s="2" t="s">
        <v>952</v>
      </c>
      <c r="D159" s="2" t="s">
        <v>525</v>
      </c>
      <c r="E159" s="2" t="s">
        <v>525</v>
      </c>
      <c r="F159" s="2" t="s">
        <v>1035</v>
      </c>
      <c r="G159" s="2" t="s">
        <v>1035</v>
      </c>
      <c r="H159" s="2" t="s">
        <v>1035</v>
      </c>
      <c r="I159" s="2" t="s">
        <v>1036</v>
      </c>
      <c r="J159" s="2" t="s">
        <v>93</v>
      </c>
      <c r="K159" s="2" t="s">
        <v>236</v>
      </c>
      <c r="L159" s="3">
        <v>43.52</v>
      </c>
      <c r="M159" s="3">
        <v>45.7</v>
      </c>
      <c r="N159" s="3">
        <v>93.49</v>
      </c>
      <c r="O159" s="2" t="s">
        <v>95</v>
      </c>
      <c r="P159" s="2" t="s">
        <v>115</v>
      </c>
      <c r="Q159" s="2" t="s">
        <v>97</v>
      </c>
      <c r="R159" s="2" t="s">
        <v>98</v>
      </c>
      <c r="S159" s="2" t="s">
        <v>1037</v>
      </c>
      <c r="T159" s="2" t="s">
        <v>98</v>
      </c>
      <c r="U159" s="2" t="s">
        <v>117</v>
      </c>
      <c r="V159" s="2" t="s">
        <v>331</v>
      </c>
      <c r="W159" s="2" t="s">
        <v>102</v>
      </c>
      <c r="X159" s="2" t="s">
        <v>963</v>
      </c>
      <c r="Y159" s="2" t="s">
        <v>1038</v>
      </c>
      <c r="Z159" s="4">
        <v>4</v>
      </c>
      <c r="AA159" s="4">
        <f>=ROUNDDOWN(1.29032258064516,0)</f>
      </c>
      <c r="AB159" s="5">
        <v>3.1</v>
      </c>
      <c r="AC159" s="2" t="s">
        <v>98</v>
      </c>
      <c r="AD159" s="4"/>
      <c r="AE159" s="4"/>
      <c r="AF159" s="6">
        <v>63</v>
      </c>
      <c r="AG159" s="6"/>
      <c r="AH159" s="7">
        <v>1</v>
      </c>
      <c r="AI159" s="4"/>
      <c r="AJ159" s="4">
        <f>=ROUNDDOWN({0},0)</f>
      </c>
      <c r="AK159" s="5"/>
      <c r="AL159" s="2" t="s">
        <v>98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/>
      <c r="BD159" s="8"/>
      <c r="BE159" s="4"/>
      <c r="BF159" s="8"/>
      <c r="BG159" s="7"/>
      <c r="BH159" s="7"/>
      <c r="BI159" s="7"/>
      <c r="BJ159" s="4">
        <v>2</v>
      </c>
      <c r="BK159" s="8">
        <v>98.7</v>
      </c>
      <c r="BL159" s="2" t="s">
        <v>1039</v>
      </c>
      <c r="BM159" s="7"/>
      <c r="BN159" s="7"/>
      <c r="BO159" s="4"/>
      <c r="BP159" s="8"/>
      <c r="BQ159" s="4"/>
      <c r="BR159" s="8"/>
      <c r="BS159" s="7"/>
      <c r="BT159" s="7"/>
      <c r="BU159" s="2" t="s">
        <v>107</v>
      </c>
      <c r="BV159" s="2" t="s">
        <v>95</v>
      </c>
      <c r="BW159" s="2" t="s">
        <v>108</v>
      </c>
      <c r="BX159" s="2" t="s">
        <v>1040</v>
      </c>
      <c r="BY159" s="2" t="s">
        <v>110</v>
      </c>
      <c r="BZ159" s="2" t="s">
        <v>98</v>
      </c>
    </row>
    <row r="160">
      <c r="A160" s="2" t="s">
        <v>1041</v>
      </c>
      <c r="B160" s="2" t="s">
        <v>87</v>
      </c>
      <c r="C160" s="2" t="s">
        <v>952</v>
      </c>
      <c r="D160" s="2" t="s">
        <v>525</v>
      </c>
      <c r="E160" s="2" t="s">
        <v>525</v>
      </c>
      <c r="F160" s="2" t="s">
        <v>1042</v>
      </c>
      <c r="G160" s="2" t="s">
        <v>1042</v>
      </c>
      <c r="H160" s="2" t="s">
        <v>1042</v>
      </c>
      <c r="I160" s="2" t="s">
        <v>1043</v>
      </c>
      <c r="J160" s="2" t="s">
        <v>93</v>
      </c>
      <c r="K160" s="2" t="s">
        <v>473</v>
      </c>
      <c r="L160" s="3">
        <v>34.6</v>
      </c>
      <c r="M160" s="3">
        <v>36.33</v>
      </c>
      <c r="N160" s="3">
        <v>80.74</v>
      </c>
      <c r="O160" s="2" t="s">
        <v>95</v>
      </c>
      <c r="P160" s="2" t="s">
        <v>134</v>
      </c>
      <c r="Q160" s="2" t="s">
        <v>97</v>
      </c>
      <c r="R160" s="2" t="s">
        <v>98</v>
      </c>
      <c r="S160" s="2" t="s">
        <v>1044</v>
      </c>
      <c r="T160" s="2" t="s">
        <v>98</v>
      </c>
      <c r="U160" s="2" t="s">
        <v>100</v>
      </c>
      <c r="V160" s="2" t="s">
        <v>1045</v>
      </c>
      <c r="W160" s="2" t="s">
        <v>968</v>
      </c>
      <c r="X160" s="2" t="s">
        <v>98</v>
      </c>
      <c r="Y160" s="2" t="s">
        <v>366</v>
      </c>
      <c r="Z160" s="4">
        <v>259</v>
      </c>
      <c r="AA160" s="4">
        <f>=ROUNDDOWN(51.8,0)</f>
      </c>
      <c r="AB160" s="5">
        <v>5</v>
      </c>
      <c r="AC160" s="2" t="s">
        <v>98</v>
      </c>
      <c r="AD160" s="4"/>
      <c r="AE160" s="4"/>
      <c r="AF160" s="6">
        <v>63</v>
      </c>
      <c r="AG160" s="6"/>
      <c r="AH160" s="7">
        <v>1</v>
      </c>
      <c r="AI160" s="4"/>
      <c r="AJ160" s="4">
        <f>=ROUNDDOWN({0},0)</f>
      </c>
      <c r="AK160" s="5"/>
      <c r="AL160" s="2" t="s">
        <v>98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/>
      <c r="BD160" s="8"/>
      <c r="BE160" s="4"/>
      <c r="BF160" s="8"/>
      <c r="BG160" s="7"/>
      <c r="BH160" s="7"/>
      <c r="BI160" s="7"/>
      <c r="BJ160" s="4">
        <v>4</v>
      </c>
      <c r="BK160" s="8">
        <v>154.91</v>
      </c>
      <c r="BL160" s="2" t="s">
        <v>1046</v>
      </c>
      <c r="BM160" s="7"/>
      <c r="BN160" s="7"/>
      <c r="BO160" s="4"/>
      <c r="BP160" s="8"/>
      <c r="BQ160" s="4"/>
      <c r="BR160" s="8"/>
      <c r="BS160" s="7"/>
      <c r="BT160" s="7"/>
      <c r="BU160" s="2" t="s">
        <v>107</v>
      </c>
      <c r="BV160" s="2" t="s">
        <v>95</v>
      </c>
      <c r="BW160" s="2" t="s">
        <v>1047</v>
      </c>
      <c r="BX160" s="2" t="s">
        <v>1048</v>
      </c>
      <c r="BY160" s="2" t="s">
        <v>110</v>
      </c>
      <c r="BZ160" s="2" t="s">
        <v>98</v>
      </c>
    </row>
    <row r="161">
      <c r="A161" s="2" t="s">
        <v>1049</v>
      </c>
      <c r="B161" s="2" t="s">
        <v>87</v>
      </c>
      <c r="C161" s="2" t="s">
        <v>952</v>
      </c>
      <c r="D161" s="2" t="s">
        <v>525</v>
      </c>
      <c r="E161" s="2" t="s">
        <v>525</v>
      </c>
      <c r="F161" s="2" t="s">
        <v>1050</v>
      </c>
      <c r="G161" s="2" t="s">
        <v>1050</v>
      </c>
      <c r="H161" s="2" t="s">
        <v>1050</v>
      </c>
      <c r="I161" s="2" t="s">
        <v>1051</v>
      </c>
      <c r="J161" s="2" t="s">
        <v>93</v>
      </c>
      <c r="K161" s="2" t="s">
        <v>1052</v>
      </c>
      <c r="L161" s="3">
        <v>27.85</v>
      </c>
      <c r="M161" s="3">
        <v>29.24</v>
      </c>
      <c r="N161" s="3">
        <v>64.99</v>
      </c>
      <c r="O161" s="2" t="s">
        <v>95</v>
      </c>
      <c r="P161" s="2" t="s">
        <v>295</v>
      </c>
      <c r="Q161" s="2" t="s">
        <v>97</v>
      </c>
      <c r="R161" s="2" t="s">
        <v>98</v>
      </c>
      <c r="S161" s="2" t="s">
        <v>98</v>
      </c>
      <c r="T161" s="2" t="s">
        <v>98</v>
      </c>
      <c r="U161" s="2" t="s">
        <v>117</v>
      </c>
      <c r="V161" s="2" t="s">
        <v>296</v>
      </c>
      <c r="W161" s="2" t="s">
        <v>1053</v>
      </c>
      <c r="X161" s="2" t="s">
        <v>997</v>
      </c>
      <c r="Y161" s="2" t="s">
        <v>848</v>
      </c>
      <c r="Z161" s="4">
        <v>85</v>
      </c>
      <c r="AA161" s="4">
        <f>=ROUNDDOWN(28.3333333333333,0)</f>
      </c>
      <c r="AB161" s="5">
        <v>3</v>
      </c>
      <c r="AC161" s="2" t="s">
        <v>98</v>
      </c>
      <c r="AD161" s="4"/>
      <c r="AE161" s="4"/>
      <c r="AF161" s="6">
        <v>63</v>
      </c>
      <c r="AG161" s="6"/>
      <c r="AH161" s="7">
        <v>1</v>
      </c>
      <c r="AI161" s="4"/>
      <c r="AJ161" s="4">
        <f>=ROUNDDOWN({0},0)</f>
      </c>
      <c r="AK161" s="5"/>
      <c r="AL161" s="2" t="s">
        <v>98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/>
      <c r="BD161" s="8"/>
      <c r="BE161" s="4"/>
      <c r="BF161" s="8"/>
      <c r="BG161" s="7"/>
      <c r="BH161" s="7"/>
      <c r="BI161" s="7"/>
      <c r="BJ161" s="4"/>
      <c r="BK161" s="8"/>
      <c r="BL161" s="2" t="s">
        <v>98</v>
      </c>
      <c r="BM161" s="7"/>
      <c r="BN161" s="7"/>
      <c r="BO161" s="4"/>
      <c r="BP161" s="8"/>
      <c r="BQ161" s="4"/>
      <c r="BR161" s="8"/>
      <c r="BS161" s="7"/>
      <c r="BT161" s="7"/>
      <c r="BU161" s="2" t="s">
        <v>107</v>
      </c>
      <c r="BV161" s="2" t="s">
        <v>95</v>
      </c>
      <c r="BW161" s="2" t="s">
        <v>300</v>
      </c>
      <c r="BX161" s="2" t="s">
        <v>98</v>
      </c>
      <c r="BY161" s="2" t="s">
        <v>110</v>
      </c>
      <c r="BZ161" s="2" t="s">
        <v>98</v>
      </c>
    </row>
    <row r="162">
      <c r="A162" s="2" t="s">
        <v>1054</v>
      </c>
      <c r="B162" s="2" t="s">
        <v>87</v>
      </c>
      <c r="C162" s="2" t="s">
        <v>952</v>
      </c>
      <c r="D162" s="2" t="s">
        <v>392</v>
      </c>
      <c r="E162" s="2" t="s">
        <v>393</v>
      </c>
      <c r="F162" s="2" t="s">
        <v>1055</v>
      </c>
      <c r="G162" s="2" t="s">
        <v>1055</v>
      </c>
      <c r="H162" s="2" t="s">
        <v>1055</v>
      </c>
      <c r="I162" s="2" t="s">
        <v>1056</v>
      </c>
      <c r="J162" s="2" t="s">
        <v>93</v>
      </c>
      <c r="K162" s="2" t="s">
        <v>127</v>
      </c>
      <c r="L162" s="3">
        <v>59.52</v>
      </c>
      <c r="M162" s="3">
        <v>62.5</v>
      </c>
      <c r="N162" s="3">
        <v>124.99</v>
      </c>
      <c r="O162" s="2" t="s">
        <v>95</v>
      </c>
      <c r="P162" s="2" t="s">
        <v>134</v>
      </c>
      <c r="Q162" s="2" t="s">
        <v>97</v>
      </c>
      <c r="R162" s="2" t="s">
        <v>98</v>
      </c>
      <c r="S162" s="2" t="s">
        <v>98</v>
      </c>
      <c r="T162" s="2" t="s">
        <v>98</v>
      </c>
      <c r="U162" s="2" t="s">
        <v>117</v>
      </c>
      <c r="V162" s="2" t="s">
        <v>296</v>
      </c>
      <c r="W162" s="2" t="s">
        <v>119</v>
      </c>
      <c r="X162" s="2" t="s">
        <v>165</v>
      </c>
      <c r="Y162" s="2" t="s">
        <v>1057</v>
      </c>
      <c r="Z162" s="4">
        <v>109</v>
      </c>
      <c r="AA162" s="4">
        <f>=ROUNDDOWN(7.78571428571429,0)</f>
      </c>
      <c r="AB162" s="5">
        <v>14</v>
      </c>
      <c r="AC162" s="2" t="s">
        <v>136</v>
      </c>
      <c r="AD162" s="4">
        <v>280</v>
      </c>
      <c r="AE162" s="4">
        <v>280</v>
      </c>
      <c r="AF162" s="6">
        <v>63</v>
      </c>
      <c r="AG162" s="6"/>
      <c r="AH162" s="7">
        <v>1</v>
      </c>
      <c r="AI162" s="4"/>
      <c r="AJ162" s="4">
        <f>=ROUNDDOWN({0},0)</f>
      </c>
      <c r="AK162" s="5"/>
      <c r="AL162" s="2" t="s">
        <v>98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/>
      <c r="BD162" s="8"/>
      <c r="BE162" s="4"/>
      <c r="BF162" s="8"/>
      <c r="BG162" s="7"/>
      <c r="BH162" s="7"/>
      <c r="BI162" s="7"/>
      <c r="BJ162" s="4">
        <v>10</v>
      </c>
      <c r="BK162" s="8">
        <v>669.57</v>
      </c>
      <c r="BL162" s="2" t="s">
        <v>333</v>
      </c>
      <c r="BM162" s="7"/>
      <c r="BN162" s="7"/>
      <c r="BO162" s="4"/>
      <c r="BP162" s="8"/>
      <c r="BQ162" s="4"/>
      <c r="BR162" s="8"/>
      <c r="BS162" s="7"/>
      <c r="BT162" s="7"/>
      <c r="BU162" s="2" t="s">
        <v>388</v>
      </c>
      <c r="BV162" s="2" t="s">
        <v>95</v>
      </c>
      <c r="BW162" s="2" t="s">
        <v>98</v>
      </c>
      <c r="BX162" s="2" t="s">
        <v>98</v>
      </c>
      <c r="BY162" s="2" t="s">
        <v>110</v>
      </c>
      <c r="BZ162" s="2" t="s">
        <v>98</v>
      </c>
    </row>
    <row r="163">
      <c r="A163" s="2" t="s">
        <v>1058</v>
      </c>
      <c r="B163" s="2" t="s">
        <v>87</v>
      </c>
      <c r="C163" s="2" t="s">
        <v>952</v>
      </c>
      <c r="D163" s="2" t="s">
        <v>392</v>
      </c>
      <c r="E163" s="2" t="s">
        <v>393</v>
      </c>
      <c r="F163" s="2" t="s">
        <v>1059</v>
      </c>
      <c r="G163" s="2" t="s">
        <v>1059</v>
      </c>
      <c r="H163" s="2" t="s">
        <v>1059</v>
      </c>
      <c r="I163" s="2" t="s">
        <v>1060</v>
      </c>
      <c r="J163" s="2" t="s">
        <v>93</v>
      </c>
      <c r="K163" s="2" t="s">
        <v>127</v>
      </c>
      <c r="L163" s="3">
        <v>76.9</v>
      </c>
      <c r="M163" s="3">
        <v>80.74</v>
      </c>
      <c r="N163" s="3">
        <v>161.49</v>
      </c>
      <c r="O163" s="2" t="s">
        <v>95</v>
      </c>
      <c r="P163" s="2" t="s">
        <v>142</v>
      </c>
      <c r="Q163" s="2" t="s">
        <v>97</v>
      </c>
      <c r="R163" s="2" t="s">
        <v>98</v>
      </c>
      <c r="S163" s="2" t="s">
        <v>98</v>
      </c>
      <c r="T163" s="2" t="s">
        <v>98</v>
      </c>
      <c r="U163" s="2" t="s">
        <v>117</v>
      </c>
      <c r="V163" s="2" t="s">
        <v>296</v>
      </c>
      <c r="W163" s="2" t="s">
        <v>119</v>
      </c>
      <c r="X163" s="2" t="s">
        <v>102</v>
      </c>
      <c r="Y163" s="2" t="s">
        <v>401</v>
      </c>
      <c r="Z163" s="4">
        <v>48</v>
      </c>
      <c r="AA163" s="4">
        <f>=ROUNDDOWN(24,0)</f>
      </c>
      <c r="AB163" s="5">
        <v>2</v>
      </c>
      <c r="AC163" s="2" t="s">
        <v>98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98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/>
      <c r="BD163" s="8"/>
      <c r="BE163" s="4"/>
      <c r="BF163" s="8"/>
      <c r="BG163" s="7"/>
      <c r="BH163" s="7"/>
      <c r="BI163" s="7"/>
      <c r="BJ163" s="4">
        <v>4</v>
      </c>
      <c r="BK163" s="8">
        <v>350.04</v>
      </c>
      <c r="BL163" s="2" t="s">
        <v>1061</v>
      </c>
      <c r="BM163" s="7"/>
      <c r="BN163" s="7"/>
      <c r="BO163" s="4"/>
      <c r="BP163" s="8"/>
      <c r="BQ163" s="4"/>
      <c r="BR163" s="8"/>
      <c r="BS163" s="7"/>
      <c r="BT163" s="7"/>
      <c r="BU163" s="2" t="s">
        <v>107</v>
      </c>
      <c r="BV163" s="2" t="s">
        <v>95</v>
      </c>
      <c r="BW163" s="2" t="s">
        <v>402</v>
      </c>
      <c r="BX163" s="2" t="s">
        <v>1062</v>
      </c>
      <c r="BY163" s="2" t="s">
        <v>110</v>
      </c>
      <c r="BZ163" s="2" t="s">
        <v>98</v>
      </c>
    </row>
    <row r="164">
      <c r="A164" s="2" t="s">
        <v>1063</v>
      </c>
      <c r="B164" s="2" t="s">
        <v>87</v>
      </c>
      <c r="C164" s="2" t="s">
        <v>952</v>
      </c>
      <c r="D164" s="2" t="s">
        <v>326</v>
      </c>
      <c r="E164" s="2" t="s">
        <v>326</v>
      </c>
      <c r="F164" s="2" t="s">
        <v>1064</v>
      </c>
      <c r="G164" s="2" t="s">
        <v>1064</v>
      </c>
      <c r="H164" s="2" t="s">
        <v>1064</v>
      </c>
      <c r="I164" s="2" t="s">
        <v>1065</v>
      </c>
      <c r="J164" s="2" t="s">
        <v>93</v>
      </c>
      <c r="K164" s="2" t="s">
        <v>1066</v>
      </c>
      <c r="L164" s="3">
        <v>50</v>
      </c>
      <c r="M164" s="3">
        <v>52.5</v>
      </c>
      <c r="N164" s="3">
        <v>104.99</v>
      </c>
      <c r="O164" s="2" t="s">
        <v>95</v>
      </c>
      <c r="P164" s="2" t="s">
        <v>295</v>
      </c>
      <c r="Q164" s="2" t="s">
        <v>97</v>
      </c>
      <c r="R164" s="2" t="s">
        <v>98</v>
      </c>
      <c r="S164" s="2" t="s">
        <v>98</v>
      </c>
      <c r="T164" s="2" t="s">
        <v>98</v>
      </c>
      <c r="U164" s="2" t="s">
        <v>100</v>
      </c>
      <c r="V164" s="2" t="s">
        <v>296</v>
      </c>
      <c r="W164" s="2" t="s">
        <v>1067</v>
      </c>
      <c r="X164" s="2" t="s">
        <v>98</v>
      </c>
      <c r="Y164" s="2" t="s">
        <v>536</v>
      </c>
      <c r="Z164" s="4">
        <v>72</v>
      </c>
      <c r="AA164" s="4">
        <f>=ROUNDDOWN(36,0)</f>
      </c>
      <c r="AB164" s="5">
        <v>2</v>
      </c>
      <c r="AC164" s="2" t="s">
        <v>98</v>
      </c>
      <c r="AD164" s="4"/>
      <c r="AE164" s="4"/>
      <c r="AF164" s="6">
        <v>63</v>
      </c>
      <c r="AG164" s="6"/>
      <c r="AH164" s="7">
        <v>1</v>
      </c>
      <c r="AI164" s="4"/>
      <c r="AJ164" s="4">
        <f>=ROUNDDOWN({0},0)</f>
      </c>
      <c r="AK164" s="5"/>
      <c r="AL164" s="2" t="s">
        <v>98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/>
      <c r="AW164" s="8"/>
      <c r="AX164" s="4"/>
      <c r="AY164" s="8"/>
      <c r="AZ164" s="7"/>
      <c r="BA164" s="7"/>
      <c r="BB164" s="7"/>
      <c r="BC164" s="4"/>
      <c r="BD164" s="8"/>
      <c r="BE164" s="4"/>
      <c r="BF164" s="8"/>
      <c r="BG164" s="7"/>
      <c r="BH164" s="7"/>
      <c r="BI164" s="7"/>
      <c r="BJ164" s="4"/>
      <c r="BK164" s="8"/>
      <c r="BL164" s="2" t="s">
        <v>98</v>
      </c>
      <c r="BM164" s="7"/>
      <c r="BN164" s="7"/>
      <c r="BO164" s="4"/>
      <c r="BP164" s="8"/>
      <c r="BQ164" s="4"/>
      <c r="BR164" s="8"/>
      <c r="BS164" s="7"/>
      <c r="BT164" s="7"/>
      <c r="BU164" s="2" t="s">
        <v>107</v>
      </c>
      <c r="BV164" s="2" t="s">
        <v>95</v>
      </c>
      <c r="BW164" s="2" t="s">
        <v>300</v>
      </c>
      <c r="BX164" s="2" t="s">
        <v>98</v>
      </c>
      <c r="BY164" s="2" t="s">
        <v>110</v>
      </c>
      <c r="BZ164" s="2" t="s">
        <v>98</v>
      </c>
    </row>
    <row r="165">
      <c r="A165" s="2" t="s">
        <v>1068</v>
      </c>
      <c r="B165" s="2" t="s">
        <v>87</v>
      </c>
      <c r="C165" s="2" t="s">
        <v>1069</v>
      </c>
      <c r="D165" s="2" t="s">
        <v>1070</v>
      </c>
      <c r="E165" s="2" t="s">
        <v>1071</v>
      </c>
      <c r="F165" s="2" t="s">
        <v>1072</v>
      </c>
      <c r="G165" s="2" t="s">
        <v>1072</v>
      </c>
      <c r="H165" s="2" t="s">
        <v>1072</v>
      </c>
      <c r="I165" s="2" t="s">
        <v>1073</v>
      </c>
      <c r="J165" s="2" t="s">
        <v>93</v>
      </c>
      <c r="K165" s="2" t="s">
        <v>188</v>
      </c>
      <c r="L165" s="3">
        <v>27.51</v>
      </c>
      <c r="M165" s="3">
        <v>28.89</v>
      </c>
      <c r="N165" s="3">
        <v>52.69</v>
      </c>
      <c r="O165" s="2" t="s">
        <v>95</v>
      </c>
      <c r="P165" s="2" t="s">
        <v>163</v>
      </c>
      <c r="Q165" s="2" t="s">
        <v>97</v>
      </c>
      <c r="R165" s="2" t="s">
        <v>98</v>
      </c>
      <c r="S165" s="2" t="s">
        <v>1074</v>
      </c>
      <c r="T165" s="2" t="s">
        <v>98</v>
      </c>
      <c r="U165" s="2" t="s">
        <v>157</v>
      </c>
      <c r="V165" s="2" t="s">
        <v>439</v>
      </c>
      <c r="W165" s="2" t="s">
        <v>103</v>
      </c>
      <c r="X165" s="2" t="s">
        <v>98</v>
      </c>
      <c r="Y165" s="2" t="s">
        <v>366</v>
      </c>
      <c r="Z165" s="4">
        <v>576</v>
      </c>
      <c r="AA165" s="4">
        <f>=ROUNDDOWN(16.9411764705882,0)</f>
      </c>
      <c r="AB165" s="5">
        <v>34</v>
      </c>
      <c r="AC165" s="2" t="s">
        <v>194</v>
      </c>
      <c r="AD165" s="4">
        <v>500</v>
      </c>
      <c r="AE165" s="4">
        <v>770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98</v>
      </c>
      <c r="AM165" s="4"/>
      <c r="AN165" s="4"/>
      <c r="AO165" s="7">
        <v>0</v>
      </c>
      <c r="AP165" s="4">
        <v>1</v>
      </c>
      <c r="AQ165" s="8">
        <v>35.69</v>
      </c>
      <c r="AR165" s="4"/>
      <c r="AS165" s="8"/>
      <c r="AT165" s="7"/>
      <c r="AU165" s="7"/>
      <c r="AV165" s="4">
        <v>1</v>
      </c>
      <c r="AW165" s="8">
        <v>35.69</v>
      </c>
      <c r="AX165" s="4"/>
      <c r="AY165" s="8"/>
      <c r="AZ165" s="7"/>
      <c r="BA165" s="7"/>
      <c r="BB165" s="7">
        <v>1</v>
      </c>
      <c r="BC165" s="4">
        <v>1</v>
      </c>
      <c r="BD165" s="8">
        <v>35.69</v>
      </c>
      <c r="BE165" s="4" t="s">
        <v>98</v>
      </c>
      <c r="BF165" s="8" t="s">
        <v>98</v>
      </c>
      <c r="BG165" s="7" t="s">
        <v>98</v>
      </c>
      <c r="BH165" s="7" t="s">
        <v>98</v>
      </c>
      <c r="BI165" s="7">
        <v>1</v>
      </c>
      <c r="BJ165" s="4">
        <v>26</v>
      </c>
      <c r="BK165" s="8">
        <v>732.48</v>
      </c>
      <c r="BL165" s="2" t="s">
        <v>1075</v>
      </c>
      <c r="BM165" s="7">
        <v>0.0385</v>
      </c>
      <c r="BN165" s="7">
        <v>0.0487</v>
      </c>
      <c r="BO165" s="4">
        <v>1</v>
      </c>
      <c r="BP165" s="8">
        <v>35.69</v>
      </c>
      <c r="BQ165" s="4"/>
      <c r="BR165" s="8"/>
      <c r="BS165" s="7"/>
      <c r="BT165" s="7"/>
      <c r="BU165" s="2" t="s">
        <v>107</v>
      </c>
      <c r="BV165" s="2" t="s">
        <v>95</v>
      </c>
      <c r="BW165" s="2" t="s">
        <v>499</v>
      </c>
      <c r="BX165" s="2" t="s">
        <v>1076</v>
      </c>
      <c r="BY165" s="2" t="s">
        <v>110</v>
      </c>
      <c r="BZ165" s="2" t="s">
        <v>98</v>
      </c>
    </row>
    <row r="166">
      <c r="A166" s="2" t="s">
        <v>1077</v>
      </c>
      <c r="B166" s="2" t="s">
        <v>87</v>
      </c>
      <c r="C166" s="2" t="s">
        <v>1069</v>
      </c>
      <c r="D166" s="2" t="s">
        <v>1070</v>
      </c>
      <c r="E166" s="2" t="s">
        <v>1071</v>
      </c>
      <c r="F166" s="2" t="s">
        <v>1072</v>
      </c>
      <c r="G166" s="2" t="s">
        <v>1072</v>
      </c>
      <c r="H166" s="2" t="s">
        <v>1072</v>
      </c>
      <c r="I166" s="2" t="s">
        <v>1073</v>
      </c>
      <c r="J166" s="2" t="s">
        <v>93</v>
      </c>
      <c r="K166" s="2" t="s">
        <v>421</v>
      </c>
      <c r="L166" s="3">
        <v>27.51</v>
      </c>
      <c r="M166" s="3">
        <v>28.89</v>
      </c>
      <c r="N166" s="3">
        <v>52.69</v>
      </c>
      <c r="O166" s="2" t="s">
        <v>95</v>
      </c>
      <c r="P166" s="2" t="s">
        <v>163</v>
      </c>
      <c r="Q166" s="2" t="s">
        <v>97</v>
      </c>
      <c r="R166" s="2" t="s">
        <v>98</v>
      </c>
      <c r="S166" s="2" t="s">
        <v>98</v>
      </c>
      <c r="T166" s="2" t="s">
        <v>98</v>
      </c>
      <c r="U166" s="2" t="s">
        <v>157</v>
      </c>
      <c r="V166" s="2" t="s">
        <v>439</v>
      </c>
      <c r="W166" s="2" t="s">
        <v>103</v>
      </c>
      <c r="X166" s="2" t="s">
        <v>297</v>
      </c>
      <c r="Y166" s="2" t="s">
        <v>1078</v>
      </c>
      <c r="Z166" s="4">
        <v>361</v>
      </c>
      <c r="AA166" s="4">
        <f>=ROUNDDOWN(13.3703703703704,0)</f>
      </c>
      <c r="AB166" s="5">
        <v>27</v>
      </c>
      <c r="AC166" s="2" t="s">
        <v>194</v>
      </c>
      <c r="AD166" s="4">
        <v>250</v>
      </c>
      <c r="AE166" s="4">
        <v>730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98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 t="s">
        <v>98</v>
      </c>
      <c r="BD166" s="8" t="s">
        <v>98</v>
      </c>
      <c r="BE166" s="4" t="s">
        <v>98</v>
      </c>
      <c r="BF166" s="8" t="s">
        <v>98</v>
      </c>
      <c r="BG166" s="7" t="s">
        <v>98</v>
      </c>
      <c r="BH166" s="7" t="s">
        <v>98</v>
      </c>
      <c r="BI166" s="7"/>
      <c r="BJ166" s="4">
        <v>23</v>
      </c>
      <c r="BK166" s="8">
        <v>708.55</v>
      </c>
      <c r="BL166" s="2" t="s">
        <v>1079</v>
      </c>
      <c r="BM166" s="7"/>
      <c r="BN166" s="7"/>
      <c r="BO166" s="4"/>
      <c r="BP166" s="8"/>
      <c r="BQ166" s="4"/>
      <c r="BR166" s="8"/>
      <c r="BS166" s="7"/>
      <c r="BT166" s="7"/>
      <c r="BU166" s="2" t="s">
        <v>107</v>
      </c>
      <c r="BV166" s="2" t="s">
        <v>95</v>
      </c>
      <c r="BW166" s="2" t="s">
        <v>1080</v>
      </c>
      <c r="BX166" s="2" t="s">
        <v>1081</v>
      </c>
      <c r="BY166" s="2" t="s">
        <v>110</v>
      </c>
      <c r="BZ166" s="2" t="s">
        <v>98</v>
      </c>
    </row>
    <row r="167">
      <c r="A167" s="2" t="s">
        <v>1082</v>
      </c>
      <c r="B167" s="2" t="s">
        <v>87</v>
      </c>
      <c r="C167" s="2" t="s">
        <v>1069</v>
      </c>
      <c r="D167" s="2" t="s">
        <v>1070</v>
      </c>
      <c r="E167" s="2" t="s">
        <v>1071</v>
      </c>
      <c r="F167" s="2" t="s">
        <v>1083</v>
      </c>
      <c r="G167" s="2" t="s">
        <v>1083</v>
      </c>
      <c r="H167" s="2" t="s">
        <v>1083</v>
      </c>
      <c r="I167" s="2" t="s">
        <v>1084</v>
      </c>
      <c r="J167" s="2" t="s">
        <v>93</v>
      </c>
      <c r="K167" s="2" t="s">
        <v>1085</v>
      </c>
      <c r="L167" s="3">
        <v>100.98</v>
      </c>
      <c r="M167" s="3">
        <v>106.03</v>
      </c>
      <c r="N167" s="3">
        <v>169.99</v>
      </c>
      <c r="O167" s="2" t="s">
        <v>95</v>
      </c>
      <c r="P167" s="2" t="s">
        <v>163</v>
      </c>
      <c r="Q167" s="2" t="s">
        <v>97</v>
      </c>
      <c r="R167" s="2" t="s">
        <v>98</v>
      </c>
      <c r="S167" s="2" t="s">
        <v>1086</v>
      </c>
      <c r="T167" s="2" t="s">
        <v>98</v>
      </c>
      <c r="U167" s="2" t="s">
        <v>157</v>
      </c>
      <c r="V167" s="2" t="s">
        <v>439</v>
      </c>
      <c r="W167" s="2" t="s">
        <v>103</v>
      </c>
      <c r="X167" s="2" t="s">
        <v>98</v>
      </c>
      <c r="Y167" s="2" t="s">
        <v>1087</v>
      </c>
      <c r="Z167" s="4">
        <v>411</v>
      </c>
      <c r="AA167" s="4">
        <f>=ROUNDDOWN(24.1764705882353,0)</f>
      </c>
      <c r="AB167" s="5">
        <v>17</v>
      </c>
      <c r="AC167" s="2" t="s">
        <v>1088</v>
      </c>
      <c r="AD167" s="4">
        <v>400</v>
      </c>
      <c r="AE167" s="4">
        <v>400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98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/>
      <c r="BD167" s="8"/>
      <c r="BE167" s="4"/>
      <c r="BF167" s="8"/>
      <c r="BG167" s="7"/>
      <c r="BH167" s="7"/>
      <c r="BI167" s="7"/>
      <c r="BJ167" s="4">
        <v>16</v>
      </c>
      <c r="BK167" s="8">
        <v>1654.47</v>
      </c>
      <c r="BL167" s="2" t="s">
        <v>1089</v>
      </c>
      <c r="BM167" s="7"/>
      <c r="BN167" s="7"/>
      <c r="BO167" s="4"/>
      <c r="BP167" s="8"/>
      <c r="BQ167" s="4"/>
      <c r="BR167" s="8"/>
      <c r="BS167" s="7"/>
      <c r="BT167" s="7"/>
      <c r="BU167" s="2" t="s">
        <v>107</v>
      </c>
      <c r="BV167" s="2" t="s">
        <v>95</v>
      </c>
      <c r="BW167" s="2" t="s">
        <v>499</v>
      </c>
      <c r="BX167" s="2" t="s">
        <v>1090</v>
      </c>
      <c r="BY167" s="2" t="s">
        <v>110</v>
      </c>
      <c r="BZ167" s="2" t="s">
        <v>98</v>
      </c>
    </row>
    <row r="168">
      <c r="A168" s="2" t="s">
        <v>1091</v>
      </c>
      <c r="B168" s="2" t="s">
        <v>87</v>
      </c>
      <c r="C168" s="2" t="s">
        <v>1069</v>
      </c>
      <c r="D168" s="2" t="s">
        <v>89</v>
      </c>
      <c r="E168" s="2" t="s">
        <v>910</v>
      </c>
      <c r="F168" s="2" t="s">
        <v>1092</v>
      </c>
      <c r="G168" s="2" t="s">
        <v>1092</v>
      </c>
      <c r="H168" s="2" t="s">
        <v>1092</v>
      </c>
      <c r="I168" s="2" t="s">
        <v>1093</v>
      </c>
      <c r="J168" s="2" t="s">
        <v>93</v>
      </c>
      <c r="K168" s="2" t="s">
        <v>294</v>
      </c>
      <c r="L168" s="3">
        <v>47.09</v>
      </c>
      <c r="M168" s="3">
        <v>49.44</v>
      </c>
      <c r="N168" s="3">
        <v>98.99</v>
      </c>
      <c r="O168" s="2" t="s">
        <v>95</v>
      </c>
      <c r="P168" s="2" t="s">
        <v>96</v>
      </c>
      <c r="Q168" s="2" t="s">
        <v>97</v>
      </c>
      <c r="R168" s="2" t="s">
        <v>98</v>
      </c>
      <c r="S168" s="2" t="s">
        <v>1094</v>
      </c>
      <c r="T168" s="2" t="s">
        <v>98</v>
      </c>
      <c r="U168" s="2" t="s">
        <v>117</v>
      </c>
      <c r="V168" s="2" t="s">
        <v>331</v>
      </c>
      <c r="W168" s="2" t="s">
        <v>297</v>
      </c>
      <c r="X168" s="2" t="s">
        <v>98</v>
      </c>
      <c r="Y168" s="2" t="s">
        <v>1095</v>
      </c>
      <c r="Z168" s="4">
        <v>145</v>
      </c>
      <c r="AA168" s="4">
        <f>=ROUNDDOWN(11.1538461538462,0)</f>
      </c>
      <c r="AB168" s="5">
        <v>13</v>
      </c>
      <c r="AC168" s="2" t="s">
        <v>342</v>
      </c>
      <c r="AD168" s="4">
        <v>180</v>
      </c>
      <c r="AE168" s="4">
        <v>350</v>
      </c>
      <c r="AF168" s="6">
        <v>63</v>
      </c>
      <c r="AG168" s="6"/>
      <c r="AH168" s="7">
        <v>1</v>
      </c>
      <c r="AI168" s="4"/>
      <c r="AJ168" s="4">
        <f>=ROUNDDOWN({0},0)</f>
      </c>
      <c r="AK168" s="5"/>
      <c r="AL168" s="2" t="s">
        <v>98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98</v>
      </c>
      <c r="BD168" s="8" t="s">
        <v>98</v>
      </c>
      <c r="BE168" s="4" t="s">
        <v>98</v>
      </c>
      <c r="BF168" s="8" t="s">
        <v>98</v>
      </c>
      <c r="BG168" s="7" t="s">
        <v>98</v>
      </c>
      <c r="BH168" s="7" t="s">
        <v>98</v>
      </c>
      <c r="BI168" s="7"/>
      <c r="BJ168" s="4">
        <v>1</v>
      </c>
      <c r="BK168" s="8">
        <v>51.92</v>
      </c>
      <c r="BL168" s="2" t="s">
        <v>1096</v>
      </c>
      <c r="BM168" s="7"/>
      <c r="BN168" s="7"/>
      <c r="BO168" s="4"/>
      <c r="BP168" s="8"/>
      <c r="BQ168" s="4"/>
      <c r="BR168" s="8"/>
      <c r="BS168" s="7"/>
      <c r="BT168" s="7"/>
      <c r="BU168" s="2" t="s">
        <v>107</v>
      </c>
      <c r="BV168" s="2" t="s">
        <v>95</v>
      </c>
      <c r="BW168" s="2" t="s">
        <v>453</v>
      </c>
      <c r="BX168" s="2" t="s">
        <v>454</v>
      </c>
      <c r="BY168" s="2" t="s">
        <v>110</v>
      </c>
      <c r="BZ168" s="2" t="s">
        <v>98</v>
      </c>
    </row>
    <row r="169">
      <c r="A169" s="2" t="s">
        <v>1097</v>
      </c>
      <c r="B169" s="2" t="s">
        <v>87</v>
      </c>
      <c r="C169" s="2" t="s">
        <v>1069</v>
      </c>
      <c r="D169" s="2" t="s">
        <v>89</v>
      </c>
      <c r="E169" s="2" t="s">
        <v>910</v>
      </c>
      <c r="F169" s="2" t="s">
        <v>1092</v>
      </c>
      <c r="G169" s="2" t="s">
        <v>1092</v>
      </c>
      <c r="H169" s="2" t="s">
        <v>1092</v>
      </c>
      <c r="I169" s="2" t="s">
        <v>1093</v>
      </c>
      <c r="J169" s="2" t="s">
        <v>93</v>
      </c>
      <c r="K169" s="2" t="s">
        <v>421</v>
      </c>
      <c r="L169" s="3">
        <v>47.09</v>
      </c>
      <c r="M169" s="3">
        <v>49.44</v>
      </c>
      <c r="N169" s="3">
        <v>98.99</v>
      </c>
      <c r="O169" s="2" t="s">
        <v>95</v>
      </c>
      <c r="P169" s="2" t="s">
        <v>134</v>
      </c>
      <c r="Q169" s="2" t="s">
        <v>97</v>
      </c>
      <c r="R169" s="2" t="s">
        <v>98</v>
      </c>
      <c r="S169" s="2" t="s">
        <v>1098</v>
      </c>
      <c r="T169" s="2" t="s">
        <v>98</v>
      </c>
      <c r="U169" s="2" t="s">
        <v>117</v>
      </c>
      <c r="V169" s="2" t="s">
        <v>331</v>
      </c>
      <c r="W169" s="2" t="s">
        <v>297</v>
      </c>
      <c r="X169" s="2" t="s">
        <v>98</v>
      </c>
      <c r="Y169" s="2" t="s">
        <v>1095</v>
      </c>
      <c r="Z169" s="4">
        <v>131</v>
      </c>
      <c r="AA169" s="4">
        <f>=ROUNDDOWN(18.7142857142857,0)</f>
      </c>
      <c r="AB169" s="5">
        <v>7</v>
      </c>
      <c r="AC169" s="2" t="s">
        <v>177</v>
      </c>
      <c r="AD169" s="4">
        <v>120</v>
      </c>
      <c r="AE169" s="4">
        <v>120</v>
      </c>
      <c r="AF169" s="6">
        <v>63</v>
      </c>
      <c r="AG169" s="6"/>
      <c r="AH169" s="7">
        <v>1</v>
      </c>
      <c r="AI169" s="4"/>
      <c r="AJ169" s="4">
        <f>=ROUNDDOWN({0},0)</f>
      </c>
      <c r="AK169" s="5"/>
      <c r="AL169" s="2" t="s">
        <v>98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98</v>
      </c>
      <c r="BD169" s="8" t="s">
        <v>98</v>
      </c>
      <c r="BE169" s="4" t="s">
        <v>98</v>
      </c>
      <c r="BF169" s="8" t="s">
        <v>98</v>
      </c>
      <c r="BG169" s="7" t="s">
        <v>98</v>
      </c>
      <c r="BH169" s="7" t="s">
        <v>98</v>
      </c>
      <c r="BI169" s="7"/>
      <c r="BJ169" s="4">
        <v>11</v>
      </c>
      <c r="BK169" s="8">
        <v>565.34</v>
      </c>
      <c r="BL169" s="2" t="s">
        <v>1099</v>
      </c>
      <c r="BM169" s="7"/>
      <c r="BN169" s="7"/>
      <c r="BO169" s="4"/>
      <c r="BP169" s="8"/>
      <c r="BQ169" s="4"/>
      <c r="BR169" s="8"/>
      <c r="BS169" s="7"/>
      <c r="BT169" s="7"/>
      <c r="BU169" s="2" t="s">
        <v>107</v>
      </c>
      <c r="BV169" s="2" t="s">
        <v>95</v>
      </c>
      <c r="BW169" s="2" t="s">
        <v>453</v>
      </c>
      <c r="BX169" s="2" t="s">
        <v>989</v>
      </c>
      <c r="BY169" s="2" t="s">
        <v>110</v>
      </c>
      <c r="BZ169" s="2" t="s">
        <v>98</v>
      </c>
    </row>
    <row r="170">
      <c r="A170" s="2" t="s">
        <v>1100</v>
      </c>
      <c r="B170" s="2" t="s">
        <v>87</v>
      </c>
      <c r="C170" s="2" t="s">
        <v>1069</v>
      </c>
      <c r="D170" s="2" t="s">
        <v>89</v>
      </c>
      <c r="E170" s="2" t="s">
        <v>910</v>
      </c>
      <c r="F170" s="2" t="s">
        <v>1092</v>
      </c>
      <c r="G170" s="2" t="s">
        <v>1092</v>
      </c>
      <c r="H170" s="2" t="s">
        <v>1092</v>
      </c>
      <c r="I170" s="2" t="s">
        <v>1093</v>
      </c>
      <c r="J170" s="2" t="s">
        <v>93</v>
      </c>
      <c r="K170" s="2" t="s">
        <v>174</v>
      </c>
      <c r="L170" s="3">
        <v>47.09</v>
      </c>
      <c r="M170" s="3">
        <v>49.44</v>
      </c>
      <c r="N170" s="3">
        <v>98.99</v>
      </c>
      <c r="O170" s="2" t="s">
        <v>95</v>
      </c>
      <c r="P170" s="2" t="s">
        <v>96</v>
      </c>
      <c r="Q170" s="2" t="s">
        <v>97</v>
      </c>
      <c r="R170" s="2" t="s">
        <v>98</v>
      </c>
      <c r="S170" s="2" t="s">
        <v>1101</v>
      </c>
      <c r="T170" s="2" t="s">
        <v>98</v>
      </c>
      <c r="U170" s="2" t="s">
        <v>117</v>
      </c>
      <c r="V170" s="2" t="s">
        <v>331</v>
      </c>
      <c r="W170" s="2" t="s">
        <v>297</v>
      </c>
      <c r="X170" s="2" t="s">
        <v>102</v>
      </c>
      <c r="Y170" s="2" t="s">
        <v>467</v>
      </c>
      <c r="Z170" s="4">
        <v>137</v>
      </c>
      <c r="AA170" s="4">
        <f>=ROUNDDOWN(11.4166666666667,0)</f>
      </c>
      <c r="AB170" s="5">
        <v>12</v>
      </c>
      <c r="AC170" s="2" t="s">
        <v>360</v>
      </c>
      <c r="AD170" s="4">
        <v>100</v>
      </c>
      <c r="AE170" s="4">
        <v>250</v>
      </c>
      <c r="AF170" s="6">
        <v>63</v>
      </c>
      <c r="AG170" s="6"/>
      <c r="AH170" s="7">
        <v>1</v>
      </c>
      <c r="AI170" s="4"/>
      <c r="AJ170" s="4">
        <f>=ROUNDDOWN({0},0)</f>
      </c>
      <c r="AK170" s="5"/>
      <c r="AL170" s="2" t="s">
        <v>98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98</v>
      </c>
      <c r="BD170" s="8" t="s">
        <v>98</v>
      </c>
      <c r="BE170" s="4" t="s">
        <v>98</v>
      </c>
      <c r="BF170" s="8" t="s">
        <v>98</v>
      </c>
      <c r="BG170" s="7" t="s">
        <v>98</v>
      </c>
      <c r="BH170" s="7" t="s">
        <v>98</v>
      </c>
      <c r="BI170" s="7"/>
      <c r="BJ170" s="4">
        <v>14</v>
      </c>
      <c r="BK170" s="8">
        <v>689.91</v>
      </c>
      <c r="BL170" s="2" t="s">
        <v>1102</v>
      </c>
      <c r="BM170" s="7"/>
      <c r="BN170" s="7"/>
      <c r="BO170" s="4"/>
      <c r="BP170" s="8"/>
      <c r="BQ170" s="4"/>
      <c r="BR170" s="8"/>
      <c r="BS170" s="7"/>
      <c r="BT170" s="7"/>
      <c r="BU170" s="2" t="s">
        <v>107</v>
      </c>
      <c r="BV170" s="2" t="s">
        <v>95</v>
      </c>
      <c r="BW170" s="2" t="s">
        <v>122</v>
      </c>
      <c r="BX170" s="2" t="s">
        <v>1103</v>
      </c>
      <c r="BY170" s="2" t="s">
        <v>110</v>
      </c>
      <c r="BZ170" s="2" t="s">
        <v>98</v>
      </c>
    </row>
    <row r="171">
      <c r="A171" s="2" t="s">
        <v>1104</v>
      </c>
      <c r="B171" s="2" t="s">
        <v>87</v>
      </c>
      <c r="C171" s="2" t="s">
        <v>1069</v>
      </c>
      <c r="D171" s="2" t="s">
        <v>89</v>
      </c>
      <c r="E171" s="2" t="s">
        <v>89</v>
      </c>
      <c r="F171" s="2" t="s">
        <v>1092</v>
      </c>
      <c r="G171" s="2" t="s">
        <v>1092</v>
      </c>
      <c r="H171" s="2" t="s">
        <v>1092</v>
      </c>
      <c r="I171" s="2" t="s">
        <v>1105</v>
      </c>
      <c r="J171" s="2" t="s">
        <v>93</v>
      </c>
      <c r="K171" s="2" t="s">
        <v>294</v>
      </c>
      <c r="L171" s="3">
        <v>93.25</v>
      </c>
      <c r="M171" s="3">
        <v>97.91</v>
      </c>
      <c r="N171" s="3">
        <v>206.99</v>
      </c>
      <c r="O171" s="2" t="s">
        <v>95</v>
      </c>
      <c r="P171" s="2" t="s">
        <v>96</v>
      </c>
      <c r="Q171" s="2" t="s">
        <v>97</v>
      </c>
      <c r="R171" s="2" t="s">
        <v>98</v>
      </c>
      <c r="S171" s="2" t="s">
        <v>98</v>
      </c>
      <c r="T171" s="2" t="s">
        <v>98</v>
      </c>
      <c r="U171" s="2" t="s">
        <v>157</v>
      </c>
      <c r="V171" s="2" t="s">
        <v>331</v>
      </c>
      <c r="W171" s="2" t="s">
        <v>297</v>
      </c>
      <c r="X171" s="2" t="s">
        <v>102</v>
      </c>
      <c r="Y171" s="2" t="s">
        <v>516</v>
      </c>
      <c r="Z171" s="4">
        <v>206</v>
      </c>
      <c r="AA171" s="4">
        <f>=ROUNDDOWN(34.3333333333333,0)</f>
      </c>
      <c r="AB171" s="5">
        <v>6</v>
      </c>
      <c r="AC171" s="2" t="s">
        <v>98</v>
      </c>
      <c r="AD171" s="4"/>
      <c r="AE171" s="4"/>
      <c r="AF171" s="6">
        <v>63</v>
      </c>
      <c r="AG171" s="6"/>
      <c r="AH171" s="7">
        <v>1</v>
      </c>
      <c r="AI171" s="4"/>
      <c r="AJ171" s="4">
        <f>=ROUNDDOWN({0},0)</f>
      </c>
      <c r="AK171" s="5"/>
      <c r="AL171" s="2" t="s">
        <v>98</v>
      </c>
      <c r="AM171" s="4"/>
      <c r="AN171" s="4"/>
      <c r="AO171" s="7">
        <v>0</v>
      </c>
      <c r="AP171" s="4"/>
      <c r="AQ171" s="8"/>
      <c r="AR171" s="4">
        <v>1</v>
      </c>
      <c r="AS171" s="8">
        <v>120.96</v>
      </c>
      <c r="AT171" s="7">
        <v>-1</v>
      </c>
      <c r="AU171" s="7">
        <v>-1</v>
      </c>
      <c r="AV171" s="4"/>
      <c r="AW171" s="8"/>
      <c r="AX171" s="4">
        <v>1</v>
      </c>
      <c r="AY171" s="8">
        <v>120.96</v>
      </c>
      <c r="AZ171" s="7">
        <v>-1</v>
      </c>
      <c r="BA171" s="7">
        <v>-1</v>
      </c>
      <c r="BB171" s="7"/>
      <c r="BC171" s="4" t="s">
        <v>98</v>
      </c>
      <c r="BD171" s="8" t="s">
        <v>98</v>
      </c>
      <c r="BE171" s="4">
        <v>1</v>
      </c>
      <c r="BF171" s="8">
        <v>120.96</v>
      </c>
      <c r="BG171" s="7" t="s">
        <v>98</v>
      </c>
      <c r="BH171" s="7" t="s">
        <v>98</v>
      </c>
      <c r="BI171" s="7"/>
      <c r="BJ171" s="4"/>
      <c r="BK171" s="8"/>
      <c r="BL171" s="2" t="s">
        <v>299</v>
      </c>
      <c r="BM171" s="7"/>
      <c r="BN171" s="7"/>
      <c r="BO171" s="4"/>
      <c r="BP171" s="8"/>
      <c r="BQ171" s="4">
        <v>1</v>
      </c>
      <c r="BR171" s="8">
        <v>120.96</v>
      </c>
      <c r="BS171" s="7">
        <v>-1</v>
      </c>
      <c r="BT171" s="7">
        <v>-1</v>
      </c>
      <c r="BU171" s="2" t="s">
        <v>107</v>
      </c>
      <c r="BV171" s="2" t="s">
        <v>95</v>
      </c>
      <c r="BW171" s="2" t="s">
        <v>289</v>
      </c>
      <c r="BX171" s="2" t="s">
        <v>1106</v>
      </c>
      <c r="BY171" s="2" t="s">
        <v>110</v>
      </c>
      <c r="BZ171" s="2" t="s">
        <v>98</v>
      </c>
    </row>
    <row r="172">
      <c r="A172" s="2" t="s">
        <v>1107</v>
      </c>
      <c r="B172" s="2" t="s">
        <v>87</v>
      </c>
      <c r="C172" s="2" t="s">
        <v>1069</v>
      </c>
      <c r="D172" s="2" t="s">
        <v>89</v>
      </c>
      <c r="E172" s="2" t="s">
        <v>89</v>
      </c>
      <c r="F172" s="2" t="s">
        <v>1092</v>
      </c>
      <c r="G172" s="2" t="s">
        <v>1092</v>
      </c>
      <c r="H172" s="2" t="s">
        <v>1092</v>
      </c>
      <c r="I172" s="2" t="s">
        <v>1105</v>
      </c>
      <c r="J172" s="2" t="s">
        <v>93</v>
      </c>
      <c r="K172" s="2" t="s">
        <v>421</v>
      </c>
      <c r="L172" s="3">
        <v>93.25</v>
      </c>
      <c r="M172" s="3">
        <v>97.91</v>
      </c>
      <c r="N172" s="3">
        <v>206.99</v>
      </c>
      <c r="O172" s="2" t="s">
        <v>95</v>
      </c>
      <c r="P172" s="2" t="s">
        <v>295</v>
      </c>
      <c r="Q172" s="2" t="s">
        <v>97</v>
      </c>
      <c r="R172" s="2" t="s">
        <v>98</v>
      </c>
      <c r="S172" s="2" t="s">
        <v>98</v>
      </c>
      <c r="T172" s="2" t="s">
        <v>98</v>
      </c>
      <c r="U172" s="2" t="s">
        <v>157</v>
      </c>
      <c r="V172" s="2" t="s">
        <v>296</v>
      </c>
      <c r="W172" s="2" t="s">
        <v>297</v>
      </c>
      <c r="X172" s="2" t="s">
        <v>102</v>
      </c>
      <c r="Y172" s="2" t="s">
        <v>848</v>
      </c>
      <c r="Z172" s="4">
        <v>79</v>
      </c>
      <c r="AA172" s="4">
        <f>=ROUNDDOWN(15.8,0)</f>
      </c>
      <c r="AB172" s="5">
        <v>5</v>
      </c>
      <c r="AC172" s="2" t="s">
        <v>98</v>
      </c>
      <c r="AD172" s="4"/>
      <c r="AE172" s="4"/>
      <c r="AF172" s="6">
        <v>63</v>
      </c>
      <c r="AG172" s="6"/>
      <c r="AH172" s="7">
        <v>1</v>
      </c>
      <c r="AI172" s="4"/>
      <c r="AJ172" s="4">
        <f>=ROUNDDOWN({0},0)</f>
      </c>
      <c r="AK172" s="5"/>
      <c r="AL172" s="2" t="s">
        <v>98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98</v>
      </c>
      <c r="BD172" s="8" t="s">
        <v>98</v>
      </c>
      <c r="BE172" s="4" t="s">
        <v>98</v>
      </c>
      <c r="BF172" s="8" t="s">
        <v>98</v>
      </c>
      <c r="BG172" s="7" t="s">
        <v>98</v>
      </c>
      <c r="BH172" s="7" t="s">
        <v>98</v>
      </c>
      <c r="BI172" s="7"/>
      <c r="BJ172" s="4">
        <v>2</v>
      </c>
      <c r="BK172" s="8">
        <v>184.32</v>
      </c>
      <c r="BL172" s="2" t="s">
        <v>895</v>
      </c>
      <c r="BM172" s="7"/>
      <c r="BN172" s="7"/>
      <c r="BO172" s="4"/>
      <c r="BP172" s="8"/>
      <c r="BQ172" s="4"/>
      <c r="BR172" s="8"/>
      <c r="BS172" s="7"/>
      <c r="BT172" s="7"/>
      <c r="BU172" s="2" t="s">
        <v>107</v>
      </c>
      <c r="BV172" s="2" t="s">
        <v>95</v>
      </c>
      <c r="BW172" s="2" t="s">
        <v>300</v>
      </c>
      <c r="BX172" s="2" t="s">
        <v>98</v>
      </c>
      <c r="BY172" s="2" t="s">
        <v>110</v>
      </c>
      <c r="BZ172" s="2" t="s">
        <v>98</v>
      </c>
    </row>
    <row r="173">
      <c r="A173" s="2" t="s">
        <v>1108</v>
      </c>
      <c r="B173" s="2" t="s">
        <v>87</v>
      </c>
      <c r="C173" s="2" t="s">
        <v>1069</v>
      </c>
      <c r="D173" s="2" t="s">
        <v>89</v>
      </c>
      <c r="E173" s="2" t="s">
        <v>89</v>
      </c>
      <c r="F173" s="2" t="s">
        <v>1092</v>
      </c>
      <c r="G173" s="2" t="s">
        <v>1092</v>
      </c>
      <c r="H173" s="2" t="s">
        <v>1092</v>
      </c>
      <c r="I173" s="2" t="s">
        <v>1105</v>
      </c>
      <c r="J173" s="2" t="s">
        <v>93</v>
      </c>
      <c r="K173" s="2" t="s">
        <v>174</v>
      </c>
      <c r="L173" s="3">
        <v>93.25</v>
      </c>
      <c r="M173" s="3">
        <v>97.91</v>
      </c>
      <c r="N173" s="3">
        <v>206.99</v>
      </c>
      <c r="O173" s="2" t="s">
        <v>95</v>
      </c>
      <c r="P173" s="2" t="s">
        <v>295</v>
      </c>
      <c r="Q173" s="2" t="s">
        <v>97</v>
      </c>
      <c r="R173" s="2" t="s">
        <v>98</v>
      </c>
      <c r="S173" s="2" t="s">
        <v>98</v>
      </c>
      <c r="T173" s="2" t="s">
        <v>98</v>
      </c>
      <c r="U173" s="2" t="s">
        <v>157</v>
      </c>
      <c r="V173" s="2" t="s">
        <v>296</v>
      </c>
      <c r="W173" s="2" t="s">
        <v>297</v>
      </c>
      <c r="X173" s="2" t="s">
        <v>102</v>
      </c>
      <c r="Y173" s="2" t="s">
        <v>848</v>
      </c>
      <c r="Z173" s="4">
        <v>90</v>
      </c>
      <c r="AA173" s="4">
        <f>=ROUNDDOWN(22.5,0)</f>
      </c>
      <c r="AB173" s="5">
        <v>4</v>
      </c>
      <c r="AC173" s="2" t="s">
        <v>98</v>
      </c>
      <c r="AD173" s="4"/>
      <c r="AE173" s="4"/>
      <c r="AF173" s="6">
        <v>63</v>
      </c>
      <c r="AG173" s="6"/>
      <c r="AH173" s="7">
        <v>1</v>
      </c>
      <c r="AI173" s="4"/>
      <c r="AJ173" s="4">
        <f>=ROUNDDOWN({0},0)</f>
      </c>
      <c r="AK173" s="5"/>
      <c r="AL173" s="2" t="s">
        <v>98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98</v>
      </c>
      <c r="BD173" s="8" t="s">
        <v>98</v>
      </c>
      <c r="BE173" s="4" t="s">
        <v>98</v>
      </c>
      <c r="BF173" s="8" t="s">
        <v>98</v>
      </c>
      <c r="BG173" s="7" t="s">
        <v>98</v>
      </c>
      <c r="BH173" s="7" t="s">
        <v>98</v>
      </c>
      <c r="BI173" s="7"/>
      <c r="BJ173" s="4"/>
      <c r="BK173" s="8"/>
      <c r="BL173" s="2" t="s">
        <v>98</v>
      </c>
      <c r="BM173" s="7"/>
      <c r="BN173" s="7"/>
      <c r="BO173" s="4"/>
      <c r="BP173" s="8"/>
      <c r="BQ173" s="4"/>
      <c r="BR173" s="8"/>
      <c r="BS173" s="7"/>
      <c r="BT173" s="7"/>
      <c r="BU173" s="2" t="s">
        <v>107</v>
      </c>
      <c r="BV173" s="2" t="s">
        <v>95</v>
      </c>
      <c r="BW173" s="2" t="s">
        <v>300</v>
      </c>
      <c r="BX173" s="2" t="s">
        <v>98</v>
      </c>
      <c r="BY173" s="2" t="s">
        <v>110</v>
      </c>
      <c r="BZ173" s="2" t="s">
        <v>98</v>
      </c>
    </row>
    <row r="174">
      <c r="A174" s="2" t="s">
        <v>1109</v>
      </c>
      <c r="B174" s="2" t="s">
        <v>87</v>
      </c>
      <c r="C174" s="2" t="s">
        <v>1069</v>
      </c>
      <c r="D174" s="2" t="s">
        <v>525</v>
      </c>
      <c r="E174" s="2" t="s">
        <v>326</v>
      </c>
      <c r="F174" s="2" t="s">
        <v>1110</v>
      </c>
      <c r="G174" s="2" t="s">
        <v>1110</v>
      </c>
      <c r="H174" s="2" t="s">
        <v>1110</v>
      </c>
      <c r="I174" s="2" t="s">
        <v>1111</v>
      </c>
      <c r="J174" s="2" t="s">
        <v>93</v>
      </c>
      <c r="K174" s="2" t="s">
        <v>277</v>
      </c>
      <c r="L174" s="3">
        <v>41.7</v>
      </c>
      <c r="M174" s="3">
        <v>43.78</v>
      </c>
      <c r="N174" s="3">
        <v>84.99</v>
      </c>
      <c r="O174" s="2" t="s">
        <v>95</v>
      </c>
      <c r="P174" s="2" t="s">
        <v>115</v>
      </c>
      <c r="Q174" s="2" t="s">
        <v>97</v>
      </c>
      <c r="R174" s="2" t="s">
        <v>98</v>
      </c>
      <c r="S174" s="2" t="s">
        <v>1112</v>
      </c>
      <c r="T174" s="2" t="s">
        <v>98</v>
      </c>
      <c r="U174" s="2" t="s">
        <v>117</v>
      </c>
      <c r="V174" s="2" t="s">
        <v>331</v>
      </c>
      <c r="W174" s="2" t="s">
        <v>102</v>
      </c>
      <c r="X174" s="2" t="s">
        <v>98</v>
      </c>
      <c r="Y174" s="2" t="s">
        <v>842</v>
      </c>
      <c r="Z174" s="4">
        <v>63</v>
      </c>
      <c r="AA174" s="4">
        <f>=ROUNDDOWN(31.5,0)</f>
      </c>
      <c r="AB174" s="5">
        <v>2</v>
      </c>
      <c r="AC174" s="2" t="s">
        <v>98</v>
      </c>
      <c r="AD174" s="4"/>
      <c r="AE174" s="4"/>
      <c r="AF174" s="6">
        <v>63</v>
      </c>
      <c r="AG174" s="6"/>
      <c r="AH174" s="7">
        <v>1</v>
      </c>
      <c r="AI174" s="4"/>
      <c r="AJ174" s="4">
        <f>=ROUNDDOWN({0},0)</f>
      </c>
      <c r="AK174" s="5"/>
      <c r="AL174" s="2" t="s">
        <v>98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>
        <v>3</v>
      </c>
      <c r="BK174" s="8">
        <v>133.58</v>
      </c>
      <c r="BL174" s="2" t="s">
        <v>1113</v>
      </c>
      <c r="BM174" s="7"/>
      <c r="BN174" s="7"/>
      <c r="BO174" s="4"/>
      <c r="BP174" s="8"/>
      <c r="BQ174" s="4"/>
      <c r="BR174" s="8"/>
      <c r="BS174" s="7"/>
      <c r="BT174" s="7"/>
      <c r="BU174" s="2" t="s">
        <v>107</v>
      </c>
      <c r="BV174" s="2" t="s">
        <v>95</v>
      </c>
      <c r="BW174" s="2" t="s">
        <v>368</v>
      </c>
      <c r="BX174" s="2" t="s">
        <v>248</v>
      </c>
      <c r="BY174" s="2" t="s">
        <v>110</v>
      </c>
      <c r="BZ174" s="2" t="s">
        <v>98</v>
      </c>
    </row>
    <row r="175">
      <c r="A175" s="2" t="s">
        <v>1114</v>
      </c>
      <c r="B175" s="2" t="s">
        <v>87</v>
      </c>
      <c r="C175" s="2" t="s">
        <v>1069</v>
      </c>
      <c r="D175" s="2" t="s">
        <v>392</v>
      </c>
      <c r="E175" s="2" t="s">
        <v>393</v>
      </c>
      <c r="F175" s="2" t="s">
        <v>1115</v>
      </c>
      <c r="G175" s="2" t="s">
        <v>1115</v>
      </c>
      <c r="H175" s="2" t="s">
        <v>1115</v>
      </c>
      <c r="I175" s="2" t="s">
        <v>1116</v>
      </c>
      <c r="J175" s="2" t="s">
        <v>93</v>
      </c>
      <c r="K175" s="2" t="s">
        <v>294</v>
      </c>
      <c r="L175" s="3">
        <v>104.91</v>
      </c>
      <c r="M175" s="3">
        <v>110.16</v>
      </c>
      <c r="N175" s="3">
        <v>229.49</v>
      </c>
      <c r="O175" s="2" t="s">
        <v>95</v>
      </c>
      <c r="P175" s="2" t="s">
        <v>134</v>
      </c>
      <c r="Q175" s="2" t="s">
        <v>97</v>
      </c>
      <c r="R175" s="2" t="s">
        <v>98</v>
      </c>
      <c r="S175" s="2" t="s">
        <v>1117</v>
      </c>
      <c r="T175" s="2" t="s">
        <v>98</v>
      </c>
      <c r="U175" s="2" t="s">
        <v>157</v>
      </c>
      <c r="V175" s="2" t="s">
        <v>439</v>
      </c>
      <c r="W175" s="2" t="s">
        <v>102</v>
      </c>
      <c r="X175" s="2" t="s">
        <v>297</v>
      </c>
      <c r="Y175" s="2" t="s">
        <v>930</v>
      </c>
      <c r="Z175" s="4">
        <v>96</v>
      </c>
      <c r="AA175" s="4">
        <f>=ROUNDDOWN(48,0)</f>
      </c>
      <c r="AB175" s="5">
        <v>2</v>
      </c>
      <c r="AC175" s="2" t="s">
        <v>98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98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/>
      <c r="BD175" s="8"/>
      <c r="BE175" s="4"/>
      <c r="BF175" s="8"/>
      <c r="BG175" s="7"/>
      <c r="BH175" s="7"/>
      <c r="BI175" s="7"/>
      <c r="BJ175" s="4">
        <v>2</v>
      </c>
      <c r="BK175" s="8">
        <v>287.07</v>
      </c>
      <c r="BL175" s="2" t="s">
        <v>1118</v>
      </c>
      <c r="BM175" s="7"/>
      <c r="BN175" s="7"/>
      <c r="BO175" s="4"/>
      <c r="BP175" s="8"/>
      <c r="BQ175" s="4"/>
      <c r="BR175" s="8"/>
      <c r="BS175" s="7"/>
      <c r="BT175" s="7"/>
      <c r="BU175" s="2" t="s">
        <v>107</v>
      </c>
      <c r="BV175" s="2" t="s">
        <v>95</v>
      </c>
      <c r="BW175" s="2" t="s">
        <v>932</v>
      </c>
      <c r="BX175" s="2" t="s">
        <v>1040</v>
      </c>
      <c r="BY175" s="2" t="s">
        <v>110</v>
      </c>
      <c r="BZ175" s="2" t="s">
        <v>98</v>
      </c>
    </row>
    <row r="176">
      <c r="A176" s="2" t="s">
        <v>1119</v>
      </c>
      <c r="B176" s="2" t="s">
        <v>87</v>
      </c>
      <c r="C176" s="2" t="s">
        <v>1069</v>
      </c>
      <c r="D176" s="2" t="s">
        <v>392</v>
      </c>
      <c r="E176" s="2" t="s">
        <v>417</v>
      </c>
      <c r="F176" s="2" t="s">
        <v>1120</v>
      </c>
      <c r="G176" s="2" t="s">
        <v>1120</v>
      </c>
      <c r="H176" s="2" t="s">
        <v>1120</v>
      </c>
      <c r="I176" s="2" t="s">
        <v>1121</v>
      </c>
      <c r="J176" s="2" t="s">
        <v>93</v>
      </c>
      <c r="K176" s="2" t="s">
        <v>294</v>
      </c>
      <c r="L176" s="3">
        <v>112.71</v>
      </c>
      <c r="M176" s="3">
        <v>118.35</v>
      </c>
      <c r="N176" s="3">
        <v>199.74</v>
      </c>
      <c r="O176" s="2" t="s">
        <v>95</v>
      </c>
      <c r="P176" s="2" t="s">
        <v>134</v>
      </c>
      <c r="Q176" s="2" t="s">
        <v>97</v>
      </c>
      <c r="R176" s="2" t="s">
        <v>98</v>
      </c>
      <c r="S176" s="2" t="s">
        <v>1122</v>
      </c>
      <c r="T176" s="2" t="s">
        <v>98</v>
      </c>
      <c r="U176" s="2" t="s">
        <v>117</v>
      </c>
      <c r="V176" s="2" t="s">
        <v>439</v>
      </c>
      <c r="W176" s="2" t="s">
        <v>102</v>
      </c>
      <c r="X176" s="2" t="s">
        <v>297</v>
      </c>
      <c r="Y176" s="2" t="s">
        <v>1123</v>
      </c>
      <c r="Z176" s="4">
        <v>55</v>
      </c>
      <c r="AA176" s="4">
        <f>=ROUNDDOWN(17.1875,0)</f>
      </c>
      <c r="AB176" s="5">
        <v>3.2</v>
      </c>
      <c r="AC176" s="2" t="s">
        <v>98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98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/>
      <c r="BD176" s="8"/>
      <c r="BE176" s="4"/>
      <c r="BF176" s="8"/>
      <c r="BG176" s="7"/>
      <c r="BH176" s="7"/>
      <c r="BI176" s="7"/>
      <c r="BJ176" s="4">
        <v>1</v>
      </c>
      <c r="BK176" s="8">
        <v>109.93</v>
      </c>
      <c r="BL176" s="2" t="s">
        <v>1124</v>
      </c>
      <c r="BM176" s="7"/>
      <c r="BN176" s="7"/>
      <c r="BO176" s="4"/>
      <c r="BP176" s="8"/>
      <c r="BQ176" s="4"/>
      <c r="BR176" s="8"/>
      <c r="BS176" s="7"/>
      <c r="BT176" s="7"/>
      <c r="BU176" s="2" t="s">
        <v>107</v>
      </c>
      <c r="BV176" s="2" t="s">
        <v>95</v>
      </c>
      <c r="BW176" s="2" t="s">
        <v>932</v>
      </c>
      <c r="BX176" s="2" t="s">
        <v>1125</v>
      </c>
      <c r="BY176" s="2" t="s">
        <v>110</v>
      </c>
      <c r="BZ176" s="2" t="s">
        <v>98</v>
      </c>
    </row>
    <row r="177">
      <c r="A177" s="2" t="s">
        <v>1126</v>
      </c>
      <c r="B177" s="2" t="s">
        <v>87</v>
      </c>
      <c r="C177" s="2" t="s">
        <v>1069</v>
      </c>
      <c r="D177" s="2" t="s">
        <v>392</v>
      </c>
      <c r="E177" s="2" t="s">
        <v>417</v>
      </c>
      <c r="F177" s="2" t="s">
        <v>1115</v>
      </c>
      <c r="G177" s="2" t="s">
        <v>1115</v>
      </c>
      <c r="H177" s="2" t="s">
        <v>1115</v>
      </c>
      <c r="I177" s="2" t="s">
        <v>1127</v>
      </c>
      <c r="J177" s="2" t="s">
        <v>1128</v>
      </c>
      <c r="K177" s="2" t="s">
        <v>473</v>
      </c>
      <c r="L177" s="3">
        <v>74.11</v>
      </c>
      <c r="M177" s="3">
        <v>77.82</v>
      </c>
      <c r="N177" s="3">
        <v>141.94</v>
      </c>
      <c r="O177" s="2" t="s">
        <v>95</v>
      </c>
      <c r="P177" s="2" t="s">
        <v>163</v>
      </c>
      <c r="Q177" s="2" t="s">
        <v>97</v>
      </c>
      <c r="R177" s="2" t="s">
        <v>98</v>
      </c>
      <c r="S177" s="2" t="s">
        <v>1129</v>
      </c>
      <c r="T177" s="2" t="s">
        <v>98</v>
      </c>
      <c r="U177" s="2" t="s">
        <v>117</v>
      </c>
      <c r="V177" s="2" t="s">
        <v>118</v>
      </c>
      <c r="W177" s="2" t="s">
        <v>102</v>
      </c>
      <c r="X177" s="2" t="s">
        <v>297</v>
      </c>
      <c r="Y177" s="2" t="s">
        <v>386</v>
      </c>
      <c r="Z177" s="4">
        <v>319</v>
      </c>
      <c r="AA177" s="4">
        <f>=ROUNDDOWN(16.7894736842105,0)</f>
      </c>
      <c r="AB177" s="5">
        <v>19</v>
      </c>
      <c r="AC177" s="2" t="s">
        <v>167</v>
      </c>
      <c r="AD177" s="4">
        <v>7</v>
      </c>
      <c r="AE177" s="4">
        <v>260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98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98</v>
      </c>
      <c r="AW177" s="8" t="s">
        <v>98</v>
      </c>
      <c r="AX177" s="4" t="s">
        <v>98</v>
      </c>
      <c r="AY177" s="8" t="s">
        <v>98</v>
      </c>
      <c r="AZ177" s="7" t="s">
        <v>98</v>
      </c>
      <c r="BA177" s="7" t="s">
        <v>98</v>
      </c>
      <c r="BB177" s="7"/>
      <c r="BC177" s="4" t="s">
        <v>98</v>
      </c>
      <c r="BD177" s="8" t="s">
        <v>98</v>
      </c>
      <c r="BE177" s="4" t="s">
        <v>98</v>
      </c>
      <c r="BF177" s="8" t="s">
        <v>98</v>
      </c>
      <c r="BG177" s="7" t="s">
        <v>98</v>
      </c>
      <c r="BH177" s="7" t="s">
        <v>98</v>
      </c>
      <c r="BI177" s="7"/>
      <c r="BJ177" s="4">
        <v>18</v>
      </c>
      <c r="BK177" s="8">
        <v>1526.11</v>
      </c>
      <c r="BL177" s="2" t="s">
        <v>1130</v>
      </c>
      <c r="BM177" s="7"/>
      <c r="BN177" s="7"/>
      <c r="BO177" s="4"/>
      <c r="BP177" s="8"/>
      <c r="BQ177" s="4"/>
      <c r="BR177" s="8"/>
      <c r="BS177" s="7"/>
      <c r="BT177" s="7"/>
      <c r="BU177" s="2" t="s">
        <v>107</v>
      </c>
      <c r="BV177" s="2" t="s">
        <v>95</v>
      </c>
      <c r="BW177" s="2" t="s">
        <v>837</v>
      </c>
      <c r="BX177" s="2" t="s">
        <v>1131</v>
      </c>
      <c r="BY177" s="2" t="s">
        <v>110</v>
      </c>
      <c r="BZ177" s="2" t="s">
        <v>98</v>
      </c>
    </row>
    <row r="178">
      <c r="A178" s="2" t="s">
        <v>1132</v>
      </c>
      <c r="B178" s="2" t="s">
        <v>87</v>
      </c>
      <c r="C178" s="2" t="s">
        <v>1069</v>
      </c>
      <c r="D178" s="2" t="s">
        <v>392</v>
      </c>
      <c r="E178" s="2" t="s">
        <v>417</v>
      </c>
      <c r="F178" s="2" t="s">
        <v>1115</v>
      </c>
      <c r="G178" s="2" t="s">
        <v>1115</v>
      </c>
      <c r="H178" s="2" t="s">
        <v>1115</v>
      </c>
      <c r="I178" s="2" t="s">
        <v>1133</v>
      </c>
      <c r="J178" s="2" t="s">
        <v>1134</v>
      </c>
      <c r="K178" s="2" t="s">
        <v>473</v>
      </c>
      <c r="L178" s="3">
        <v>111.24</v>
      </c>
      <c r="M178" s="3">
        <v>116.8</v>
      </c>
      <c r="N178" s="3">
        <v>209.94</v>
      </c>
      <c r="O178" s="2" t="s">
        <v>95</v>
      </c>
      <c r="P178" s="2" t="s">
        <v>163</v>
      </c>
      <c r="Q178" s="2" t="s">
        <v>97</v>
      </c>
      <c r="R178" s="2" t="s">
        <v>98</v>
      </c>
      <c r="S178" s="2" t="s">
        <v>1135</v>
      </c>
      <c r="T178" s="2" t="s">
        <v>98</v>
      </c>
      <c r="U178" s="2" t="s">
        <v>117</v>
      </c>
      <c r="V178" s="2" t="s">
        <v>118</v>
      </c>
      <c r="W178" s="2" t="s">
        <v>102</v>
      </c>
      <c r="X178" s="2" t="s">
        <v>297</v>
      </c>
      <c r="Y178" s="2" t="s">
        <v>386</v>
      </c>
      <c r="Z178" s="4">
        <v>252</v>
      </c>
      <c r="AA178" s="4">
        <f>=ROUNDDOWN(15.75,0)</f>
      </c>
      <c r="AB178" s="5">
        <v>16</v>
      </c>
      <c r="AC178" s="2" t="s">
        <v>105</v>
      </c>
      <c r="AD178" s="4">
        <v>150</v>
      </c>
      <c r="AE178" s="4">
        <v>350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98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98</v>
      </c>
      <c r="AW178" s="8" t="s">
        <v>98</v>
      </c>
      <c r="AX178" s="4" t="s">
        <v>98</v>
      </c>
      <c r="AY178" s="8" t="s">
        <v>98</v>
      </c>
      <c r="AZ178" s="7" t="s">
        <v>98</v>
      </c>
      <c r="BA178" s="7" t="s">
        <v>98</v>
      </c>
      <c r="BB178" s="7"/>
      <c r="BC178" s="4" t="s">
        <v>98</v>
      </c>
      <c r="BD178" s="8" t="s">
        <v>98</v>
      </c>
      <c r="BE178" s="4" t="s">
        <v>98</v>
      </c>
      <c r="BF178" s="8" t="s">
        <v>98</v>
      </c>
      <c r="BG178" s="7" t="s">
        <v>98</v>
      </c>
      <c r="BH178" s="7" t="s">
        <v>98</v>
      </c>
      <c r="BI178" s="7"/>
      <c r="BJ178" s="4">
        <v>13</v>
      </c>
      <c r="BK178" s="8">
        <v>1541.16</v>
      </c>
      <c r="BL178" s="2" t="s">
        <v>1136</v>
      </c>
      <c r="BM178" s="7"/>
      <c r="BN178" s="7"/>
      <c r="BO178" s="4"/>
      <c r="BP178" s="8"/>
      <c r="BQ178" s="4"/>
      <c r="BR178" s="8"/>
      <c r="BS178" s="7"/>
      <c r="BT178" s="7"/>
      <c r="BU178" s="2" t="s">
        <v>107</v>
      </c>
      <c r="BV178" s="2" t="s">
        <v>95</v>
      </c>
      <c r="BW178" s="2" t="s">
        <v>837</v>
      </c>
      <c r="BX178" s="2" t="s">
        <v>197</v>
      </c>
      <c r="BY178" s="2" t="s">
        <v>110</v>
      </c>
      <c r="BZ178" s="2" t="s">
        <v>98</v>
      </c>
    </row>
    <row r="179">
      <c r="A179" s="2" t="s">
        <v>1137</v>
      </c>
      <c r="B179" s="2" t="s">
        <v>87</v>
      </c>
      <c r="C179" s="2" t="s">
        <v>1069</v>
      </c>
      <c r="D179" s="2" t="s">
        <v>392</v>
      </c>
      <c r="E179" s="2" t="s">
        <v>417</v>
      </c>
      <c r="F179" s="2" t="s">
        <v>1115</v>
      </c>
      <c r="G179" s="2" t="s">
        <v>1115</v>
      </c>
      <c r="H179" s="2" t="s">
        <v>1115</v>
      </c>
      <c r="I179" s="2" t="s">
        <v>1127</v>
      </c>
      <c r="J179" s="2" t="s">
        <v>1128</v>
      </c>
      <c r="K179" s="2" t="s">
        <v>294</v>
      </c>
      <c r="L179" s="3">
        <v>74.11</v>
      </c>
      <c r="M179" s="3">
        <v>77.82</v>
      </c>
      <c r="N179" s="3">
        <v>141.94</v>
      </c>
      <c r="O179" s="2" t="s">
        <v>95</v>
      </c>
      <c r="P179" s="2" t="s">
        <v>163</v>
      </c>
      <c r="Q179" s="2" t="s">
        <v>97</v>
      </c>
      <c r="R179" s="2" t="s">
        <v>98</v>
      </c>
      <c r="S179" s="2" t="s">
        <v>98</v>
      </c>
      <c r="T179" s="2" t="s">
        <v>98</v>
      </c>
      <c r="U179" s="2" t="s">
        <v>117</v>
      </c>
      <c r="V179" s="2" t="s">
        <v>118</v>
      </c>
      <c r="W179" s="2" t="s">
        <v>102</v>
      </c>
      <c r="X179" s="2" t="s">
        <v>297</v>
      </c>
      <c r="Y179" s="2" t="s">
        <v>1138</v>
      </c>
      <c r="Z179" s="4">
        <v>374</v>
      </c>
      <c r="AA179" s="4">
        <f>=ROUNDDOWN(12.4666666666667,0)</f>
      </c>
      <c r="AB179" s="5">
        <v>30</v>
      </c>
      <c r="AC179" s="2" t="s">
        <v>167</v>
      </c>
      <c r="AD179" s="4">
        <v>250</v>
      </c>
      <c r="AE179" s="4">
        <v>700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98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98</v>
      </c>
      <c r="AW179" s="8" t="s">
        <v>98</v>
      </c>
      <c r="AX179" s="4" t="s">
        <v>98</v>
      </c>
      <c r="AY179" s="8" t="s">
        <v>98</v>
      </c>
      <c r="AZ179" s="7" t="s">
        <v>98</v>
      </c>
      <c r="BA179" s="7" t="s">
        <v>98</v>
      </c>
      <c r="BB179" s="7"/>
      <c r="BC179" s="4" t="s">
        <v>98</v>
      </c>
      <c r="BD179" s="8" t="s">
        <v>98</v>
      </c>
      <c r="BE179" s="4" t="s">
        <v>98</v>
      </c>
      <c r="BF179" s="8" t="s">
        <v>98</v>
      </c>
      <c r="BG179" s="7" t="s">
        <v>98</v>
      </c>
      <c r="BH179" s="7" t="s">
        <v>98</v>
      </c>
      <c r="BI179" s="7"/>
      <c r="BJ179" s="4">
        <v>34</v>
      </c>
      <c r="BK179" s="8">
        <v>2801.04</v>
      </c>
      <c r="BL179" s="2" t="s">
        <v>1139</v>
      </c>
      <c r="BM179" s="7"/>
      <c r="BN179" s="7"/>
      <c r="BO179" s="4"/>
      <c r="BP179" s="8"/>
      <c r="BQ179" s="4"/>
      <c r="BR179" s="8"/>
      <c r="BS179" s="7"/>
      <c r="BT179" s="7"/>
      <c r="BU179" s="2" t="s">
        <v>107</v>
      </c>
      <c r="BV179" s="2" t="s">
        <v>95</v>
      </c>
      <c r="BW179" s="2" t="s">
        <v>149</v>
      </c>
      <c r="BX179" s="2" t="s">
        <v>782</v>
      </c>
      <c r="BY179" s="2" t="s">
        <v>110</v>
      </c>
      <c r="BZ179" s="2" t="s">
        <v>98</v>
      </c>
    </row>
    <row r="180">
      <c r="A180" s="2" t="s">
        <v>1140</v>
      </c>
      <c r="B180" s="2" t="s">
        <v>87</v>
      </c>
      <c r="C180" s="2" t="s">
        <v>1069</v>
      </c>
      <c r="D180" s="2" t="s">
        <v>392</v>
      </c>
      <c r="E180" s="2" t="s">
        <v>417</v>
      </c>
      <c r="F180" s="2" t="s">
        <v>1115</v>
      </c>
      <c r="G180" s="2" t="s">
        <v>1115</v>
      </c>
      <c r="H180" s="2" t="s">
        <v>1115</v>
      </c>
      <c r="I180" s="2" t="s">
        <v>1133</v>
      </c>
      <c r="J180" s="2" t="s">
        <v>1134</v>
      </c>
      <c r="K180" s="2" t="s">
        <v>294</v>
      </c>
      <c r="L180" s="3">
        <v>111.24</v>
      </c>
      <c r="M180" s="3">
        <v>116.8</v>
      </c>
      <c r="N180" s="3">
        <v>209.94</v>
      </c>
      <c r="O180" s="2" t="s">
        <v>95</v>
      </c>
      <c r="P180" s="2" t="s">
        <v>163</v>
      </c>
      <c r="Q180" s="2" t="s">
        <v>97</v>
      </c>
      <c r="R180" s="2" t="s">
        <v>98</v>
      </c>
      <c r="S180" s="2" t="s">
        <v>1117</v>
      </c>
      <c r="T180" s="2" t="s">
        <v>98</v>
      </c>
      <c r="U180" s="2" t="s">
        <v>117</v>
      </c>
      <c r="V180" s="2" t="s">
        <v>118</v>
      </c>
      <c r="W180" s="2" t="s">
        <v>102</v>
      </c>
      <c r="X180" s="2" t="s">
        <v>297</v>
      </c>
      <c r="Y180" s="2" t="s">
        <v>1141</v>
      </c>
      <c r="Z180" s="4">
        <v>442</v>
      </c>
      <c r="AA180" s="4">
        <f>=ROUNDDOWN(9.60869565217391,0)</f>
      </c>
      <c r="AB180" s="5">
        <v>46</v>
      </c>
      <c r="AC180" s="2" t="s">
        <v>105</v>
      </c>
      <c r="AD180" s="4">
        <v>300</v>
      </c>
      <c r="AE180" s="4">
        <v>1250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98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98</v>
      </c>
      <c r="AW180" s="8" t="s">
        <v>98</v>
      </c>
      <c r="AX180" s="4" t="s">
        <v>98</v>
      </c>
      <c r="AY180" s="8" t="s">
        <v>98</v>
      </c>
      <c r="AZ180" s="7" t="s">
        <v>98</v>
      </c>
      <c r="BA180" s="7" t="s">
        <v>98</v>
      </c>
      <c r="BB180" s="7"/>
      <c r="BC180" s="4" t="s">
        <v>98</v>
      </c>
      <c r="BD180" s="8" t="s">
        <v>98</v>
      </c>
      <c r="BE180" s="4" t="s">
        <v>98</v>
      </c>
      <c r="BF180" s="8" t="s">
        <v>98</v>
      </c>
      <c r="BG180" s="7" t="s">
        <v>98</v>
      </c>
      <c r="BH180" s="7" t="s">
        <v>98</v>
      </c>
      <c r="BI180" s="7"/>
      <c r="BJ180" s="4">
        <v>27</v>
      </c>
      <c r="BK180" s="8">
        <v>3096.43</v>
      </c>
      <c r="BL180" s="2" t="s">
        <v>1142</v>
      </c>
      <c r="BM180" s="7"/>
      <c r="BN180" s="7"/>
      <c r="BO180" s="4"/>
      <c r="BP180" s="8"/>
      <c r="BQ180" s="4"/>
      <c r="BR180" s="8"/>
      <c r="BS180" s="7"/>
      <c r="BT180" s="7"/>
      <c r="BU180" s="2" t="s">
        <v>107</v>
      </c>
      <c r="BV180" s="2" t="s">
        <v>95</v>
      </c>
      <c r="BW180" s="2" t="s">
        <v>453</v>
      </c>
      <c r="BX180" s="2" t="s">
        <v>889</v>
      </c>
      <c r="BY180" s="2" t="s">
        <v>110</v>
      </c>
      <c r="BZ180" s="2" t="s">
        <v>98</v>
      </c>
    </row>
    <row r="181">
      <c r="A181" s="2" t="s">
        <v>1143</v>
      </c>
      <c r="B181" s="2" t="s">
        <v>87</v>
      </c>
      <c r="C181" s="2" t="s">
        <v>1069</v>
      </c>
      <c r="D181" s="2" t="s">
        <v>392</v>
      </c>
      <c r="E181" s="2" t="s">
        <v>417</v>
      </c>
      <c r="F181" s="2" t="s">
        <v>1115</v>
      </c>
      <c r="G181" s="2" t="s">
        <v>1115</v>
      </c>
      <c r="H181" s="2" t="s">
        <v>1115</v>
      </c>
      <c r="I181" s="2" t="s">
        <v>1127</v>
      </c>
      <c r="J181" s="2" t="s">
        <v>1128</v>
      </c>
      <c r="K181" s="2" t="s">
        <v>421</v>
      </c>
      <c r="L181" s="3">
        <v>74.11</v>
      </c>
      <c r="M181" s="3">
        <v>77.82</v>
      </c>
      <c r="N181" s="3">
        <v>141.94</v>
      </c>
      <c r="O181" s="2" t="s">
        <v>95</v>
      </c>
      <c r="P181" s="2" t="s">
        <v>96</v>
      </c>
      <c r="Q181" s="2" t="s">
        <v>97</v>
      </c>
      <c r="R181" s="2" t="s">
        <v>98</v>
      </c>
      <c r="S181" s="2" t="s">
        <v>98</v>
      </c>
      <c r="T181" s="2" t="s">
        <v>98</v>
      </c>
      <c r="U181" s="2" t="s">
        <v>117</v>
      </c>
      <c r="V181" s="2" t="s">
        <v>118</v>
      </c>
      <c r="W181" s="2" t="s">
        <v>102</v>
      </c>
      <c r="X181" s="2" t="s">
        <v>297</v>
      </c>
      <c r="Y181" s="2" t="s">
        <v>1138</v>
      </c>
      <c r="Z181" s="4">
        <v>157</v>
      </c>
      <c r="AA181" s="4">
        <f>=ROUNDDOWN(15.7,0)</f>
      </c>
      <c r="AB181" s="5">
        <v>10</v>
      </c>
      <c r="AC181" s="2" t="s">
        <v>287</v>
      </c>
      <c r="AD181" s="4">
        <v>200</v>
      </c>
      <c r="AE181" s="4">
        <v>200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98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98</v>
      </c>
      <c r="AW181" s="8" t="s">
        <v>98</v>
      </c>
      <c r="AX181" s="4" t="s">
        <v>98</v>
      </c>
      <c r="AY181" s="8" t="s">
        <v>98</v>
      </c>
      <c r="AZ181" s="7" t="s">
        <v>98</v>
      </c>
      <c r="BA181" s="7" t="s">
        <v>98</v>
      </c>
      <c r="BB181" s="7"/>
      <c r="BC181" s="4" t="s">
        <v>98</v>
      </c>
      <c r="BD181" s="8" t="s">
        <v>98</v>
      </c>
      <c r="BE181" s="4" t="s">
        <v>98</v>
      </c>
      <c r="BF181" s="8" t="s">
        <v>98</v>
      </c>
      <c r="BG181" s="7" t="s">
        <v>98</v>
      </c>
      <c r="BH181" s="7" t="s">
        <v>98</v>
      </c>
      <c r="BI181" s="7"/>
      <c r="BJ181" s="4">
        <v>11</v>
      </c>
      <c r="BK181" s="8">
        <v>980.01</v>
      </c>
      <c r="BL181" s="2" t="s">
        <v>1144</v>
      </c>
      <c r="BM181" s="7"/>
      <c r="BN181" s="7"/>
      <c r="BO181" s="4"/>
      <c r="BP181" s="8"/>
      <c r="BQ181" s="4"/>
      <c r="BR181" s="8"/>
      <c r="BS181" s="7"/>
      <c r="BT181" s="7"/>
      <c r="BU181" s="2" t="s">
        <v>107</v>
      </c>
      <c r="BV181" s="2" t="s">
        <v>95</v>
      </c>
      <c r="BW181" s="2" t="s">
        <v>149</v>
      </c>
      <c r="BX181" s="2" t="s">
        <v>243</v>
      </c>
      <c r="BY181" s="2" t="s">
        <v>110</v>
      </c>
      <c r="BZ181" s="2" t="s">
        <v>98</v>
      </c>
    </row>
    <row r="182">
      <c r="A182" s="2" t="s">
        <v>1145</v>
      </c>
      <c r="B182" s="2" t="s">
        <v>87</v>
      </c>
      <c r="C182" s="2" t="s">
        <v>1069</v>
      </c>
      <c r="D182" s="2" t="s">
        <v>392</v>
      </c>
      <c r="E182" s="2" t="s">
        <v>417</v>
      </c>
      <c r="F182" s="2" t="s">
        <v>1115</v>
      </c>
      <c r="G182" s="2" t="s">
        <v>1115</v>
      </c>
      <c r="H182" s="2" t="s">
        <v>1115</v>
      </c>
      <c r="I182" s="2" t="s">
        <v>1133</v>
      </c>
      <c r="J182" s="2" t="s">
        <v>1134</v>
      </c>
      <c r="K182" s="2" t="s">
        <v>421</v>
      </c>
      <c r="L182" s="3">
        <v>111.24</v>
      </c>
      <c r="M182" s="3">
        <v>116.8</v>
      </c>
      <c r="N182" s="3">
        <v>209.94</v>
      </c>
      <c r="O182" s="2" t="s">
        <v>95</v>
      </c>
      <c r="P182" s="2" t="s">
        <v>96</v>
      </c>
      <c r="Q182" s="2" t="s">
        <v>97</v>
      </c>
      <c r="R182" s="2" t="s">
        <v>98</v>
      </c>
      <c r="S182" s="2" t="s">
        <v>98</v>
      </c>
      <c r="T182" s="2" t="s">
        <v>98</v>
      </c>
      <c r="U182" s="2" t="s">
        <v>117</v>
      </c>
      <c r="V182" s="2" t="s">
        <v>118</v>
      </c>
      <c r="W182" s="2" t="s">
        <v>102</v>
      </c>
      <c r="X182" s="2" t="s">
        <v>297</v>
      </c>
      <c r="Y182" s="2" t="s">
        <v>1146</v>
      </c>
      <c r="Z182" s="4">
        <v>155</v>
      </c>
      <c r="AA182" s="4">
        <f>=ROUNDDOWN(15.5,0)</f>
      </c>
      <c r="AB182" s="5">
        <v>10</v>
      </c>
      <c r="AC182" s="2" t="s">
        <v>167</v>
      </c>
      <c r="AD182" s="4">
        <v>200</v>
      </c>
      <c r="AE182" s="4">
        <v>200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98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98</v>
      </c>
      <c r="AW182" s="8" t="s">
        <v>98</v>
      </c>
      <c r="AX182" s="4" t="s">
        <v>98</v>
      </c>
      <c r="AY182" s="8" t="s">
        <v>98</v>
      </c>
      <c r="AZ182" s="7" t="s">
        <v>98</v>
      </c>
      <c r="BA182" s="7" t="s">
        <v>98</v>
      </c>
      <c r="BB182" s="7"/>
      <c r="BC182" s="4" t="s">
        <v>98</v>
      </c>
      <c r="BD182" s="8" t="s">
        <v>98</v>
      </c>
      <c r="BE182" s="4" t="s">
        <v>98</v>
      </c>
      <c r="BF182" s="8" t="s">
        <v>98</v>
      </c>
      <c r="BG182" s="7" t="s">
        <v>98</v>
      </c>
      <c r="BH182" s="7" t="s">
        <v>98</v>
      </c>
      <c r="BI182" s="7"/>
      <c r="BJ182" s="4">
        <v>8</v>
      </c>
      <c r="BK182" s="8">
        <v>1021.64</v>
      </c>
      <c r="BL182" s="2" t="s">
        <v>428</v>
      </c>
      <c r="BM182" s="7"/>
      <c r="BN182" s="7"/>
      <c r="BO182" s="4"/>
      <c r="BP182" s="8"/>
      <c r="BQ182" s="4"/>
      <c r="BR182" s="8"/>
      <c r="BS182" s="7"/>
      <c r="BT182" s="7"/>
      <c r="BU182" s="2" t="s">
        <v>107</v>
      </c>
      <c r="BV182" s="2" t="s">
        <v>95</v>
      </c>
      <c r="BW182" s="2" t="s">
        <v>639</v>
      </c>
      <c r="BX182" s="2" t="s">
        <v>1147</v>
      </c>
      <c r="BY182" s="2" t="s">
        <v>110</v>
      </c>
      <c r="BZ182" s="2" t="s">
        <v>98</v>
      </c>
    </row>
    <row r="183">
      <c r="A183" s="2" t="s">
        <v>1148</v>
      </c>
      <c r="B183" s="2" t="s">
        <v>87</v>
      </c>
      <c r="C183" s="2" t="s">
        <v>1069</v>
      </c>
      <c r="D183" s="2" t="s">
        <v>392</v>
      </c>
      <c r="E183" s="2" t="s">
        <v>417</v>
      </c>
      <c r="F183" s="2" t="s">
        <v>1115</v>
      </c>
      <c r="G183" s="2" t="s">
        <v>1115</v>
      </c>
      <c r="H183" s="2" t="s">
        <v>1115</v>
      </c>
      <c r="I183" s="2" t="s">
        <v>1127</v>
      </c>
      <c r="J183" s="2" t="s">
        <v>1128</v>
      </c>
      <c r="K183" s="2" t="s">
        <v>174</v>
      </c>
      <c r="L183" s="3">
        <v>74.11</v>
      </c>
      <c r="M183" s="3">
        <v>77.82</v>
      </c>
      <c r="N183" s="3">
        <v>141.94</v>
      </c>
      <c r="O183" s="2" t="s">
        <v>95</v>
      </c>
      <c r="P183" s="2" t="s">
        <v>134</v>
      </c>
      <c r="Q183" s="2" t="s">
        <v>97</v>
      </c>
      <c r="R183" s="2" t="s">
        <v>98</v>
      </c>
      <c r="S183" s="2" t="s">
        <v>98</v>
      </c>
      <c r="T183" s="2" t="s">
        <v>98</v>
      </c>
      <c r="U183" s="2" t="s">
        <v>117</v>
      </c>
      <c r="V183" s="2" t="s">
        <v>118</v>
      </c>
      <c r="W183" s="2" t="s">
        <v>102</v>
      </c>
      <c r="X183" s="2" t="s">
        <v>297</v>
      </c>
      <c r="Y183" s="2" t="s">
        <v>1149</v>
      </c>
      <c r="Z183" s="4">
        <v>236</v>
      </c>
      <c r="AA183" s="4">
        <f>=ROUNDDOWN(39.3333333333333,0)</f>
      </c>
      <c r="AB183" s="5">
        <v>6</v>
      </c>
      <c r="AC183" s="2" t="s">
        <v>98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98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98</v>
      </c>
      <c r="AW183" s="8" t="s">
        <v>98</v>
      </c>
      <c r="AX183" s="4" t="s">
        <v>98</v>
      </c>
      <c r="AY183" s="8" t="s">
        <v>98</v>
      </c>
      <c r="AZ183" s="7" t="s">
        <v>98</v>
      </c>
      <c r="BA183" s="7" t="s">
        <v>98</v>
      </c>
      <c r="BB183" s="7"/>
      <c r="BC183" s="4" t="s">
        <v>98</v>
      </c>
      <c r="BD183" s="8" t="s">
        <v>98</v>
      </c>
      <c r="BE183" s="4" t="s">
        <v>98</v>
      </c>
      <c r="BF183" s="8" t="s">
        <v>98</v>
      </c>
      <c r="BG183" s="7" t="s">
        <v>98</v>
      </c>
      <c r="BH183" s="7" t="s">
        <v>98</v>
      </c>
      <c r="BI183" s="7"/>
      <c r="BJ183" s="4">
        <v>11</v>
      </c>
      <c r="BK183" s="8">
        <v>918.83</v>
      </c>
      <c r="BL183" s="2" t="s">
        <v>1150</v>
      </c>
      <c r="BM183" s="7"/>
      <c r="BN183" s="7"/>
      <c r="BO183" s="4"/>
      <c r="BP183" s="8"/>
      <c r="BQ183" s="4"/>
      <c r="BR183" s="8"/>
      <c r="BS183" s="7"/>
      <c r="BT183" s="7"/>
      <c r="BU183" s="2" t="s">
        <v>107</v>
      </c>
      <c r="BV183" s="2" t="s">
        <v>95</v>
      </c>
      <c r="BW183" s="2" t="s">
        <v>308</v>
      </c>
      <c r="BX183" s="2" t="s">
        <v>1151</v>
      </c>
      <c r="BY183" s="2" t="s">
        <v>110</v>
      </c>
      <c r="BZ183" s="2" t="s">
        <v>98</v>
      </c>
    </row>
    <row r="184">
      <c r="A184" s="2" t="s">
        <v>1152</v>
      </c>
      <c r="B184" s="2" t="s">
        <v>87</v>
      </c>
      <c r="C184" s="2" t="s">
        <v>1069</v>
      </c>
      <c r="D184" s="2" t="s">
        <v>392</v>
      </c>
      <c r="E184" s="2" t="s">
        <v>417</v>
      </c>
      <c r="F184" s="2" t="s">
        <v>1115</v>
      </c>
      <c r="G184" s="2" t="s">
        <v>1115</v>
      </c>
      <c r="H184" s="2" t="s">
        <v>1115</v>
      </c>
      <c r="I184" s="2" t="s">
        <v>1133</v>
      </c>
      <c r="J184" s="2" t="s">
        <v>1134</v>
      </c>
      <c r="K184" s="2" t="s">
        <v>174</v>
      </c>
      <c r="L184" s="3">
        <v>111.24</v>
      </c>
      <c r="M184" s="3">
        <v>116.8</v>
      </c>
      <c r="N184" s="3">
        <v>209.94</v>
      </c>
      <c r="O184" s="2" t="s">
        <v>95</v>
      </c>
      <c r="P184" s="2" t="s">
        <v>96</v>
      </c>
      <c r="Q184" s="2" t="s">
        <v>97</v>
      </c>
      <c r="R184" s="2" t="s">
        <v>98</v>
      </c>
      <c r="S184" s="2" t="s">
        <v>98</v>
      </c>
      <c r="T184" s="2" t="s">
        <v>98</v>
      </c>
      <c r="U184" s="2" t="s">
        <v>117</v>
      </c>
      <c r="V184" s="2" t="s">
        <v>118</v>
      </c>
      <c r="W184" s="2" t="s">
        <v>102</v>
      </c>
      <c r="X184" s="2" t="s">
        <v>297</v>
      </c>
      <c r="Y184" s="2" t="s">
        <v>1149</v>
      </c>
      <c r="Z184" s="4">
        <v>91</v>
      </c>
      <c r="AA184" s="4">
        <f>=ROUNDDOWN(15.1666666666667,0)</f>
      </c>
      <c r="AB184" s="5">
        <v>6</v>
      </c>
      <c r="AC184" s="2" t="s">
        <v>222</v>
      </c>
      <c r="AD184" s="4">
        <v>100</v>
      </c>
      <c r="AE184" s="4">
        <v>100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98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98</v>
      </c>
      <c r="AW184" s="8" t="s">
        <v>98</v>
      </c>
      <c r="AX184" s="4" t="s">
        <v>98</v>
      </c>
      <c r="AY184" s="8" t="s">
        <v>98</v>
      </c>
      <c r="AZ184" s="7" t="s">
        <v>98</v>
      </c>
      <c r="BA184" s="7" t="s">
        <v>98</v>
      </c>
      <c r="BB184" s="7"/>
      <c r="BC184" s="4" t="s">
        <v>98</v>
      </c>
      <c r="BD184" s="8" t="s">
        <v>98</v>
      </c>
      <c r="BE184" s="4" t="s">
        <v>98</v>
      </c>
      <c r="BF184" s="8" t="s">
        <v>98</v>
      </c>
      <c r="BG184" s="7" t="s">
        <v>98</v>
      </c>
      <c r="BH184" s="7" t="s">
        <v>98</v>
      </c>
      <c r="BI184" s="7"/>
      <c r="BJ184" s="4">
        <v>10</v>
      </c>
      <c r="BK184" s="8">
        <v>1284.86</v>
      </c>
      <c r="BL184" s="2" t="s">
        <v>1153</v>
      </c>
      <c r="BM184" s="7"/>
      <c r="BN184" s="7"/>
      <c r="BO184" s="4"/>
      <c r="BP184" s="8"/>
      <c r="BQ184" s="4"/>
      <c r="BR184" s="8"/>
      <c r="BS184" s="7"/>
      <c r="BT184" s="7"/>
      <c r="BU184" s="2" t="s">
        <v>107</v>
      </c>
      <c r="BV184" s="2" t="s">
        <v>95</v>
      </c>
      <c r="BW184" s="2" t="s">
        <v>308</v>
      </c>
      <c r="BX184" s="2" t="s">
        <v>98</v>
      </c>
      <c r="BY184" s="2" t="s">
        <v>110</v>
      </c>
      <c r="BZ184" s="2" t="s">
        <v>98</v>
      </c>
    </row>
    <row r="185">
      <c r="A185" s="2" t="s">
        <v>1154</v>
      </c>
      <c r="B185" s="2" t="s">
        <v>87</v>
      </c>
      <c r="C185" s="2" t="s">
        <v>1155</v>
      </c>
      <c r="D185" s="2" t="s">
        <v>910</v>
      </c>
      <c r="E185" s="2" t="s">
        <v>910</v>
      </c>
      <c r="F185" s="2" t="s">
        <v>1156</v>
      </c>
      <c r="G185" s="2" t="s">
        <v>1156</v>
      </c>
      <c r="H185" s="2" t="s">
        <v>1156</v>
      </c>
      <c r="I185" s="2" t="s">
        <v>1157</v>
      </c>
      <c r="J185" s="2" t="s">
        <v>93</v>
      </c>
      <c r="K185" s="2" t="s">
        <v>1158</v>
      </c>
      <c r="L185" s="3">
        <v>30</v>
      </c>
      <c r="M185" s="3">
        <v>31.5</v>
      </c>
      <c r="N185" s="3">
        <v>69.99</v>
      </c>
      <c r="O185" s="2" t="s">
        <v>155</v>
      </c>
      <c r="P185" s="2" t="s">
        <v>115</v>
      </c>
      <c r="Q185" s="2" t="s">
        <v>97</v>
      </c>
      <c r="R185" s="2" t="s">
        <v>98</v>
      </c>
      <c r="S185" s="2" t="s">
        <v>1159</v>
      </c>
      <c r="T185" s="2" t="s">
        <v>98</v>
      </c>
      <c r="U185" s="2" t="s">
        <v>100</v>
      </c>
      <c r="V185" s="2" t="s">
        <v>1160</v>
      </c>
      <c r="W185" s="2" t="s">
        <v>119</v>
      </c>
      <c r="X185" s="2" t="s">
        <v>102</v>
      </c>
      <c r="Y185" s="2" t="s">
        <v>1161</v>
      </c>
      <c r="Z185" s="4">
        <v>56</v>
      </c>
      <c r="AA185" s="4">
        <f>=ROUNDDOWN(560,0)</f>
      </c>
      <c r="AB185" s="5">
        <v>0.1</v>
      </c>
      <c r="AC185" s="2" t="s">
        <v>98</v>
      </c>
      <c r="AD185" s="4"/>
      <c r="AE185" s="4"/>
      <c r="AF185" s="6">
        <v>63</v>
      </c>
      <c r="AG185" s="6"/>
      <c r="AH185" s="7">
        <v>1</v>
      </c>
      <c r="AI185" s="4"/>
      <c r="AJ185" s="4">
        <f>=ROUNDDOWN({0},0)</f>
      </c>
      <c r="AK185" s="5"/>
      <c r="AL185" s="2" t="s">
        <v>98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/>
      <c r="BD185" s="8"/>
      <c r="BE185" s="4"/>
      <c r="BF185" s="8"/>
      <c r="BG185" s="7"/>
      <c r="BH185" s="7"/>
      <c r="BI185" s="7"/>
      <c r="BJ185" s="4"/>
      <c r="BK185" s="8"/>
      <c r="BL185" s="2" t="s">
        <v>98</v>
      </c>
      <c r="BM185" s="7"/>
      <c r="BN185" s="7"/>
      <c r="BO185" s="4"/>
      <c r="BP185" s="8"/>
      <c r="BQ185" s="4"/>
      <c r="BR185" s="8"/>
      <c r="BS185" s="7"/>
      <c r="BT185" s="7"/>
      <c r="BU185" s="2" t="s">
        <v>107</v>
      </c>
      <c r="BV185" s="2" t="s">
        <v>95</v>
      </c>
      <c r="BW185" s="2" t="s">
        <v>1076</v>
      </c>
      <c r="BX185" s="2" t="s">
        <v>1162</v>
      </c>
      <c r="BY185" s="2" t="s">
        <v>110</v>
      </c>
      <c r="BZ185" s="2" t="s">
        <v>98</v>
      </c>
    </row>
    <row r="186">
      <c r="A186" s="2" t="s">
        <v>1163</v>
      </c>
      <c r="B186" s="2" t="s">
        <v>87</v>
      </c>
      <c r="C186" s="2" t="s">
        <v>1155</v>
      </c>
      <c r="D186" s="2" t="s">
        <v>910</v>
      </c>
      <c r="E186" s="2" t="s">
        <v>910</v>
      </c>
      <c r="F186" s="2" t="s">
        <v>1164</v>
      </c>
      <c r="G186" s="2" t="s">
        <v>98</v>
      </c>
      <c r="H186" s="2" t="s">
        <v>98</v>
      </c>
      <c r="I186" s="2" t="s">
        <v>1165</v>
      </c>
      <c r="J186" s="2" t="s">
        <v>93</v>
      </c>
      <c r="K186" s="2" t="s">
        <v>473</v>
      </c>
      <c r="L186" s="3">
        <v>20.77</v>
      </c>
      <c r="M186" s="3">
        <v>21.81</v>
      </c>
      <c r="N186" s="3">
        <v>47.49</v>
      </c>
      <c r="O186" s="2" t="s">
        <v>95</v>
      </c>
      <c r="P186" s="2" t="s">
        <v>142</v>
      </c>
      <c r="Q186" s="2" t="s">
        <v>97</v>
      </c>
      <c r="R186" s="2" t="s">
        <v>98</v>
      </c>
      <c r="S186" s="2" t="s">
        <v>1166</v>
      </c>
      <c r="T186" s="2" t="s">
        <v>98</v>
      </c>
      <c r="U186" s="2" t="s">
        <v>157</v>
      </c>
      <c r="V186" s="2" t="s">
        <v>1160</v>
      </c>
      <c r="W186" s="2" t="s">
        <v>119</v>
      </c>
      <c r="X186" s="2" t="s">
        <v>98</v>
      </c>
      <c r="Y186" s="2" t="s">
        <v>717</v>
      </c>
      <c r="Z186" s="4">
        <v>122</v>
      </c>
      <c r="AA186" s="4">
        <f>=ROUNDDOWN(40.6666666666667,0)</f>
      </c>
      <c r="AB186" s="5">
        <v>3</v>
      </c>
      <c r="AC186" s="2" t="s">
        <v>98</v>
      </c>
      <c r="AD186" s="4"/>
      <c r="AE186" s="4"/>
      <c r="AF186" s="6">
        <v>63</v>
      </c>
      <c r="AG186" s="6"/>
      <c r="AH186" s="7">
        <v>1</v>
      </c>
      <c r="AI186" s="4"/>
      <c r="AJ186" s="4">
        <f>=ROUNDDOWN({0},0)</f>
      </c>
      <c r="AK186" s="5"/>
      <c r="AL186" s="2" t="s">
        <v>98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/>
      <c r="BD186" s="8"/>
      <c r="BE186" s="4"/>
      <c r="BF186" s="8"/>
      <c r="BG186" s="7"/>
      <c r="BH186" s="7"/>
      <c r="BI186" s="7"/>
      <c r="BJ186" s="4">
        <v>1</v>
      </c>
      <c r="BK186" s="8">
        <v>24</v>
      </c>
      <c r="BL186" s="2" t="s">
        <v>1167</v>
      </c>
      <c r="BM186" s="7"/>
      <c r="BN186" s="7"/>
      <c r="BO186" s="4"/>
      <c r="BP186" s="8"/>
      <c r="BQ186" s="4"/>
      <c r="BR186" s="8"/>
      <c r="BS186" s="7"/>
      <c r="BT186" s="7"/>
      <c r="BU186" s="2" t="s">
        <v>107</v>
      </c>
      <c r="BV186" s="2" t="s">
        <v>95</v>
      </c>
      <c r="BW186" s="2" t="s">
        <v>453</v>
      </c>
      <c r="BX186" s="2" t="s">
        <v>719</v>
      </c>
      <c r="BY186" s="2" t="s">
        <v>110</v>
      </c>
      <c r="BZ186" s="2" t="s">
        <v>98</v>
      </c>
    </row>
    <row r="187">
      <c r="A187" s="2" t="s">
        <v>1168</v>
      </c>
      <c r="B187" s="2" t="s">
        <v>87</v>
      </c>
      <c r="C187" s="2" t="s">
        <v>1155</v>
      </c>
      <c r="D187" s="2" t="s">
        <v>89</v>
      </c>
      <c r="E187" s="2" t="s">
        <v>89</v>
      </c>
      <c r="F187" s="2" t="s">
        <v>1169</v>
      </c>
      <c r="G187" s="2" t="s">
        <v>1169</v>
      </c>
      <c r="H187" s="2" t="s">
        <v>1169</v>
      </c>
      <c r="I187" s="2" t="s">
        <v>1170</v>
      </c>
      <c r="J187" s="2" t="s">
        <v>93</v>
      </c>
      <c r="K187" s="2" t="s">
        <v>236</v>
      </c>
      <c r="L187" s="3">
        <v>19.21</v>
      </c>
      <c r="M187" s="3">
        <v>20.17</v>
      </c>
      <c r="N187" s="3">
        <v>36.99</v>
      </c>
      <c r="O187" s="2" t="s">
        <v>155</v>
      </c>
      <c r="P187" s="2" t="s">
        <v>115</v>
      </c>
      <c r="Q187" s="2" t="s">
        <v>97</v>
      </c>
      <c r="R187" s="2" t="s">
        <v>98</v>
      </c>
      <c r="S187" s="2" t="s">
        <v>1171</v>
      </c>
      <c r="T187" s="2" t="s">
        <v>98</v>
      </c>
      <c r="U187" s="2" t="s">
        <v>157</v>
      </c>
      <c r="V187" s="2" t="s">
        <v>339</v>
      </c>
      <c r="W187" s="2" t="s">
        <v>119</v>
      </c>
      <c r="X187" s="2" t="s">
        <v>98</v>
      </c>
      <c r="Y187" s="2" t="s">
        <v>366</v>
      </c>
      <c r="Z187" s="4">
        <v>180</v>
      </c>
      <c r="AA187" s="4">
        <f>=ROUNDDOWN(34.6153846153846,0)</f>
      </c>
      <c r="AB187" s="5">
        <v>5.2</v>
      </c>
      <c r="AC187" s="2" t="s">
        <v>98</v>
      </c>
      <c r="AD187" s="4"/>
      <c r="AE187" s="4"/>
      <c r="AF187" s="6">
        <v>63</v>
      </c>
      <c r="AG187" s="6"/>
      <c r="AH187" s="7">
        <v>1</v>
      </c>
      <c r="AI187" s="4"/>
      <c r="AJ187" s="4">
        <f>=ROUNDDOWN({0},0)</f>
      </c>
      <c r="AK187" s="5"/>
      <c r="AL187" s="2" t="s">
        <v>98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>
        <v>6</v>
      </c>
      <c r="BK187" s="8">
        <v>122.39</v>
      </c>
      <c r="BL187" s="2" t="s">
        <v>1172</v>
      </c>
      <c r="BM187" s="7"/>
      <c r="BN187" s="7"/>
      <c r="BO187" s="4"/>
      <c r="BP187" s="8"/>
      <c r="BQ187" s="4"/>
      <c r="BR187" s="8"/>
      <c r="BS187" s="7"/>
      <c r="BT187" s="7"/>
      <c r="BU187" s="2" t="s">
        <v>107</v>
      </c>
      <c r="BV187" s="2" t="s">
        <v>95</v>
      </c>
      <c r="BW187" s="2" t="s">
        <v>1047</v>
      </c>
      <c r="BX187" s="2" t="s">
        <v>1173</v>
      </c>
      <c r="BY187" s="2" t="s">
        <v>110</v>
      </c>
      <c r="BZ187" s="2" t="s">
        <v>98</v>
      </c>
    </row>
    <row r="188">
      <c r="A188" s="2" t="s">
        <v>1174</v>
      </c>
      <c r="B188" s="2" t="s">
        <v>87</v>
      </c>
      <c r="C188" s="2" t="s">
        <v>1155</v>
      </c>
      <c r="D188" s="2" t="s">
        <v>525</v>
      </c>
      <c r="E188" s="2" t="s">
        <v>525</v>
      </c>
      <c r="F188" s="2" t="s">
        <v>1175</v>
      </c>
      <c r="G188" s="2" t="s">
        <v>1175</v>
      </c>
      <c r="H188" s="2" t="s">
        <v>1175</v>
      </c>
      <c r="I188" s="2" t="s">
        <v>628</v>
      </c>
      <c r="J188" s="2" t="s">
        <v>93</v>
      </c>
      <c r="K188" s="2" t="s">
        <v>133</v>
      </c>
      <c r="L188" s="3">
        <v>39.27</v>
      </c>
      <c r="M188" s="3">
        <v>41.23</v>
      </c>
      <c r="N188" s="3">
        <v>84.99</v>
      </c>
      <c r="O188" s="2" t="s">
        <v>95</v>
      </c>
      <c r="P188" s="2" t="s">
        <v>134</v>
      </c>
      <c r="Q188" s="2" t="s">
        <v>97</v>
      </c>
      <c r="R188" s="2" t="s">
        <v>98</v>
      </c>
      <c r="S188" s="2" t="s">
        <v>98</v>
      </c>
      <c r="T188" s="2" t="s">
        <v>98</v>
      </c>
      <c r="U188" s="2" t="s">
        <v>157</v>
      </c>
      <c r="V188" s="2" t="s">
        <v>1160</v>
      </c>
      <c r="W188" s="2" t="s">
        <v>119</v>
      </c>
      <c r="X188" s="2" t="s">
        <v>98</v>
      </c>
      <c r="Y188" s="2" t="s">
        <v>842</v>
      </c>
      <c r="Z188" s="4">
        <v>72</v>
      </c>
      <c r="AA188" s="4">
        <f>=ROUNDDOWN(10.2857142857143,0)</f>
      </c>
      <c r="AB188" s="5">
        <v>7</v>
      </c>
      <c r="AC188" s="2" t="s">
        <v>412</v>
      </c>
      <c r="AD188" s="4">
        <v>100</v>
      </c>
      <c r="AE188" s="4">
        <v>100</v>
      </c>
      <c r="AF188" s="6">
        <v>63</v>
      </c>
      <c r="AG188" s="6"/>
      <c r="AH188" s="7">
        <v>1</v>
      </c>
      <c r="AI188" s="4"/>
      <c r="AJ188" s="4">
        <f>=ROUNDDOWN({0},0)</f>
      </c>
      <c r="AK188" s="5"/>
      <c r="AL188" s="2" t="s">
        <v>98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>
        <v>14</v>
      </c>
      <c r="BK188" s="8">
        <v>535.47</v>
      </c>
      <c r="BL188" s="2" t="s">
        <v>1176</v>
      </c>
      <c r="BM188" s="7"/>
      <c r="BN188" s="7"/>
      <c r="BO188" s="4"/>
      <c r="BP188" s="8"/>
      <c r="BQ188" s="4"/>
      <c r="BR188" s="8"/>
      <c r="BS188" s="7"/>
      <c r="BT188" s="7"/>
      <c r="BU188" s="2" t="s">
        <v>107</v>
      </c>
      <c r="BV188" s="2" t="s">
        <v>95</v>
      </c>
      <c r="BW188" s="2" t="s">
        <v>453</v>
      </c>
      <c r="BX188" s="2" t="s">
        <v>719</v>
      </c>
      <c r="BY188" s="2" t="s">
        <v>110</v>
      </c>
      <c r="BZ188" s="2" t="s">
        <v>98</v>
      </c>
    </row>
    <row r="189">
      <c r="A189" s="2" t="s">
        <v>1177</v>
      </c>
      <c r="B189" s="2" t="s">
        <v>87</v>
      </c>
      <c r="C189" s="2" t="s">
        <v>1178</v>
      </c>
      <c r="D189" s="2" t="s">
        <v>89</v>
      </c>
      <c r="E189" s="2" t="s">
        <v>89</v>
      </c>
      <c r="F189" s="2" t="s">
        <v>1179</v>
      </c>
      <c r="G189" s="2" t="s">
        <v>1179</v>
      </c>
      <c r="H189" s="2" t="s">
        <v>1179</v>
      </c>
      <c r="I189" s="2" t="s">
        <v>1180</v>
      </c>
      <c r="J189" s="2" t="s">
        <v>93</v>
      </c>
      <c r="K189" s="2" t="s">
        <v>211</v>
      </c>
      <c r="L189" s="3">
        <v>70.13</v>
      </c>
      <c r="M189" s="3">
        <v>73.64</v>
      </c>
      <c r="N189" s="3">
        <v>144.49</v>
      </c>
      <c r="O189" s="2" t="s">
        <v>95</v>
      </c>
      <c r="P189" s="2" t="s">
        <v>134</v>
      </c>
      <c r="Q189" s="2" t="s">
        <v>97</v>
      </c>
      <c r="R189" s="2" t="s">
        <v>98</v>
      </c>
      <c r="S189" s="2" t="s">
        <v>98</v>
      </c>
      <c r="T189" s="2" t="s">
        <v>98</v>
      </c>
      <c r="U189" s="2" t="s">
        <v>157</v>
      </c>
      <c r="V189" s="2" t="s">
        <v>118</v>
      </c>
      <c r="W189" s="2" t="s">
        <v>102</v>
      </c>
      <c r="X189" s="2" t="s">
        <v>1181</v>
      </c>
      <c r="Y189" s="2" t="s">
        <v>1182</v>
      </c>
      <c r="Z189" s="4">
        <v>30</v>
      </c>
      <c r="AA189" s="4">
        <f>=ROUNDDOWN(7.5,0)</f>
      </c>
      <c r="AB189" s="5">
        <v>4</v>
      </c>
      <c r="AC189" s="2" t="s">
        <v>412</v>
      </c>
      <c r="AD189" s="4">
        <v>70</v>
      </c>
      <c r="AE189" s="4">
        <v>70</v>
      </c>
      <c r="AF189" s="6">
        <v>63</v>
      </c>
      <c r="AG189" s="6"/>
      <c r="AH189" s="7">
        <v>1</v>
      </c>
      <c r="AI189" s="4"/>
      <c r="AJ189" s="4">
        <f>=ROUNDDOWN({0},0)</f>
      </c>
      <c r="AK189" s="5"/>
      <c r="AL189" s="2" t="s">
        <v>98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/>
      <c r="BD189" s="8"/>
      <c r="BE189" s="4"/>
      <c r="BF189" s="8"/>
      <c r="BG189" s="7"/>
      <c r="BH189" s="7"/>
      <c r="BI189" s="7"/>
      <c r="BJ189" s="4">
        <v>2</v>
      </c>
      <c r="BK189" s="8">
        <v>162.69</v>
      </c>
      <c r="BL189" s="2" t="s">
        <v>333</v>
      </c>
      <c r="BM189" s="7"/>
      <c r="BN189" s="7"/>
      <c r="BO189" s="4"/>
      <c r="BP189" s="8"/>
      <c r="BQ189" s="4"/>
      <c r="BR189" s="8"/>
      <c r="BS189" s="7"/>
      <c r="BT189" s="7"/>
      <c r="BU189" s="2" t="s">
        <v>107</v>
      </c>
      <c r="BV189" s="2" t="s">
        <v>95</v>
      </c>
      <c r="BW189" s="2" t="s">
        <v>308</v>
      </c>
      <c r="BX189" s="2" t="s">
        <v>98</v>
      </c>
      <c r="BY189" s="2" t="s">
        <v>110</v>
      </c>
      <c r="BZ189" s="2" t="s">
        <v>98</v>
      </c>
    </row>
    <row r="190">
      <c r="A190" s="2" t="s">
        <v>1183</v>
      </c>
      <c r="B190" s="2" t="s">
        <v>87</v>
      </c>
      <c r="C190" s="2" t="s">
        <v>1178</v>
      </c>
      <c r="D190" s="2" t="s">
        <v>89</v>
      </c>
      <c r="E190" s="2" t="s">
        <v>89</v>
      </c>
      <c r="F190" s="2" t="s">
        <v>1184</v>
      </c>
      <c r="G190" s="2" t="s">
        <v>1184</v>
      </c>
      <c r="H190" s="2" t="s">
        <v>1184</v>
      </c>
      <c r="I190" s="2" t="s">
        <v>1185</v>
      </c>
      <c r="J190" s="2" t="s">
        <v>93</v>
      </c>
      <c r="K190" s="2" t="s">
        <v>322</v>
      </c>
      <c r="L190" s="3">
        <v>40.47</v>
      </c>
      <c r="M190" s="3">
        <v>42.49</v>
      </c>
      <c r="N190" s="3">
        <v>84.99</v>
      </c>
      <c r="O190" s="2" t="s">
        <v>95</v>
      </c>
      <c r="P190" s="2" t="s">
        <v>295</v>
      </c>
      <c r="Q190" s="2" t="s">
        <v>97</v>
      </c>
      <c r="R190" s="2" t="s">
        <v>98</v>
      </c>
      <c r="S190" s="2" t="s">
        <v>98</v>
      </c>
      <c r="T190" s="2" t="s">
        <v>98</v>
      </c>
      <c r="U190" s="2" t="s">
        <v>117</v>
      </c>
      <c r="V190" s="2" t="s">
        <v>101</v>
      </c>
      <c r="W190" s="2" t="s">
        <v>1186</v>
      </c>
      <c r="X190" s="2" t="s">
        <v>204</v>
      </c>
      <c r="Y190" s="2" t="s">
        <v>298</v>
      </c>
      <c r="Z190" s="4">
        <v>81</v>
      </c>
      <c r="AA190" s="4">
        <f>=ROUNDDOWN(40.5,0)</f>
      </c>
      <c r="AB190" s="5">
        <v>2</v>
      </c>
      <c r="AC190" s="2" t="s">
        <v>98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98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/>
      <c r="BD190" s="8"/>
      <c r="BE190" s="4"/>
      <c r="BF190" s="8"/>
      <c r="BG190" s="7"/>
      <c r="BH190" s="7"/>
      <c r="BI190" s="7"/>
      <c r="BJ190" s="4">
        <v>2</v>
      </c>
      <c r="BK190" s="8">
        <v>93.08</v>
      </c>
      <c r="BL190" s="2" t="s">
        <v>1187</v>
      </c>
      <c r="BM190" s="7"/>
      <c r="BN190" s="7"/>
      <c r="BO190" s="4"/>
      <c r="BP190" s="8"/>
      <c r="BQ190" s="4"/>
      <c r="BR190" s="8"/>
      <c r="BS190" s="7"/>
      <c r="BT190" s="7"/>
      <c r="BU190" s="2" t="s">
        <v>107</v>
      </c>
      <c r="BV190" s="2" t="s">
        <v>95</v>
      </c>
      <c r="BW190" s="2" t="s">
        <v>300</v>
      </c>
      <c r="BX190" s="2" t="s">
        <v>98</v>
      </c>
      <c r="BY190" s="2" t="s">
        <v>110</v>
      </c>
      <c r="BZ190" s="2" t="s">
        <v>98</v>
      </c>
    </row>
    <row r="191">
      <c r="A191" s="2" t="s">
        <v>1188</v>
      </c>
      <c r="B191" s="2" t="s">
        <v>87</v>
      </c>
      <c r="C191" s="2" t="s">
        <v>1178</v>
      </c>
      <c r="D191" s="2" t="s">
        <v>89</v>
      </c>
      <c r="E191" s="2" t="s">
        <v>326</v>
      </c>
      <c r="F191" s="2" t="s">
        <v>1189</v>
      </c>
      <c r="G191" s="2" t="s">
        <v>1189</v>
      </c>
      <c r="H191" s="2" t="s">
        <v>1189</v>
      </c>
      <c r="I191" s="2" t="s">
        <v>1190</v>
      </c>
      <c r="J191" s="2" t="s">
        <v>93</v>
      </c>
      <c r="K191" s="2" t="s">
        <v>277</v>
      </c>
      <c r="L191" s="3">
        <v>38.46</v>
      </c>
      <c r="M191" s="3">
        <v>40.38</v>
      </c>
      <c r="N191" s="3">
        <v>84.99</v>
      </c>
      <c r="O191" s="2" t="s">
        <v>95</v>
      </c>
      <c r="P191" s="2" t="s">
        <v>96</v>
      </c>
      <c r="Q191" s="2" t="s">
        <v>97</v>
      </c>
      <c r="R191" s="2" t="s">
        <v>98</v>
      </c>
      <c r="S191" s="2" t="s">
        <v>1191</v>
      </c>
      <c r="T191" s="2" t="s">
        <v>98</v>
      </c>
      <c r="U191" s="2" t="s">
        <v>117</v>
      </c>
      <c r="V191" s="2" t="s">
        <v>331</v>
      </c>
      <c r="W191" s="2" t="s">
        <v>102</v>
      </c>
      <c r="X191" s="2" t="s">
        <v>1181</v>
      </c>
      <c r="Y191" s="2" t="s">
        <v>1192</v>
      </c>
      <c r="Z191" s="4">
        <v>170</v>
      </c>
      <c r="AA191" s="4">
        <f>=ROUNDDOWN(11.3333333333333,0)</f>
      </c>
      <c r="AB191" s="5">
        <v>15</v>
      </c>
      <c r="AC191" s="2" t="s">
        <v>222</v>
      </c>
      <c r="AD191" s="4">
        <v>200</v>
      </c>
      <c r="AE191" s="4">
        <v>370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98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>
        <v>17</v>
      </c>
      <c r="BK191" s="8">
        <v>817.43</v>
      </c>
      <c r="BL191" s="2" t="s">
        <v>1193</v>
      </c>
      <c r="BM191" s="7"/>
      <c r="BN191" s="7"/>
      <c r="BO191" s="4"/>
      <c r="BP191" s="8"/>
      <c r="BQ191" s="4"/>
      <c r="BR191" s="8"/>
      <c r="BS191" s="7"/>
      <c r="BT191" s="7"/>
      <c r="BU191" s="2" t="s">
        <v>107</v>
      </c>
      <c r="BV191" s="2" t="s">
        <v>95</v>
      </c>
      <c r="BW191" s="2" t="s">
        <v>1194</v>
      </c>
      <c r="BX191" s="2" t="s">
        <v>1195</v>
      </c>
      <c r="BY191" s="2" t="s">
        <v>110</v>
      </c>
      <c r="BZ191" s="2" t="s">
        <v>98</v>
      </c>
    </row>
    <row r="192">
      <c r="A192" s="2" t="s">
        <v>1196</v>
      </c>
      <c r="B192" s="2" t="s">
        <v>87</v>
      </c>
      <c r="C192" s="2" t="s">
        <v>1178</v>
      </c>
      <c r="D192" s="2" t="s">
        <v>89</v>
      </c>
      <c r="E192" s="2" t="s">
        <v>326</v>
      </c>
      <c r="F192" s="2" t="s">
        <v>1197</v>
      </c>
      <c r="G192" s="2" t="s">
        <v>1197</v>
      </c>
      <c r="H192" s="2" t="s">
        <v>1197</v>
      </c>
      <c r="I192" s="2" t="s">
        <v>1198</v>
      </c>
      <c r="J192" s="2" t="s">
        <v>93</v>
      </c>
      <c r="K192" s="2" t="s">
        <v>277</v>
      </c>
      <c r="L192" s="3">
        <v>40.8</v>
      </c>
      <c r="M192" s="3">
        <v>42.84</v>
      </c>
      <c r="N192" s="3">
        <v>84.99</v>
      </c>
      <c r="O192" s="2" t="s">
        <v>95</v>
      </c>
      <c r="P192" s="2" t="s">
        <v>134</v>
      </c>
      <c r="Q192" s="2" t="s">
        <v>97</v>
      </c>
      <c r="R192" s="2" t="s">
        <v>98</v>
      </c>
      <c r="S192" s="2" t="s">
        <v>1199</v>
      </c>
      <c r="T192" s="2" t="s">
        <v>98</v>
      </c>
      <c r="U192" s="2" t="s">
        <v>117</v>
      </c>
      <c r="V192" s="2" t="s">
        <v>165</v>
      </c>
      <c r="W192" s="2" t="s">
        <v>102</v>
      </c>
      <c r="X192" s="2" t="s">
        <v>1181</v>
      </c>
      <c r="Y192" s="2" t="s">
        <v>1192</v>
      </c>
      <c r="Z192" s="4">
        <v>109</v>
      </c>
      <c r="AA192" s="4">
        <f>=ROUNDDOWN(27.25,0)</f>
      </c>
      <c r="AB192" s="5">
        <v>4</v>
      </c>
      <c r="AC192" s="2" t="s">
        <v>98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98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/>
      <c r="BK192" s="8"/>
      <c r="BL192" s="2" t="s">
        <v>1200</v>
      </c>
      <c r="BM192" s="7"/>
      <c r="BN192" s="7"/>
      <c r="BO192" s="4"/>
      <c r="BP192" s="8"/>
      <c r="BQ192" s="4"/>
      <c r="BR192" s="8"/>
      <c r="BS192" s="7"/>
      <c r="BT192" s="7"/>
      <c r="BU192" s="2" t="s">
        <v>107</v>
      </c>
      <c r="BV192" s="2" t="s">
        <v>95</v>
      </c>
      <c r="BW192" s="2" t="s">
        <v>122</v>
      </c>
      <c r="BX192" s="2" t="s">
        <v>1201</v>
      </c>
      <c r="BY192" s="2" t="s">
        <v>110</v>
      </c>
      <c r="BZ192" s="2" t="s">
        <v>98</v>
      </c>
    </row>
    <row r="193">
      <c r="A193" s="2" t="s">
        <v>1202</v>
      </c>
      <c r="B193" s="2" t="s">
        <v>87</v>
      </c>
      <c r="C193" s="2" t="s">
        <v>1178</v>
      </c>
      <c r="D193" s="2" t="s">
        <v>89</v>
      </c>
      <c r="E193" s="2" t="s">
        <v>90</v>
      </c>
      <c r="F193" s="2" t="s">
        <v>1203</v>
      </c>
      <c r="G193" s="2" t="s">
        <v>1203</v>
      </c>
      <c r="H193" s="2" t="s">
        <v>1203</v>
      </c>
      <c r="I193" s="2" t="s">
        <v>1204</v>
      </c>
      <c r="J193" s="2" t="s">
        <v>93</v>
      </c>
      <c r="K193" s="2" t="s">
        <v>294</v>
      </c>
      <c r="L193" s="3">
        <v>37.19</v>
      </c>
      <c r="M193" s="3">
        <v>39.05</v>
      </c>
      <c r="N193" s="3">
        <v>76.49</v>
      </c>
      <c r="O193" s="2" t="s">
        <v>95</v>
      </c>
      <c r="P193" s="2" t="s">
        <v>163</v>
      </c>
      <c r="Q193" s="2" t="s">
        <v>97</v>
      </c>
      <c r="R193" s="2" t="s">
        <v>98</v>
      </c>
      <c r="S193" s="2" t="s">
        <v>98</v>
      </c>
      <c r="T193" s="2" t="s">
        <v>98</v>
      </c>
      <c r="U193" s="2" t="s">
        <v>117</v>
      </c>
      <c r="V193" s="2" t="s">
        <v>439</v>
      </c>
      <c r="W193" s="2" t="s">
        <v>103</v>
      </c>
      <c r="X193" s="2" t="s">
        <v>1181</v>
      </c>
      <c r="Y193" s="2" t="s">
        <v>1205</v>
      </c>
      <c r="Z193" s="4">
        <v>337</v>
      </c>
      <c r="AA193" s="4">
        <f>=ROUNDDOWN(16.85,0)</f>
      </c>
      <c r="AB193" s="5">
        <v>20</v>
      </c>
      <c r="AC193" s="2" t="s">
        <v>287</v>
      </c>
      <c r="AD193" s="4">
        <v>100</v>
      </c>
      <c r="AE193" s="4">
        <v>300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98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>
        <v>17</v>
      </c>
      <c r="BK193" s="8">
        <v>773.32</v>
      </c>
      <c r="BL193" s="2" t="s">
        <v>1206</v>
      </c>
      <c r="BM193" s="7"/>
      <c r="BN193" s="7"/>
      <c r="BO193" s="4"/>
      <c r="BP193" s="8"/>
      <c r="BQ193" s="4"/>
      <c r="BR193" s="8"/>
      <c r="BS193" s="7"/>
      <c r="BT193" s="7"/>
      <c r="BU193" s="2" t="s">
        <v>107</v>
      </c>
      <c r="BV193" s="2" t="s">
        <v>95</v>
      </c>
      <c r="BW193" s="2" t="s">
        <v>149</v>
      </c>
      <c r="BX193" s="2" t="s">
        <v>179</v>
      </c>
      <c r="BY193" s="2" t="s">
        <v>110</v>
      </c>
      <c r="BZ193" s="2" t="s">
        <v>98</v>
      </c>
    </row>
    <row r="194">
      <c r="A194" s="2" t="s">
        <v>1207</v>
      </c>
      <c r="B194" s="2" t="s">
        <v>87</v>
      </c>
      <c r="C194" s="2" t="s">
        <v>1178</v>
      </c>
      <c r="D194" s="2" t="s">
        <v>89</v>
      </c>
      <c r="E194" s="2" t="s">
        <v>90</v>
      </c>
      <c r="F194" s="2" t="s">
        <v>1208</v>
      </c>
      <c r="G194" s="2" t="s">
        <v>1208</v>
      </c>
      <c r="H194" s="2" t="s">
        <v>1208</v>
      </c>
      <c r="I194" s="2" t="s">
        <v>1209</v>
      </c>
      <c r="J194" s="2" t="s">
        <v>93</v>
      </c>
      <c r="K194" s="2" t="s">
        <v>277</v>
      </c>
      <c r="L194" s="3">
        <v>32</v>
      </c>
      <c r="M194" s="3">
        <v>33.6</v>
      </c>
      <c r="N194" s="3">
        <v>69.99</v>
      </c>
      <c r="O194" s="2" t="s">
        <v>95</v>
      </c>
      <c r="P194" s="2" t="s">
        <v>295</v>
      </c>
      <c r="Q194" s="2" t="s">
        <v>97</v>
      </c>
      <c r="R194" s="2" t="s">
        <v>98</v>
      </c>
      <c r="S194" s="2" t="s">
        <v>98</v>
      </c>
      <c r="T194" s="2" t="s">
        <v>98</v>
      </c>
      <c r="U194" s="2" t="s">
        <v>117</v>
      </c>
      <c r="V194" s="2" t="s">
        <v>331</v>
      </c>
      <c r="W194" s="2" t="s">
        <v>1181</v>
      </c>
      <c r="X194" s="2" t="s">
        <v>102</v>
      </c>
      <c r="Y194" s="2" t="s">
        <v>98</v>
      </c>
      <c r="Z194" s="4"/>
      <c r="AA194" s="4">
        <f>=ROUNDDOWN({0},0)</f>
      </c>
      <c r="AB194" s="5"/>
      <c r="AC194" s="2" t="s">
        <v>323</v>
      </c>
      <c r="AD194" s="4">
        <v>100</v>
      </c>
      <c r="AE194" s="4">
        <v>100</v>
      </c>
      <c r="AF194" s="6">
        <v>65</v>
      </c>
      <c r="AG194" s="6"/>
      <c r="AH194" s="7">
        <v>0</v>
      </c>
      <c r="AI194" s="4"/>
      <c r="AJ194" s="4">
        <f>=ROUNDDOWN({0},0)</f>
      </c>
      <c r="AK194" s="5"/>
      <c r="AL194" s="2" t="s">
        <v>98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98</v>
      </c>
      <c r="BD194" s="8" t="s">
        <v>98</v>
      </c>
      <c r="BE194" s="4" t="s">
        <v>98</v>
      </c>
      <c r="BF194" s="8" t="s">
        <v>98</v>
      </c>
      <c r="BG194" s="7" t="s">
        <v>98</v>
      </c>
      <c r="BH194" s="7" t="s">
        <v>98</v>
      </c>
      <c r="BI194" s="7"/>
      <c r="BJ194" s="4"/>
      <c r="BK194" s="8"/>
      <c r="BL194" s="2" t="s">
        <v>98</v>
      </c>
      <c r="BM194" s="7"/>
      <c r="BN194" s="7"/>
      <c r="BO194" s="4"/>
      <c r="BP194" s="8"/>
      <c r="BQ194" s="4"/>
      <c r="BR194" s="8"/>
      <c r="BS194" s="7"/>
      <c r="BT194" s="7"/>
      <c r="BU194" s="2" t="s">
        <v>324</v>
      </c>
      <c r="BV194" s="2" t="s">
        <v>95</v>
      </c>
      <c r="BW194" s="2" t="s">
        <v>98</v>
      </c>
      <c r="BX194" s="2" t="s">
        <v>98</v>
      </c>
      <c r="BY194" s="2" t="s">
        <v>110</v>
      </c>
      <c r="BZ194" s="2" t="s">
        <v>98</v>
      </c>
    </row>
    <row r="195">
      <c r="A195" s="2" t="s">
        <v>1210</v>
      </c>
      <c r="B195" s="2" t="s">
        <v>87</v>
      </c>
      <c r="C195" s="2" t="s">
        <v>1178</v>
      </c>
      <c r="D195" s="2" t="s">
        <v>89</v>
      </c>
      <c r="E195" s="2" t="s">
        <v>90</v>
      </c>
      <c r="F195" s="2" t="s">
        <v>1208</v>
      </c>
      <c r="G195" s="2" t="s">
        <v>1208</v>
      </c>
      <c r="H195" s="2" t="s">
        <v>1208</v>
      </c>
      <c r="I195" s="2" t="s">
        <v>1211</v>
      </c>
      <c r="J195" s="2" t="s">
        <v>93</v>
      </c>
      <c r="K195" s="2" t="s">
        <v>322</v>
      </c>
      <c r="L195" s="3">
        <v>32</v>
      </c>
      <c r="M195" s="3">
        <v>33.6</v>
      </c>
      <c r="N195" s="3">
        <v>69.99</v>
      </c>
      <c r="O195" s="2" t="s">
        <v>95</v>
      </c>
      <c r="P195" s="2" t="s">
        <v>295</v>
      </c>
      <c r="Q195" s="2" t="s">
        <v>97</v>
      </c>
      <c r="R195" s="2" t="s">
        <v>98</v>
      </c>
      <c r="S195" s="2" t="s">
        <v>98</v>
      </c>
      <c r="T195" s="2" t="s">
        <v>98</v>
      </c>
      <c r="U195" s="2" t="s">
        <v>117</v>
      </c>
      <c r="V195" s="2" t="s">
        <v>331</v>
      </c>
      <c r="W195" s="2" t="s">
        <v>1181</v>
      </c>
      <c r="X195" s="2" t="s">
        <v>102</v>
      </c>
      <c r="Y195" s="2" t="s">
        <v>98</v>
      </c>
      <c r="Z195" s="4"/>
      <c r="AA195" s="4">
        <f>=ROUNDDOWN({0},0)</f>
      </c>
      <c r="AB195" s="5"/>
      <c r="AC195" s="2" t="s">
        <v>323</v>
      </c>
      <c r="AD195" s="4">
        <v>100</v>
      </c>
      <c r="AE195" s="4">
        <v>100</v>
      </c>
      <c r="AF195" s="6">
        <v>65</v>
      </c>
      <c r="AG195" s="6"/>
      <c r="AH195" s="7">
        <v>0</v>
      </c>
      <c r="AI195" s="4"/>
      <c r="AJ195" s="4">
        <f>=ROUNDDOWN({0},0)</f>
      </c>
      <c r="AK195" s="5"/>
      <c r="AL195" s="2" t="s">
        <v>98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98</v>
      </c>
      <c r="BD195" s="8" t="s">
        <v>98</v>
      </c>
      <c r="BE195" s="4" t="s">
        <v>98</v>
      </c>
      <c r="BF195" s="8" t="s">
        <v>98</v>
      </c>
      <c r="BG195" s="7" t="s">
        <v>98</v>
      </c>
      <c r="BH195" s="7" t="s">
        <v>98</v>
      </c>
      <c r="BI195" s="7"/>
      <c r="BJ195" s="4"/>
      <c r="BK195" s="8"/>
      <c r="BL195" s="2" t="s">
        <v>98</v>
      </c>
      <c r="BM195" s="7"/>
      <c r="BN195" s="7"/>
      <c r="BO195" s="4"/>
      <c r="BP195" s="8"/>
      <c r="BQ195" s="4"/>
      <c r="BR195" s="8"/>
      <c r="BS195" s="7"/>
      <c r="BT195" s="7"/>
      <c r="BU195" s="2" t="s">
        <v>324</v>
      </c>
      <c r="BV195" s="2" t="s">
        <v>95</v>
      </c>
      <c r="BW195" s="2" t="s">
        <v>98</v>
      </c>
      <c r="BX195" s="2" t="s">
        <v>98</v>
      </c>
      <c r="BY195" s="2" t="s">
        <v>110</v>
      </c>
      <c r="BZ195" s="2" t="s">
        <v>98</v>
      </c>
    </row>
    <row r="196">
      <c r="A196" s="2" t="s">
        <v>1212</v>
      </c>
      <c r="B196" s="2" t="s">
        <v>87</v>
      </c>
      <c r="C196" s="2" t="s">
        <v>1178</v>
      </c>
      <c r="D196" s="2" t="s">
        <v>525</v>
      </c>
      <c r="E196" s="2" t="s">
        <v>525</v>
      </c>
      <c r="F196" s="2" t="s">
        <v>1213</v>
      </c>
      <c r="G196" s="2" t="s">
        <v>1213</v>
      </c>
      <c r="H196" s="2" t="s">
        <v>1213</v>
      </c>
      <c r="I196" s="2" t="s">
        <v>899</v>
      </c>
      <c r="J196" s="2" t="s">
        <v>93</v>
      </c>
      <c r="K196" s="2" t="s">
        <v>1214</v>
      </c>
      <c r="L196" s="3">
        <v>32.78</v>
      </c>
      <c r="M196" s="3">
        <v>34.42</v>
      </c>
      <c r="N196" s="3">
        <v>67.99</v>
      </c>
      <c r="O196" s="2" t="s">
        <v>95</v>
      </c>
      <c r="P196" s="2" t="s">
        <v>115</v>
      </c>
      <c r="Q196" s="2" t="s">
        <v>97</v>
      </c>
      <c r="R196" s="2" t="s">
        <v>98</v>
      </c>
      <c r="S196" s="2" t="s">
        <v>98</v>
      </c>
      <c r="T196" s="2" t="s">
        <v>98</v>
      </c>
      <c r="U196" s="2" t="s">
        <v>100</v>
      </c>
      <c r="V196" s="2" t="s">
        <v>101</v>
      </c>
      <c r="W196" s="2" t="s">
        <v>340</v>
      </c>
      <c r="X196" s="2" t="s">
        <v>1215</v>
      </c>
      <c r="Y196" s="2" t="s">
        <v>1216</v>
      </c>
      <c r="Z196" s="4">
        <v>4</v>
      </c>
      <c r="AA196" s="4">
        <f>=ROUNDDOWN(2.22222222222222,0)</f>
      </c>
      <c r="AB196" s="5">
        <v>1.8</v>
      </c>
      <c r="AC196" s="2" t="s">
        <v>98</v>
      </c>
      <c r="AD196" s="4"/>
      <c r="AE196" s="4"/>
      <c r="AF196" s="6">
        <v>63</v>
      </c>
      <c r="AG196" s="6"/>
      <c r="AH196" s="7">
        <v>1</v>
      </c>
      <c r="AI196" s="4"/>
      <c r="AJ196" s="4">
        <f>=ROUNDDOWN({0},0)</f>
      </c>
      <c r="AK196" s="5"/>
      <c r="AL196" s="2" t="s">
        <v>98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/>
      <c r="BK196" s="8"/>
      <c r="BL196" s="2" t="s">
        <v>98</v>
      </c>
      <c r="BM196" s="7"/>
      <c r="BN196" s="7"/>
      <c r="BO196" s="4"/>
      <c r="BP196" s="8"/>
      <c r="BQ196" s="4"/>
      <c r="BR196" s="8"/>
      <c r="BS196" s="7"/>
      <c r="BT196" s="7"/>
      <c r="BU196" s="2" t="s">
        <v>107</v>
      </c>
      <c r="BV196" s="2" t="s">
        <v>95</v>
      </c>
      <c r="BW196" s="2" t="s">
        <v>308</v>
      </c>
      <c r="BX196" s="2" t="s">
        <v>1217</v>
      </c>
      <c r="BY196" s="2" t="s">
        <v>110</v>
      </c>
      <c r="BZ196" s="2" t="s">
        <v>98</v>
      </c>
    </row>
    <row r="197">
      <c r="A197" s="2" t="s">
        <v>1218</v>
      </c>
      <c r="B197" s="2" t="s">
        <v>87</v>
      </c>
      <c r="C197" s="2" t="s">
        <v>1178</v>
      </c>
      <c r="D197" s="2" t="s">
        <v>525</v>
      </c>
      <c r="E197" s="2" t="s">
        <v>326</v>
      </c>
      <c r="F197" s="2" t="s">
        <v>1219</v>
      </c>
      <c r="G197" s="2" t="s">
        <v>1219</v>
      </c>
      <c r="H197" s="2" t="s">
        <v>1219</v>
      </c>
      <c r="I197" s="2" t="s">
        <v>1220</v>
      </c>
      <c r="J197" s="2" t="s">
        <v>93</v>
      </c>
      <c r="K197" s="2" t="s">
        <v>236</v>
      </c>
      <c r="L197" s="3">
        <v>15.92</v>
      </c>
      <c r="M197" s="3">
        <v>16.72</v>
      </c>
      <c r="N197" s="3">
        <v>38.24</v>
      </c>
      <c r="O197" s="2" t="s">
        <v>95</v>
      </c>
      <c r="P197" s="2" t="s">
        <v>115</v>
      </c>
      <c r="Q197" s="2" t="s">
        <v>97</v>
      </c>
      <c r="R197" s="2" t="s">
        <v>98</v>
      </c>
      <c r="S197" s="2" t="s">
        <v>1221</v>
      </c>
      <c r="T197" s="2" t="s">
        <v>98</v>
      </c>
      <c r="U197" s="2" t="s">
        <v>117</v>
      </c>
      <c r="V197" s="2" t="s">
        <v>486</v>
      </c>
      <c r="W197" s="2" t="s">
        <v>314</v>
      </c>
      <c r="X197" s="2" t="s">
        <v>1215</v>
      </c>
      <c r="Y197" s="2" t="s">
        <v>460</v>
      </c>
      <c r="Z197" s="4">
        <v>136</v>
      </c>
      <c r="AA197" s="4">
        <f>=ROUNDDOWN(71.5789473684211,0)</f>
      </c>
      <c r="AB197" s="5">
        <v>1.9</v>
      </c>
      <c r="AC197" s="2" t="s">
        <v>98</v>
      </c>
      <c r="AD197" s="4"/>
      <c r="AE197" s="4"/>
      <c r="AF197" s="6">
        <v>63</v>
      </c>
      <c r="AG197" s="6"/>
      <c r="AH197" s="7">
        <v>1</v>
      </c>
      <c r="AI197" s="4"/>
      <c r="AJ197" s="4">
        <f>=ROUNDDOWN({0},0)</f>
      </c>
      <c r="AK197" s="5"/>
      <c r="AL197" s="2" t="s">
        <v>98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/>
      <c r="BD197" s="8"/>
      <c r="BE197" s="4"/>
      <c r="BF197" s="8"/>
      <c r="BG197" s="7"/>
      <c r="BH197" s="7"/>
      <c r="BI197" s="7"/>
      <c r="BJ197" s="4">
        <v>1</v>
      </c>
      <c r="BK197" s="8">
        <v>23.46</v>
      </c>
      <c r="BL197" s="2" t="s">
        <v>1222</v>
      </c>
      <c r="BM197" s="7"/>
      <c r="BN197" s="7"/>
      <c r="BO197" s="4"/>
      <c r="BP197" s="8"/>
      <c r="BQ197" s="4"/>
      <c r="BR197" s="8"/>
      <c r="BS197" s="7"/>
      <c r="BT197" s="7"/>
      <c r="BU197" s="2" t="s">
        <v>107</v>
      </c>
      <c r="BV197" s="2" t="s">
        <v>95</v>
      </c>
      <c r="BW197" s="2" t="s">
        <v>206</v>
      </c>
      <c r="BX197" s="2" t="s">
        <v>941</v>
      </c>
      <c r="BY197" s="2" t="s">
        <v>110</v>
      </c>
      <c r="BZ197" s="2" t="s">
        <v>98</v>
      </c>
    </row>
    <row r="198">
      <c r="A198" s="2" t="s">
        <v>1223</v>
      </c>
      <c r="B198" s="2" t="s">
        <v>87</v>
      </c>
      <c r="C198" s="2" t="s">
        <v>1178</v>
      </c>
      <c r="D198" s="2" t="s">
        <v>525</v>
      </c>
      <c r="E198" s="2" t="s">
        <v>326</v>
      </c>
      <c r="F198" s="2" t="s">
        <v>1224</v>
      </c>
      <c r="G198" s="2" t="s">
        <v>1224</v>
      </c>
      <c r="H198" s="2" t="s">
        <v>1224</v>
      </c>
      <c r="I198" s="2" t="s">
        <v>793</v>
      </c>
      <c r="J198" s="2" t="s">
        <v>93</v>
      </c>
      <c r="K198" s="2" t="s">
        <v>236</v>
      </c>
      <c r="L198" s="3">
        <v>79.42</v>
      </c>
      <c r="M198" s="3">
        <v>83.39</v>
      </c>
      <c r="N198" s="3">
        <v>157.24</v>
      </c>
      <c r="O198" s="2" t="s">
        <v>95</v>
      </c>
      <c r="P198" s="2" t="s">
        <v>96</v>
      </c>
      <c r="Q198" s="2" t="s">
        <v>97</v>
      </c>
      <c r="R198" s="2" t="s">
        <v>98</v>
      </c>
      <c r="S198" s="2" t="s">
        <v>1225</v>
      </c>
      <c r="T198" s="2" t="s">
        <v>98</v>
      </c>
      <c r="U198" s="2" t="s">
        <v>724</v>
      </c>
      <c r="V198" s="2" t="s">
        <v>331</v>
      </c>
      <c r="W198" s="2" t="s">
        <v>102</v>
      </c>
      <c r="X198" s="2" t="s">
        <v>1181</v>
      </c>
      <c r="Y198" s="2" t="s">
        <v>1226</v>
      </c>
      <c r="Z198" s="4">
        <v>222</v>
      </c>
      <c r="AA198" s="4">
        <f>=ROUNDDOWN(37,0)</f>
      </c>
      <c r="AB198" s="5">
        <v>6</v>
      </c>
      <c r="AC198" s="2" t="s">
        <v>98</v>
      </c>
      <c r="AD198" s="4"/>
      <c r="AE198" s="4"/>
      <c r="AF198" s="6">
        <v>63</v>
      </c>
      <c r="AG198" s="6"/>
      <c r="AH198" s="7">
        <v>1</v>
      </c>
      <c r="AI198" s="4"/>
      <c r="AJ198" s="4">
        <f>=ROUNDDOWN({0},0)</f>
      </c>
      <c r="AK198" s="5"/>
      <c r="AL198" s="2" t="s">
        <v>98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/>
      <c r="BD198" s="8"/>
      <c r="BE198" s="4"/>
      <c r="BF198" s="8"/>
      <c r="BG198" s="7"/>
      <c r="BH198" s="7"/>
      <c r="BI198" s="7"/>
      <c r="BJ198" s="4">
        <v>9</v>
      </c>
      <c r="BK198" s="8">
        <v>849.56</v>
      </c>
      <c r="BL198" s="2" t="s">
        <v>1227</v>
      </c>
      <c r="BM198" s="7"/>
      <c r="BN198" s="7"/>
      <c r="BO198" s="4"/>
      <c r="BP198" s="8"/>
      <c r="BQ198" s="4"/>
      <c r="BR198" s="8"/>
      <c r="BS198" s="7"/>
      <c r="BT198" s="7"/>
      <c r="BU198" s="2" t="s">
        <v>107</v>
      </c>
      <c r="BV198" s="2" t="s">
        <v>95</v>
      </c>
      <c r="BW198" s="2" t="s">
        <v>149</v>
      </c>
      <c r="BX198" s="2" t="s">
        <v>941</v>
      </c>
      <c r="BY198" s="2" t="s">
        <v>110</v>
      </c>
      <c r="BZ198" s="2" t="s">
        <v>98</v>
      </c>
    </row>
    <row r="199">
      <c r="A199" s="2" t="s">
        <v>1228</v>
      </c>
      <c r="B199" s="2" t="s">
        <v>87</v>
      </c>
      <c r="C199" s="2" t="s">
        <v>1178</v>
      </c>
      <c r="D199" s="2" t="s">
        <v>525</v>
      </c>
      <c r="E199" s="2" t="s">
        <v>326</v>
      </c>
      <c r="F199" s="2" t="s">
        <v>1229</v>
      </c>
      <c r="G199" s="2" t="s">
        <v>1229</v>
      </c>
      <c r="H199" s="2" t="s">
        <v>1229</v>
      </c>
      <c r="I199" s="2" t="s">
        <v>1220</v>
      </c>
      <c r="J199" s="2" t="s">
        <v>93</v>
      </c>
      <c r="K199" s="2" t="s">
        <v>236</v>
      </c>
      <c r="L199" s="3">
        <v>27.4</v>
      </c>
      <c r="M199" s="3">
        <v>28.77</v>
      </c>
      <c r="N199" s="3">
        <v>59.49</v>
      </c>
      <c r="O199" s="2" t="s">
        <v>95</v>
      </c>
      <c r="P199" s="2" t="s">
        <v>142</v>
      </c>
      <c r="Q199" s="2" t="s">
        <v>97</v>
      </c>
      <c r="R199" s="2" t="s">
        <v>98</v>
      </c>
      <c r="S199" s="2" t="s">
        <v>1230</v>
      </c>
      <c r="T199" s="2" t="s">
        <v>98</v>
      </c>
      <c r="U199" s="2" t="s">
        <v>117</v>
      </c>
      <c r="V199" s="2" t="s">
        <v>486</v>
      </c>
      <c r="W199" s="2" t="s">
        <v>314</v>
      </c>
      <c r="X199" s="2" t="s">
        <v>1215</v>
      </c>
      <c r="Y199" s="2" t="s">
        <v>460</v>
      </c>
      <c r="Z199" s="4">
        <v>82</v>
      </c>
      <c r="AA199" s="4">
        <f>=ROUNDDOWN(41,0)</f>
      </c>
      <c r="AB199" s="5">
        <v>2</v>
      </c>
      <c r="AC199" s="2" t="s">
        <v>98</v>
      </c>
      <c r="AD199" s="4"/>
      <c r="AE199" s="4"/>
      <c r="AF199" s="6">
        <v>63</v>
      </c>
      <c r="AG199" s="6"/>
      <c r="AH199" s="7">
        <v>1</v>
      </c>
      <c r="AI199" s="4"/>
      <c r="AJ199" s="4">
        <f>=ROUNDDOWN({0},0)</f>
      </c>
      <c r="AK199" s="5"/>
      <c r="AL199" s="2" t="s">
        <v>98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>
        <v>2</v>
      </c>
      <c r="BK199" s="8">
        <v>72.98</v>
      </c>
      <c r="BL199" s="2" t="s">
        <v>1231</v>
      </c>
      <c r="BM199" s="7"/>
      <c r="BN199" s="7"/>
      <c r="BO199" s="4"/>
      <c r="BP199" s="8"/>
      <c r="BQ199" s="4"/>
      <c r="BR199" s="8"/>
      <c r="BS199" s="7"/>
      <c r="BT199" s="7"/>
      <c r="BU199" s="2" t="s">
        <v>107</v>
      </c>
      <c r="BV199" s="2" t="s">
        <v>95</v>
      </c>
      <c r="BW199" s="2" t="s">
        <v>206</v>
      </c>
      <c r="BX199" s="2" t="s">
        <v>1232</v>
      </c>
      <c r="BY199" s="2" t="s">
        <v>110</v>
      </c>
      <c r="BZ199" s="2" t="s">
        <v>98</v>
      </c>
    </row>
    <row r="200">
      <c r="A200" s="2" t="s">
        <v>1233</v>
      </c>
      <c r="B200" s="2" t="s">
        <v>87</v>
      </c>
      <c r="C200" s="2" t="s">
        <v>1178</v>
      </c>
      <c r="D200" s="2" t="s">
        <v>525</v>
      </c>
      <c r="E200" s="2" t="s">
        <v>326</v>
      </c>
      <c r="F200" s="2" t="s">
        <v>1234</v>
      </c>
      <c r="G200" s="2" t="s">
        <v>1234</v>
      </c>
      <c r="H200" s="2" t="s">
        <v>1234</v>
      </c>
      <c r="I200" s="2" t="s">
        <v>1235</v>
      </c>
      <c r="J200" s="2" t="s">
        <v>93</v>
      </c>
      <c r="K200" s="2" t="s">
        <v>236</v>
      </c>
      <c r="L200" s="3">
        <v>29.92</v>
      </c>
      <c r="M200" s="3">
        <v>31.42</v>
      </c>
      <c r="N200" s="3">
        <v>63.74</v>
      </c>
      <c r="O200" s="2" t="s">
        <v>95</v>
      </c>
      <c r="P200" s="2" t="s">
        <v>134</v>
      </c>
      <c r="Q200" s="2" t="s">
        <v>97</v>
      </c>
      <c r="R200" s="2" t="s">
        <v>98</v>
      </c>
      <c r="S200" s="2" t="s">
        <v>98</v>
      </c>
      <c r="T200" s="2" t="s">
        <v>98</v>
      </c>
      <c r="U200" s="2" t="s">
        <v>100</v>
      </c>
      <c r="V200" s="2" t="s">
        <v>101</v>
      </c>
      <c r="W200" s="2" t="s">
        <v>103</v>
      </c>
      <c r="X200" s="2" t="s">
        <v>1215</v>
      </c>
      <c r="Y200" s="2" t="s">
        <v>1236</v>
      </c>
      <c r="Z200" s="4">
        <v>134</v>
      </c>
      <c r="AA200" s="4">
        <f>=ROUNDDOWN(33.5,0)</f>
      </c>
      <c r="AB200" s="5">
        <v>4</v>
      </c>
      <c r="AC200" s="2" t="s">
        <v>98</v>
      </c>
      <c r="AD200" s="4"/>
      <c r="AE200" s="4"/>
      <c r="AF200" s="6">
        <v>63</v>
      </c>
      <c r="AG200" s="6"/>
      <c r="AH200" s="7">
        <v>1</v>
      </c>
      <c r="AI200" s="4"/>
      <c r="AJ200" s="4">
        <f>=ROUNDDOWN({0},0)</f>
      </c>
      <c r="AK200" s="5"/>
      <c r="AL200" s="2" t="s">
        <v>98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>
        <v>3</v>
      </c>
      <c r="BK200" s="8">
        <v>109.87</v>
      </c>
      <c r="BL200" s="2" t="s">
        <v>749</v>
      </c>
      <c r="BM200" s="7"/>
      <c r="BN200" s="7"/>
      <c r="BO200" s="4"/>
      <c r="BP200" s="8"/>
      <c r="BQ200" s="4"/>
      <c r="BR200" s="8"/>
      <c r="BS200" s="7"/>
      <c r="BT200" s="7"/>
      <c r="BU200" s="2" t="s">
        <v>107</v>
      </c>
      <c r="BV200" s="2" t="s">
        <v>95</v>
      </c>
      <c r="BW200" s="2" t="s">
        <v>317</v>
      </c>
      <c r="BX200" s="2" t="s">
        <v>1237</v>
      </c>
      <c r="BY200" s="2" t="s">
        <v>110</v>
      </c>
      <c r="BZ200" s="2" t="s">
        <v>98</v>
      </c>
    </row>
    <row r="201">
      <c r="A201" s="2" t="s">
        <v>1238</v>
      </c>
      <c r="B201" s="2" t="s">
        <v>87</v>
      </c>
      <c r="C201" s="2" t="s">
        <v>1178</v>
      </c>
      <c r="D201" s="2" t="s">
        <v>525</v>
      </c>
      <c r="E201" s="2" t="s">
        <v>326</v>
      </c>
      <c r="F201" s="2" t="s">
        <v>1239</v>
      </c>
      <c r="G201" s="2" t="s">
        <v>1239</v>
      </c>
      <c r="H201" s="2" t="s">
        <v>1239</v>
      </c>
      <c r="I201" s="2" t="s">
        <v>1240</v>
      </c>
      <c r="J201" s="2" t="s">
        <v>93</v>
      </c>
      <c r="K201" s="2" t="s">
        <v>1005</v>
      </c>
      <c r="L201" s="3">
        <v>63.6</v>
      </c>
      <c r="M201" s="3">
        <v>66.78</v>
      </c>
      <c r="N201" s="3">
        <v>124.94</v>
      </c>
      <c r="O201" s="2" t="s">
        <v>95</v>
      </c>
      <c r="P201" s="2" t="s">
        <v>163</v>
      </c>
      <c r="Q201" s="2" t="s">
        <v>97</v>
      </c>
      <c r="R201" s="2" t="s">
        <v>98</v>
      </c>
      <c r="S201" s="2" t="s">
        <v>98</v>
      </c>
      <c r="T201" s="2" t="s">
        <v>98</v>
      </c>
      <c r="U201" s="2" t="s">
        <v>144</v>
      </c>
      <c r="V201" s="2" t="s">
        <v>101</v>
      </c>
      <c r="W201" s="2" t="s">
        <v>103</v>
      </c>
      <c r="X201" s="2" t="s">
        <v>1215</v>
      </c>
      <c r="Y201" s="2" t="s">
        <v>1241</v>
      </c>
      <c r="Z201" s="4">
        <v>185</v>
      </c>
      <c r="AA201" s="4">
        <f>=ROUNDDOWN(14.2307692307692,0)</f>
      </c>
      <c r="AB201" s="5">
        <v>13</v>
      </c>
      <c r="AC201" s="2" t="s">
        <v>360</v>
      </c>
      <c r="AD201" s="4">
        <v>160</v>
      </c>
      <c r="AE201" s="4">
        <v>310</v>
      </c>
      <c r="AF201" s="6">
        <v>63</v>
      </c>
      <c r="AG201" s="6"/>
      <c r="AH201" s="7">
        <v>1</v>
      </c>
      <c r="AI201" s="4"/>
      <c r="AJ201" s="4">
        <f>=ROUNDDOWN({0},0)</f>
      </c>
      <c r="AK201" s="5"/>
      <c r="AL201" s="2" t="s">
        <v>98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>
        <v>13</v>
      </c>
      <c r="BK201" s="8">
        <v>980.44</v>
      </c>
      <c r="BL201" s="2" t="s">
        <v>1242</v>
      </c>
      <c r="BM201" s="7"/>
      <c r="BN201" s="7"/>
      <c r="BO201" s="4"/>
      <c r="BP201" s="8"/>
      <c r="BQ201" s="4"/>
      <c r="BR201" s="8"/>
      <c r="BS201" s="7"/>
      <c r="BT201" s="7"/>
      <c r="BU201" s="2" t="s">
        <v>107</v>
      </c>
      <c r="BV201" s="2" t="s">
        <v>95</v>
      </c>
      <c r="BW201" s="2" t="s">
        <v>317</v>
      </c>
      <c r="BX201" s="2" t="s">
        <v>1243</v>
      </c>
      <c r="BY201" s="2" t="s">
        <v>110</v>
      </c>
      <c r="BZ201" s="2" t="s">
        <v>98</v>
      </c>
    </row>
    <row r="202">
      <c r="A202" s="2" t="s">
        <v>1244</v>
      </c>
      <c r="B202" s="2" t="s">
        <v>87</v>
      </c>
      <c r="C202" s="2" t="s">
        <v>1178</v>
      </c>
      <c r="D202" s="2" t="s">
        <v>525</v>
      </c>
      <c r="E202" s="2" t="s">
        <v>326</v>
      </c>
      <c r="F202" s="2" t="s">
        <v>1245</v>
      </c>
      <c r="G202" s="2" t="s">
        <v>1245</v>
      </c>
      <c r="H202" s="2" t="s">
        <v>1245</v>
      </c>
      <c r="I202" s="2" t="s">
        <v>1220</v>
      </c>
      <c r="J202" s="2" t="s">
        <v>93</v>
      </c>
      <c r="K202" s="2" t="s">
        <v>236</v>
      </c>
      <c r="L202" s="3">
        <v>26.03</v>
      </c>
      <c r="M202" s="3">
        <v>27.33</v>
      </c>
      <c r="N202" s="3">
        <v>59.49</v>
      </c>
      <c r="O202" s="2" t="s">
        <v>95</v>
      </c>
      <c r="P202" s="2" t="s">
        <v>96</v>
      </c>
      <c r="Q202" s="2" t="s">
        <v>97</v>
      </c>
      <c r="R202" s="2" t="s">
        <v>98</v>
      </c>
      <c r="S202" s="2" t="s">
        <v>1246</v>
      </c>
      <c r="T202" s="2" t="s">
        <v>98</v>
      </c>
      <c r="U202" s="2" t="s">
        <v>117</v>
      </c>
      <c r="V202" s="2" t="s">
        <v>486</v>
      </c>
      <c r="W202" s="2" t="s">
        <v>314</v>
      </c>
      <c r="X202" s="2" t="s">
        <v>1215</v>
      </c>
      <c r="Y202" s="2" t="s">
        <v>460</v>
      </c>
      <c r="Z202" s="4">
        <v>442</v>
      </c>
      <c r="AA202" s="4">
        <f>=ROUNDDOWN(34,0)</f>
      </c>
      <c r="AB202" s="5">
        <v>13</v>
      </c>
      <c r="AC202" s="2" t="s">
        <v>98</v>
      </c>
      <c r="AD202" s="4"/>
      <c r="AE202" s="4"/>
      <c r="AF202" s="6">
        <v>63</v>
      </c>
      <c r="AG202" s="6"/>
      <c r="AH202" s="7">
        <v>1</v>
      </c>
      <c r="AI202" s="4"/>
      <c r="AJ202" s="4">
        <f>=ROUNDDOWN({0},0)</f>
      </c>
      <c r="AK202" s="5"/>
      <c r="AL202" s="2" t="s">
        <v>98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>
        <v>17</v>
      </c>
      <c r="BK202" s="8">
        <v>603.34</v>
      </c>
      <c r="BL202" s="2" t="s">
        <v>1247</v>
      </c>
      <c r="BM202" s="7"/>
      <c r="BN202" s="7"/>
      <c r="BO202" s="4"/>
      <c r="BP202" s="8"/>
      <c r="BQ202" s="4"/>
      <c r="BR202" s="8"/>
      <c r="BS202" s="7"/>
      <c r="BT202" s="7"/>
      <c r="BU202" s="2" t="s">
        <v>107</v>
      </c>
      <c r="BV202" s="2" t="s">
        <v>95</v>
      </c>
      <c r="BW202" s="2" t="s">
        <v>206</v>
      </c>
      <c r="BX202" s="2" t="s">
        <v>1248</v>
      </c>
      <c r="BY202" s="2" t="s">
        <v>110</v>
      </c>
      <c r="BZ202" s="2" t="s">
        <v>98</v>
      </c>
    </row>
    <row r="203">
      <c r="A203" s="2" t="s">
        <v>1249</v>
      </c>
      <c r="B203" s="2" t="s">
        <v>87</v>
      </c>
      <c r="C203" s="2" t="s">
        <v>1178</v>
      </c>
      <c r="D203" s="2" t="s">
        <v>525</v>
      </c>
      <c r="E203" s="2" t="s">
        <v>326</v>
      </c>
      <c r="F203" s="2" t="s">
        <v>1250</v>
      </c>
      <c r="G203" s="2" t="s">
        <v>1250</v>
      </c>
      <c r="H203" s="2" t="s">
        <v>1250</v>
      </c>
      <c r="I203" s="2" t="s">
        <v>1251</v>
      </c>
      <c r="J203" s="2" t="s">
        <v>93</v>
      </c>
      <c r="K203" s="2" t="s">
        <v>236</v>
      </c>
      <c r="L203" s="3">
        <v>87.35</v>
      </c>
      <c r="M203" s="3">
        <v>91.72</v>
      </c>
      <c r="N203" s="3">
        <v>161.49</v>
      </c>
      <c r="O203" s="2" t="s">
        <v>95</v>
      </c>
      <c r="P203" s="2" t="s">
        <v>96</v>
      </c>
      <c r="Q203" s="2" t="s">
        <v>97</v>
      </c>
      <c r="R203" s="2" t="s">
        <v>98</v>
      </c>
      <c r="S203" s="2" t="s">
        <v>1252</v>
      </c>
      <c r="T203" s="2" t="s">
        <v>98</v>
      </c>
      <c r="U203" s="2" t="s">
        <v>724</v>
      </c>
      <c r="V203" s="2" t="s">
        <v>486</v>
      </c>
      <c r="W203" s="2" t="s">
        <v>103</v>
      </c>
      <c r="X203" s="2" t="s">
        <v>1215</v>
      </c>
      <c r="Y203" s="2" t="s">
        <v>1253</v>
      </c>
      <c r="Z203" s="4">
        <v>103</v>
      </c>
      <c r="AA203" s="4">
        <f>=ROUNDDOWN(20.6,0)</f>
      </c>
      <c r="AB203" s="5">
        <v>5</v>
      </c>
      <c r="AC203" s="2" t="s">
        <v>412</v>
      </c>
      <c r="AD203" s="4">
        <v>100</v>
      </c>
      <c r="AE203" s="4">
        <v>100</v>
      </c>
      <c r="AF203" s="6">
        <v>63</v>
      </c>
      <c r="AG203" s="6"/>
      <c r="AH203" s="7">
        <v>1</v>
      </c>
      <c r="AI203" s="4"/>
      <c r="AJ203" s="4">
        <f>=ROUNDDOWN({0},0)</f>
      </c>
      <c r="AK203" s="5"/>
      <c r="AL203" s="2" t="s">
        <v>98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>
        <v>6</v>
      </c>
      <c r="BK203" s="8">
        <v>617.86</v>
      </c>
      <c r="BL203" s="2" t="s">
        <v>1254</v>
      </c>
      <c r="BM203" s="7"/>
      <c r="BN203" s="7"/>
      <c r="BO203" s="4"/>
      <c r="BP203" s="8"/>
      <c r="BQ203" s="4"/>
      <c r="BR203" s="8"/>
      <c r="BS203" s="7"/>
      <c r="BT203" s="7"/>
      <c r="BU203" s="2" t="s">
        <v>107</v>
      </c>
      <c r="BV203" s="2" t="s">
        <v>95</v>
      </c>
      <c r="BW203" s="2" t="s">
        <v>492</v>
      </c>
      <c r="BX203" s="2" t="s">
        <v>1255</v>
      </c>
      <c r="BY203" s="2" t="s">
        <v>110</v>
      </c>
      <c r="BZ203" s="2" t="s">
        <v>98</v>
      </c>
    </row>
    <row r="204">
      <c r="A204" s="2" t="s">
        <v>1256</v>
      </c>
      <c r="B204" s="2" t="s">
        <v>87</v>
      </c>
      <c r="C204" s="2" t="s">
        <v>1178</v>
      </c>
      <c r="D204" s="2" t="s">
        <v>392</v>
      </c>
      <c r="E204" s="2" t="s">
        <v>393</v>
      </c>
      <c r="F204" s="2" t="s">
        <v>1257</v>
      </c>
      <c r="G204" s="2" t="s">
        <v>1257</v>
      </c>
      <c r="H204" s="2" t="s">
        <v>1257</v>
      </c>
      <c r="I204" s="2" t="s">
        <v>1258</v>
      </c>
      <c r="J204" s="2" t="s">
        <v>93</v>
      </c>
      <c r="K204" s="2" t="s">
        <v>127</v>
      </c>
      <c r="L204" s="3">
        <v>45.23</v>
      </c>
      <c r="M204" s="3">
        <v>47.49</v>
      </c>
      <c r="N204" s="3">
        <v>94.99</v>
      </c>
      <c r="O204" s="2" t="s">
        <v>95</v>
      </c>
      <c r="P204" s="2" t="s">
        <v>134</v>
      </c>
      <c r="Q204" s="2" t="s">
        <v>97</v>
      </c>
      <c r="R204" s="2" t="s">
        <v>98</v>
      </c>
      <c r="S204" s="2" t="s">
        <v>98</v>
      </c>
      <c r="T204" s="2" t="s">
        <v>98</v>
      </c>
      <c r="U204" s="2" t="s">
        <v>117</v>
      </c>
      <c r="V204" s="2" t="s">
        <v>296</v>
      </c>
      <c r="W204" s="2" t="s">
        <v>165</v>
      </c>
      <c r="X204" s="2" t="s">
        <v>1186</v>
      </c>
      <c r="Y204" s="2" t="s">
        <v>1057</v>
      </c>
      <c r="Z204" s="4">
        <v>6</v>
      </c>
      <c r="AA204" s="4">
        <f>=ROUNDDOWN(0.857142857142857,0)</f>
      </c>
      <c r="AB204" s="5">
        <v>7</v>
      </c>
      <c r="AC204" s="2" t="s">
        <v>136</v>
      </c>
      <c r="AD204" s="4">
        <v>170</v>
      </c>
      <c r="AE204" s="4">
        <v>170</v>
      </c>
      <c r="AF204" s="6">
        <v>63</v>
      </c>
      <c r="AG204" s="6"/>
      <c r="AH204" s="7">
        <v>1</v>
      </c>
      <c r="AI204" s="4"/>
      <c r="AJ204" s="4">
        <f>=ROUNDDOWN({0},0)</f>
      </c>
      <c r="AK204" s="5"/>
      <c r="AL204" s="2" t="s">
        <v>98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>
        <v>4</v>
      </c>
      <c r="BK204" s="8">
        <v>196.96</v>
      </c>
      <c r="BL204" s="2" t="s">
        <v>333</v>
      </c>
      <c r="BM204" s="7"/>
      <c r="BN204" s="7"/>
      <c r="BO204" s="4"/>
      <c r="BP204" s="8"/>
      <c r="BQ204" s="4"/>
      <c r="BR204" s="8"/>
      <c r="BS204" s="7"/>
      <c r="BT204" s="7"/>
      <c r="BU204" s="2" t="s">
        <v>388</v>
      </c>
      <c r="BV204" s="2" t="s">
        <v>95</v>
      </c>
      <c r="BW204" s="2" t="s">
        <v>98</v>
      </c>
      <c r="BX204" s="2" t="s">
        <v>98</v>
      </c>
      <c r="BY204" s="2" t="s">
        <v>110</v>
      </c>
      <c r="BZ204" s="2" t="s">
        <v>98</v>
      </c>
    </row>
    <row r="205">
      <c r="A205" s="2" t="s">
        <v>1259</v>
      </c>
      <c r="B205" s="2" t="s">
        <v>87</v>
      </c>
      <c r="C205" s="2" t="s">
        <v>1178</v>
      </c>
      <c r="D205" s="2" t="s">
        <v>392</v>
      </c>
      <c r="E205" s="2" t="s">
        <v>393</v>
      </c>
      <c r="F205" s="2" t="s">
        <v>1260</v>
      </c>
      <c r="G205" s="2" t="s">
        <v>1260</v>
      </c>
      <c r="H205" s="2" t="s">
        <v>1260</v>
      </c>
      <c r="I205" s="2" t="s">
        <v>1261</v>
      </c>
      <c r="J205" s="2" t="s">
        <v>93</v>
      </c>
      <c r="K205" s="2" t="s">
        <v>1262</v>
      </c>
      <c r="L205" s="3">
        <v>95.23</v>
      </c>
      <c r="M205" s="3">
        <v>99.99</v>
      </c>
      <c r="N205" s="3">
        <v>199.99</v>
      </c>
      <c r="O205" s="2" t="s">
        <v>95</v>
      </c>
      <c r="P205" s="2" t="s">
        <v>411</v>
      </c>
      <c r="Q205" s="2" t="s">
        <v>97</v>
      </c>
      <c r="R205" s="2" t="s">
        <v>98</v>
      </c>
      <c r="S205" s="2" t="s">
        <v>98</v>
      </c>
      <c r="T205" s="2" t="s">
        <v>98</v>
      </c>
      <c r="U205" s="2" t="s">
        <v>117</v>
      </c>
      <c r="V205" s="2" t="s">
        <v>296</v>
      </c>
      <c r="W205" s="2" t="s">
        <v>165</v>
      </c>
      <c r="X205" s="2" t="s">
        <v>1186</v>
      </c>
      <c r="Y205" s="2" t="s">
        <v>98</v>
      </c>
      <c r="Z205" s="4"/>
      <c r="AA205" s="4">
        <f>=ROUNDDOWN({0},0)</f>
      </c>
      <c r="AB205" s="5"/>
      <c r="AC205" s="2" t="s">
        <v>1263</v>
      </c>
      <c r="AD205" s="4">
        <v>100</v>
      </c>
      <c r="AE205" s="4">
        <v>100</v>
      </c>
      <c r="AF205" s="6"/>
      <c r="AG205" s="6"/>
      <c r="AH205" s="7">
        <v>0</v>
      </c>
      <c r="AI205" s="4"/>
      <c r="AJ205" s="4">
        <f>=ROUNDDOWN({0},0)</f>
      </c>
      <c r="AK205" s="5"/>
      <c r="AL205" s="2" t="s">
        <v>98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 t="s">
        <v>98</v>
      </c>
      <c r="BD205" s="8" t="s">
        <v>98</v>
      </c>
      <c r="BE205" s="4" t="s">
        <v>98</v>
      </c>
      <c r="BF205" s="8" t="s">
        <v>98</v>
      </c>
      <c r="BG205" s="7" t="s">
        <v>98</v>
      </c>
      <c r="BH205" s="7" t="s">
        <v>98</v>
      </c>
      <c r="BI205" s="7"/>
      <c r="BJ205" s="4"/>
      <c r="BK205" s="8"/>
      <c r="BL205" s="2" t="s">
        <v>98</v>
      </c>
      <c r="BM205" s="7"/>
      <c r="BN205" s="7"/>
      <c r="BO205" s="4"/>
      <c r="BP205" s="8"/>
      <c r="BQ205" s="4"/>
      <c r="BR205" s="8"/>
      <c r="BS205" s="7"/>
      <c r="BT205" s="7"/>
      <c r="BU205" s="2" t="s">
        <v>324</v>
      </c>
      <c r="BV205" s="2" t="s">
        <v>95</v>
      </c>
      <c r="BW205" s="2" t="s">
        <v>98</v>
      </c>
      <c r="BX205" s="2" t="s">
        <v>98</v>
      </c>
      <c r="BY205" s="2" t="s">
        <v>110</v>
      </c>
      <c r="BZ205" s="2" t="s">
        <v>98</v>
      </c>
    </row>
    <row r="206">
      <c r="A206" s="2" t="s">
        <v>1264</v>
      </c>
      <c r="B206" s="2" t="s">
        <v>87</v>
      </c>
      <c r="C206" s="2" t="s">
        <v>1178</v>
      </c>
      <c r="D206" s="2" t="s">
        <v>392</v>
      </c>
      <c r="E206" s="2" t="s">
        <v>393</v>
      </c>
      <c r="F206" s="2" t="s">
        <v>1260</v>
      </c>
      <c r="G206" s="2" t="s">
        <v>1260</v>
      </c>
      <c r="H206" s="2" t="s">
        <v>1260</v>
      </c>
      <c r="I206" s="2" t="s">
        <v>1265</v>
      </c>
      <c r="J206" s="2" t="s">
        <v>93</v>
      </c>
      <c r="K206" s="2" t="s">
        <v>127</v>
      </c>
      <c r="L206" s="3">
        <v>95.23</v>
      </c>
      <c r="M206" s="3">
        <v>99.99</v>
      </c>
      <c r="N206" s="3">
        <v>199.99</v>
      </c>
      <c r="O206" s="2" t="s">
        <v>95</v>
      </c>
      <c r="P206" s="2" t="s">
        <v>411</v>
      </c>
      <c r="Q206" s="2" t="s">
        <v>97</v>
      </c>
      <c r="R206" s="2" t="s">
        <v>98</v>
      </c>
      <c r="S206" s="2" t="s">
        <v>98</v>
      </c>
      <c r="T206" s="2" t="s">
        <v>98</v>
      </c>
      <c r="U206" s="2" t="s">
        <v>117</v>
      </c>
      <c r="V206" s="2" t="s">
        <v>296</v>
      </c>
      <c r="W206" s="2" t="s">
        <v>165</v>
      </c>
      <c r="X206" s="2" t="s">
        <v>1186</v>
      </c>
      <c r="Y206" s="2" t="s">
        <v>98</v>
      </c>
      <c r="Z206" s="4"/>
      <c r="AA206" s="4">
        <f>=ROUNDDOWN({0},0)</f>
      </c>
      <c r="AB206" s="5"/>
      <c r="AC206" s="2" t="s">
        <v>1263</v>
      </c>
      <c r="AD206" s="4">
        <v>100</v>
      </c>
      <c r="AE206" s="4">
        <v>100</v>
      </c>
      <c r="AF206" s="6"/>
      <c r="AG206" s="6"/>
      <c r="AH206" s="7">
        <v>0</v>
      </c>
      <c r="AI206" s="4"/>
      <c r="AJ206" s="4">
        <f>=ROUNDDOWN({0},0)</f>
      </c>
      <c r="AK206" s="5"/>
      <c r="AL206" s="2" t="s">
        <v>98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 t="s">
        <v>98</v>
      </c>
      <c r="BD206" s="8" t="s">
        <v>98</v>
      </c>
      <c r="BE206" s="4" t="s">
        <v>98</v>
      </c>
      <c r="BF206" s="8" t="s">
        <v>98</v>
      </c>
      <c r="BG206" s="7" t="s">
        <v>98</v>
      </c>
      <c r="BH206" s="7" t="s">
        <v>98</v>
      </c>
      <c r="BI206" s="7"/>
      <c r="BJ206" s="4"/>
      <c r="BK206" s="8"/>
      <c r="BL206" s="2" t="s">
        <v>98</v>
      </c>
      <c r="BM206" s="7"/>
      <c r="BN206" s="7"/>
      <c r="BO206" s="4"/>
      <c r="BP206" s="8"/>
      <c r="BQ206" s="4"/>
      <c r="BR206" s="8"/>
      <c r="BS206" s="7"/>
      <c r="BT206" s="7"/>
      <c r="BU206" s="2" t="s">
        <v>324</v>
      </c>
      <c r="BV206" s="2" t="s">
        <v>95</v>
      </c>
      <c r="BW206" s="2" t="s">
        <v>98</v>
      </c>
      <c r="BX206" s="2" t="s">
        <v>98</v>
      </c>
      <c r="BY206" s="2" t="s">
        <v>110</v>
      </c>
      <c r="BZ206" s="2" t="s">
        <v>98</v>
      </c>
    </row>
    <row r="207">
      <c r="A207" s="2" t="s">
        <v>1266</v>
      </c>
      <c r="B207" s="2" t="s">
        <v>87</v>
      </c>
      <c r="C207" s="2" t="s">
        <v>1178</v>
      </c>
      <c r="D207" s="2" t="s">
        <v>392</v>
      </c>
      <c r="E207" s="2" t="s">
        <v>393</v>
      </c>
      <c r="F207" s="2" t="s">
        <v>1267</v>
      </c>
      <c r="G207" s="2" t="s">
        <v>1267</v>
      </c>
      <c r="H207" s="2" t="s">
        <v>1267</v>
      </c>
      <c r="I207" s="2" t="s">
        <v>1268</v>
      </c>
      <c r="J207" s="2" t="s">
        <v>93</v>
      </c>
      <c r="K207" s="2" t="s">
        <v>294</v>
      </c>
      <c r="L207" s="3">
        <v>56.66</v>
      </c>
      <c r="M207" s="3">
        <v>59.49</v>
      </c>
      <c r="N207" s="3">
        <v>118.99</v>
      </c>
      <c r="O207" s="2" t="s">
        <v>95</v>
      </c>
      <c r="P207" s="2" t="s">
        <v>295</v>
      </c>
      <c r="Q207" s="2" t="s">
        <v>97</v>
      </c>
      <c r="R207" s="2" t="s">
        <v>98</v>
      </c>
      <c r="S207" s="2" t="s">
        <v>98</v>
      </c>
      <c r="T207" s="2" t="s">
        <v>98</v>
      </c>
      <c r="U207" s="2" t="s">
        <v>117</v>
      </c>
      <c r="V207" s="2" t="s">
        <v>296</v>
      </c>
      <c r="W207" s="2" t="s">
        <v>1186</v>
      </c>
      <c r="X207" s="2" t="s">
        <v>1269</v>
      </c>
      <c r="Y207" s="2" t="s">
        <v>298</v>
      </c>
      <c r="Z207" s="4">
        <v>67</v>
      </c>
      <c r="AA207" s="4">
        <f>=ROUNDDOWN(16.75,0)</f>
      </c>
      <c r="AB207" s="5">
        <v>4</v>
      </c>
      <c r="AC207" s="2" t="s">
        <v>98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98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>
        <v>2</v>
      </c>
      <c r="BK207" s="8">
        <v>143.83</v>
      </c>
      <c r="BL207" s="2" t="s">
        <v>931</v>
      </c>
      <c r="BM207" s="7"/>
      <c r="BN207" s="7"/>
      <c r="BO207" s="4"/>
      <c r="BP207" s="8"/>
      <c r="BQ207" s="4"/>
      <c r="BR207" s="8"/>
      <c r="BS207" s="7"/>
      <c r="BT207" s="7"/>
      <c r="BU207" s="2" t="s">
        <v>107</v>
      </c>
      <c r="BV207" s="2" t="s">
        <v>95</v>
      </c>
      <c r="BW207" s="2" t="s">
        <v>300</v>
      </c>
      <c r="BX207" s="2" t="s">
        <v>1151</v>
      </c>
      <c r="BY207" s="2" t="s">
        <v>110</v>
      </c>
      <c r="BZ207" s="2" t="s">
        <v>98</v>
      </c>
    </row>
    <row r="208">
      <c r="A208" s="2" t="s">
        <v>1270</v>
      </c>
      <c r="B208" s="2" t="s">
        <v>87</v>
      </c>
      <c r="C208" s="2" t="s">
        <v>1178</v>
      </c>
      <c r="D208" s="2" t="s">
        <v>392</v>
      </c>
      <c r="E208" s="2" t="s">
        <v>417</v>
      </c>
      <c r="F208" s="2" t="s">
        <v>1271</v>
      </c>
      <c r="G208" s="2" t="s">
        <v>1271</v>
      </c>
      <c r="H208" s="2" t="s">
        <v>1271</v>
      </c>
      <c r="I208" s="2" t="s">
        <v>1272</v>
      </c>
      <c r="J208" s="2" t="s">
        <v>93</v>
      </c>
      <c r="K208" s="2" t="s">
        <v>294</v>
      </c>
      <c r="L208" s="3">
        <v>62.26</v>
      </c>
      <c r="M208" s="3">
        <v>65.37</v>
      </c>
      <c r="N208" s="3">
        <v>130.04</v>
      </c>
      <c r="O208" s="2" t="s">
        <v>95</v>
      </c>
      <c r="P208" s="2" t="s">
        <v>163</v>
      </c>
      <c r="Q208" s="2" t="s">
        <v>97</v>
      </c>
      <c r="R208" s="2" t="s">
        <v>98</v>
      </c>
      <c r="S208" s="2" t="s">
        <v>98</v>
      </c>
      <c r="T208" s="2" t="s">
        <v>98</v>
      </c>
      <c r="U208" s="2" t="s">
        <v>117</v>
      </c>
      <c r="V208" s="2" t="s">
        <v>439</v>
      </c>
      <c r="W208" s="2" t="s">
        <v>103</v>
      </c>
      <c r="X208" s="2" t="s">
        <v>1181</v>
      </c>
      <c r="Y208" s="2" t="s">
        <v>1273</v>
      </c>
      <c r="Z208" s="4">
        <v>332</v>
      </c>
      <c r="AA208" s="4">
        <f>=ROUNDDOWN(13.8333333333333,0)</f>
      </c>
      <c r="AB208" s="5">
        <v>24</v>
      </c>
      <c r="AC208" s="2" t="s">
        <v>136</v>
      </c>
      <c r="AD208" s="4">
        <v>144</v>
      </c>
      <c r="AE208" s="4">
        <v>200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98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>
        <v>21</v>
      </c>
      <c r="BK208" s="8">
        <v>1513.5</v>
      </c>
      <c r="BL208" s="2" t="s">
        <v>1274</v>
      </c>
      <c r="BM208" s="7"/>
      <c r="BN208" s="7"/>
      <c r="BO208" s="4"/>
      <c r="BP208" s="8"/>
      <c r="BQ208" s="4"/>
      <c r="BR208" s="8"/>
      <c r="BS208" s="7"/>
      <c r="BT208" s="7"/>
      <c r="BU208" s="2" t="s">
        <v>107</v>
      </c>
      <c r="BV208" s="2" t="s">
        <v>95</v>
      </c>
      <c r="BW208" s="2" t="s">
        <v>149</v>
      </c>
      <c r="BX208" s="2" t="s">
        <v>344</v>
      </c>
      <c r="BY208" s="2" t="s">
        <v>110</v>
      </c>
      <c r="BZ208" s="2" t="s">
        <v>98</v>
      </c>
    </row>
    <row r="209">
      <c r="A209" s="2" t="s">
        <v>1275</v>
      </c>
      <c r="B209" s="2" t="s">
        <v>87</v>
      </c>
      <c r="C209" s="2" t="s">
        <v>1178</v>
      </c>
      <c r="D209" s="2" t="s">
        <v>392</v>
      </c>
      <c r="E209" s="2" t="s">
        <v>417</v>
      </c>
      <c r="F209" s="2" t="s">
        <v>1276</v>
      </c>
      <c r="G209" s="2" t="s">
        <v>1276</v>
      </c>
      <c r="H209" s="2" t="s">
        <v>1276</v>
      </c>
      <c r="I209" s="2" t="s">
        <v>1277</v>
      </c>
      <c r="J209" s="2" t="s">
        <v>93</v>
      </c>
      <c r="K209" s="2" t="s">
        <v>473</v>
      </c>
      <c r="L209" s="3">
        <v>105.12</v>
      </c>
      <c r="M209" s="3">
        <v>110.38</v>
      </c>
      <c r="N209" s="3">
        <v>219</v>
      </c>
      <c r="O209" s="2" t="s">
        <v>1278</v>
      </c>
      <c r="P209" s="2" t="s">
        <v>115</v>
      </c>
      <c r="Q209" s="2" t="s">
        <v>97</v>
      </c>
      <c r="R209" s="2" t="s">
        <v>98</v>
      </c>
      <c r="S209" s="2" t="s">
        <v>98</v>
      </c>
      <c r="T209" s="2" t="s">
        <v>98</v>
      </c>
      <c r="U209" s="2" t="s">
        <v>117</v>
      </c>
      <c r="V209" s="2" t="s">
        <v>439</v>
      </c>
      <c r="W209" s="2" t="s">
        <v>103</v>
      </c>
      <c r="X209" s="2" t="s">
        <v>297</v>
      </c>
      <c r="Y209" s="2" t="s">
        <v>1279</v>
      </c>
      <c r="Z209" s="4"/>
      <c r="AA209" s="4">
        <f>=ROUNDDOWN({0},0)</f>
      </c>
      <c r="AB209" s="5"/>
      <c r="AC209" s="2" t="s">
        <v>98</v>
      </c>
      <c r="AD209" s="4"/>
      <c r="AE209" s="4"/>
      <c r="AF209" s="6">
        <v>63</v>
      </c>
      <c r="AG209" s="6"/>
      <c r="AH209" s="7">
        <v>0</v>
      </c>
      <c r="AI209" s="4"/>
      <c r="AJ209" s="4">
        <f>=ROUNDDOWN({0},0)</f>
      </c>
      <c r="AK209" s="5"/>
      <c r="AL209" s="2" t="s">
        <v>98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98</v>
      </c>
      <c r="BM209" s="7"/>
      <c r="BN209" s="7"/>
      <c r="BO209" s="4"/>
      <c r="BP209" s="8"/>
      <c r="BQ209" s="4"/>
      <c r="BR209" s="8"/>
      <c r="BS209" s="7"/>
      <c r="BT209" s="7"/>
      <c r="BU209" s="2" t="s">
        <v>107</v>
      </c>
      <c r="BV209" s="2" t="s">
        <v>95</v>
      </c>
      <c r="BW209" s="2" t="s">
        <v>317</v>
      </c>
      <c r="BX209" s="2" t="s">
        <v>1280</v>
      </c>
      <c r="BY209" s="2" t="s">
        <v>110</v>
      </c>
      <c r="BZ209" s="2" t="s">
        <v>98</v>
      </c>
    </row>
    <row r="210">
      <c r="A210" s="2" t="s">
        <v>1281</v>
      </c>
      <c r="B210" s="2" t="s">
        <v>87</v>
      </c>
      <c r="C210" s="2" t="s">
        <v>1178</v>
      </c>
      <c r="D210" s="2" t="s">
        <v>392</v>
      </c>
      <c r="E210" s="2" t="s">
        <v>417</v>
      </c>
      <c r="F210" s="2" t="s">
        <v>1282</v>
      </c>
      <c r="G210" s="2" t="s">
        <v>1282</v>
      </c>
      <c r="H210" s="2" t="s">
        <v>1282</v>
      </c>
      <c r="I210" s="2" t="s">
        <v>1283</v>
      </c>
      <c r="J210" s="2" t="s">
        <v>93</v>
      </c>
      <c r="K210" s="2" t="s">
        <v>473</v>
      </c>
      <c r="L210" s="3">
        <v>123.21</v>
      </c>
      <c r="M210" s="3">
        <v>129.37</v>
      </c>
      <c r="N210" s="3">
        <v>225.24</v>
      </c>
      <c r="O210" s="2" t="s">
        <v>95</v>
      </c>
      <c r="P210" s="2" t="s">
        <v>134</v>
      </c>
      <c r="Q210" s="2" t="s">
        <v>97</v>
      </c>
      <c r="R210" s="2" t="s">
        <v>98</v>
      </c>
      <c r="S210" s="2" t="s">
        <v>98</v>
      </c>
      <c r="T210" s="2" t="s">
        <v>98</v>
      </c>
      <c r="U210" s="2" t="s">
        <v>117</v>
      </c>
      <c r="V210" s="2" t="s">
        <v>439</v>
      </c>
      <c r="W210" s="2" t="s">
        <v>103</v>
      </c>
      <c r="X210" s="2" t="s">
        <v>1181</v>
      </c>
      <c r="Y210" s="2" t="s">
        <v>1284</v>
      </c>
      <c r="Z210" s="4">
        <v>82</v>
      </c>
      <c r="AA210" s="4">
        <f>=ROUNDDOWN(20.5,0)</f>
      </c>
      <c r="AB210" s="5">
        <v>4</v>
      </c>
      <c r="AC210" s="2" t="s">
        <v>287</v>
      </c>
      <c r="AD210" s="4">
        <v>100</v>
      </c>
      <c r="AE210" s="4">
        <v>100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98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>
        <v>4</v>
      </c>
      <c r="BK210" s="8">
        <v>527.07</v>
      </c>
      <c r="BL210" s="2" t="s">
        <v>1285</v>
      </c>
      <c r="BM210" s="7"/>
      <c r="BN210" s="7"/>
      <c r="BO210" s="4"/>
      <c r="BP210" s="8"/>
      <c r="BQ210" s="4"/>
      <c r="BR210" s="8"/>
      <c r="BS210" s="7"/>
      <c r="BT210" s="7"/>
      <c r="BU210" s="2" t="s">
        <v>107</v>
      </c>
      <c r="BV210" s="2" t="s">
        <v>95</v>
      </c>
      <c r="BW210" s="2" t="s">
        <v>317</v>
      </c>
      <c r="BX210" s="2" t="s">
        <v>1286</v>
      </c>
      <c r="BY210" s="2" t="s">
        <v>110</v>
      </c>
      <c r="BZ210" s="2" t="s">
        <v>98</v>
      </c>
    </row>
    <row r="211">
      <c r="A211" s="2" t="s">
        <v>1287</v>
      </c>
      <c r="B211" s="2" t="s">
        <v>87</v>
      </c>
      <c r="C211" s="2" t="s">
        <v>1178</v>
      </c>
      <c r="D211" s="2" t="s">
        <v>326</v>
      </c>
      <c r="E211" s="2" t="s">
        <v>326</v>
      </c>
      <c r="F211" s="2" t="s">
        <v>1288</v>
      </c>
      <c r="G211" s="2" t="s">
        <v>1288</v>
      </c>
      <c r="H211" s="2" t="s">
        <v>1288</v>
      </c>
      <c r="I211" s="2" t="s">
        <v>1289</v>
      </c>
      <c r="J211" s="2" t="s">
        <v>93</v>
      </c>
      <c r="K211" s="2" t="s">
        <v>236</v>
      </c>
      <c r="L211" s="3">
        <v>15.17</v>
      </c>
      <c r="M211" s="3">
        <v>15.93</v>
      </c>
      <c r="N211" s="3">
        <v>38.24</v>
      </c>
      <c r="O211" s="2" t="s">
        <v>95</v>
      </c>
      <c r="P211" s="2" t="s">
        <v>134</v>
      </c>
      <c r="Q211" s="2" t="s">
        <v>97</v>
      </c>
      <c r="R211" s="2" t="s">
        <v>98</v>
      </c>
      <c r="S211" s="2" t="s">
        <v>1290</v>
      </c>
      <c r="T211" s="2" t="s">
        <v>98</v>
      </c>
      <c r="U211" s="2" t="s">
        <v>117</v>
      </c>
      <c r="V211" s="2" t="s">
        <v>486</v>
      </c>
      <c r="W211" s="2" t="s">
        <v>314</v>
      </c>
      <c r="X211" s="2" t="s">
        <v>1215</v>
      </c>
      <c r="Y211" s="2" t="s">
        <v>460</v>
      </c>
      <c r="Z211" s="4">
        <v>92</v>
      </c>
      <c r="AA211" s="4">
        <f>=ROUNDDOWN(7.07692307692308,0)</f>
      </c>
      <c r="AB211" s="5">
        <v>13</v>
      </c>
      <c r="AC211" s="2" t="s">
        <v>360</v>
      </c>
      <c r="AD211" s="4">
        <v>100</v>
      </c>
      <c r="AE211" s="4">
        <v>200</v>
      </c>
      <c r="AF211" s="6">
        <v>63</v>
      </c>
      <c r="AG211" s="6"/>
      <c r="AH211" s="7">
        <v>1</v>
      </c>
      <c r="AI211" s="4"/>
      <c r="AJ211" s="4">
        <f>=ROUNDDOWN({0},0)</f>
      </c>
      <c r="AK211" s="5"/>
      <c r="AL211" s="2" t="s">
        <v>98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>
        <v>20</v>
      </c>
      <c r="BK211" s="8">
        <v>399.1</v>
      </c>
      <c r="BL211" s="2" t="s">
        <v>1291</v>
      </c>
      <c r="BM211" s="7"/>
      <c r="BN211" s="7"/>
      <c r="BO211" s="4"/>
      <c r="BP211" s="8"/>
      <c r="BQ211" s="4"/>
      <c r="BR211" s="8"/>
      <c r="BS211" s="7"/>
      <c r="BT211" s="7"/>
      <c r="BU211" s="2" t="s">
        <v>107</v>
      </c>
      <c r="BV211" s="2" t="s">
        <v>95</v>
      </c>
      <c r="BW211" s="2" t="s">
        <v>206</v>
      </c>
      <c r="BX211" s="2" t="s">
        <v>224</v>
      </c>
      <c r="BY211" s="2" t="s">
        <v>110</v>
      </c>
      <c r="BZ211" s="2" t="s">
        <v>98</v>
      </c>
    </row>
    <row r="212">
      <c r="A212" s="2" t="s">
        <v>1292</v>
      </c>
      <c r="B212" s="2" t="s">
        <v>87</v>
      </c>
      <c r="C212" s="2" t="s">
        <v>1178</v>
      </c>
      <c r="D212" s="2" t="s">
        <v>326</v>
      </c>
      <c r="E212" s="2" t="s">
        <v>326</v>
      </c>
      <c r="F212" s="2" t="s">
        <v>1293</v>
      </c>
      <c r="G212" s="2" t="s">
        <v>1293</v>
      </c>
      <c r="H212" s="2" t="s">
        <v>1293</v>
      </c>
      <c r="I212" s="2" t="s">
        <v>1294</v>
      </c>
      <c r="J212" s="2" t="s">
        <v>93</v>
      </c>
      <c r="K212" s="2" t="s">
        <v>236</v>
      </c>
      <c r="L212" s="3">
        <v>17.03</v>
      </c>
      <c r="M212" s="3">
        <v>17.88</v>
      </c>
      <c r="N212" s="3">
        <v>39.09</v>
      </c>
      <c r="O212" s="2" t="s">
        <v>95</v>
      </c>
      <c r="P212" s="2" t="s">
        <v>134</v>
      </c>
      <c r="Q212" s="2" t="s">
        <v>97</v>
      </c>
      <c r="R212" s="2" t="s">
        <v>98</v>
      </c>
      <c r="S212" s="2" t="s">
        <v>1295</v>
      </c>
      <c r="T212" s="2" t="s">
        <v>98</v>
      </c>
      <c r="U212" s="2" t="s">
        <v>117</v>
      </c>
      <c r="V212" s="2" t="s">
        <v>486</v>
      </c>
      <c r="W212" s="2" t="s">
        <v>314</v>
      </c>
      <c r="X212" s="2" t="s">
        <v>1215</v>
      </c>
      <c r="Y212" s="2" t="s">
        <v>460</v>
      </c>
      <c r="Z212" s="4">
        <v>132</v>
      </c>
      <c r="AA212" s="4">
        <f>=ROUNDDOWN(13.2,0)</f>
      </c>
      <c r="AB212" s="5">
        <v>10</v>
      </c>
      <c r="AC212" s="2" t="s">
        <v>412</v>
      </c>
      <c r="AD212" s="4">
        <v>100</v>
      </c>
      <c r="AE212" s="4">
        <v>100</v>
      </c>
      <c r="AF212" s="6">
        <v>63</v>
      </c>
      <c r="AG212" s="6"/>
      <c r="AH212" s="7">
        <v>1</v>
      </c>
      <c r="AI212" s="4"/>
      <c r="AJ212" s="4">
        <f>=ROUNDDOWN({0},0)</f>
      </c>
      <c r="AK212" s="5"/>
      <c r="AL212" s="2" t="s">
        <v>98</v>
      </c>
      <c r="AM212" s="4"/>
      <c r="AN212" s="4"/>
      <c r="AO212" s="7">
        <v>0</v>
      </c>
      <c r="AP212" s="4"/>
      <c r="AQ212" s="8"/>
      <c r="AR212" s="4">
        <v>1</v>
      </c>
      <c r="AS212" s="8">
        <v>22.08</v>
      </c>
      <c r="AT212" s="7">
        <v>-1</v>
      </c>
      <c r="AU212" s="7">
        <v>-1</v>
      </c>
      <c r="AV212" s="4"/>
      <c r="AW212" s="8"/>
      <c r="AX212" s="4">
        <v>1</v>
      </c>
      <c r="AY212" s="8">
        <v>22.08</v>
      </c>
      <c r="AZ212" s="7">
        <v>-1</v>
      </c>
      <c r="BA212" s="7">
        <v>-1</v>
      </c>
      <c r="BB212" s="7"/>
      <c r="BC212" s="4"/>
      <c r="BD212" s="8"/>
      <c r="BE212" s="4">
        <v>1</v>
      </c>
      <c r="BF212" s="8">
        <v>22.08</v>
      </c>
      <c r="BG212" s="7">
        <v>-1</v>
      </c>
      <c r="BH212" s="7">
        <v>-1</v>
      </c>
      <c r="BI212" s="7"/>
      <c r="BJ212" s="4">
        <v>8</v>
      </c>
      <c r="BK212" s="8">
        <v>156.93</v>
      </c>
      <c r="BL212" s="2" t="s">
        <v>1296</v>
      </c>
      <c r="BM212" s="7"/>
      <c r="BN212" s="7"/>
      <c r="BO212" s="4"/>
      <c r="BP212" s="8"/>
      <c r="BQ212" s="4">
        <v>1</v>
      </c>
      <c r="BR212" s="8">
        <v>22.08</v>
      </c>
      <c r="BS212" s="7">
        <v>-1</v>
      </c>
      <c r="BT212" s="7">
        <v>-1</v>
      </c>
      <c r="BU212" s="2" t="s">
        <v>107</v>
      </c>
      <c r="BV212" s="2" t="s">
        <v>95</v>
      </c>
      <c r="BW212" s="2" t="s">
        <v>206</v>
      </c>
      <c r="BX212" s="2" t="s">
        <v>1297</v>
      </c>
      <c r="BY212" s="2" t="s">
        <v>110</v>
      </c>
      <c r="BZ212" s="2" t="s">
        <v>98</v>
      </c>
    </row>
    <row r="213">
      <c r="A213" s="2" t="s">
        <v>1298</v>
      </c>
      <c r="B213" s="2" t="s">
        <v>87</v>
      </c>
      <c r="C213" s="2" t="s">
        <v>1178</v>
      </c>
      <c r="D213" s="2" t="s">
        <v>326</v>
      </c>
      <c r="E213" s="2" t="s">
        <v>326</v>
      </c>
      <c r="F213" s="2" t="s">
        <v>1299</v>
      </c>
      <c r="G213" s="2" t="s">
        <v>1299</v>
      </c>
      <c r="H213" s="2" t="s">
        <v>1299</v>
      </c>
      <c r="I213" s="2" t="s">
        <v>1300</v>
      </c>
      <c r="J213" s="2" t="s">
        <v>93</v>
      </c>
      <c r="K213" s="2" t="s">
        <v>219</v>
      </c>
      <c r="L213" s="3">
        <v>41.9</v>
      </c>
      <c r="M213" s="3">
        <v>44</v>
      </c>
      <c r="N213" s="3">
        <v>87.99</v>
      </c>
      <c r="O213" s="2" t="s">
        <v>95</v>
      </c>
      <c r="P213" s="2" t="s">
        <v>295</v>
      </c>
      <c r="Q213" s="2" t="s">
        <v>97</v>
      </c>
      <c r="R213" s="2" t="s">
        <v>98</v>
      </c>
      <c r="S213" s="2" t="s">
        <v>98</v>
      </c>
      <c r="T213" s="2" t="s">
        <v>98</v>
      </c>
      <c r="U213" s="2" t="s">
        <v>157</v>
      </c>
      <c r="V213" s="2" t="s">
        <v>1301</v>
      </c>
      <c r="W213" s="2" t="s">
        <v>98</v>
      </c>
      <c r="X213" s="2" t="s">
        <v>314</v>
      </c>
      <c r="Y213" s="2" t="s">
        <v>1302</v>
      </c>
      <c r="Z213" s="4">
        <v>100</v>
      </c>
      <c r="AA213" s="4">
        <f>=ROUNDDOWN({0},0)</f>
      </c>
      <c r="AB213" s="5"/>
      <c r="AC213" s="2" t="s">
        <v>98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98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98</v>
      </c>
      <c r="BM213" s="7"/>
      <c r="BN213" s="7"/>
      <c r="BO213" s="4"/>
      <c r="BP213" s="8"/>
      <c r="BQ213" s="4"/>
      <c r="BR213" s="8"/>
      <c r="BS213" s="7"/>
      <c r="BT213" s="7"/>
      <c r="BU213" s="2" t="s">
        <v>324</v>
      </c>
      <c r="BV213" s="2" t="s">
        <v>95</v>
      </c>
      <c r="BW213" s="2" t="s">
        <v>98</v>
      </c>
      <c r="BX213" s="2" t="s">
        <v>98</v>
      </c>
      <c r="BY213" s="2" t="s">
        <v>110</v>
      </c>
      <c r="BZ213" s="2" t="s">
        <v>98</v>
      </c>
    </row>
    <row r="214">
      <c r="A214" s="2" t="s">
        <v>1303</v>
      </c>
      <c r="B214" s="2" t="s">
        <v>87</v>
      </c>
      <c r="C214" s="2" t="s">
        <v>1178</v>
      </c>
      <c r="D214" s="2" t="s">
        <v>326</v>
      </c>
      <c r="E214" s="2" t="s">
        <v>326</v>
      </c>
      <c r="F214" s="2" t="s">
        <v>1304</v>
      </c>
      <c r="G214" s="2" t="s">
        <v>1304</v>
      </c>
      <c r="H214" s="2" t="s">
        <v>1304</v>
      </c>
      <c r="I214" s="2" t="s">
        <v>1305</v>
      </c>
      <c r="J214" s="2" t="s">
        <v>93</v>
      </c>
      <c r="K214" s="2" t="s">
        <v>1005</v>
      </c>
      <c r="L214" s="3">
        <v>41.91</v>
      </c>
      <c r="M214" s="3">
        <v>44.01</v>
      </c>
      <c r="N214" s="3">
        <v>90.94</v>
      </c>
      <c r="O214" s="2" t="s">
        <v>95</v>
      </c>
      <c r="P214" s="2" t="s">
        <v>134</v>
      </c>
      <c r="Q214" s="2" t="s">
        <v>97</v>
      </c>
      <c r="R214" s="2" t="s">
        <v>98</v>
      </c>
      <c r="S214" s="2" t="s">
        <v>98</v>
      </c>
      <c r="T214" s="2" t="s">
        <v>98</v>
      </c>
      <c r="U214" s="2" t="s">
        <v>157</v>
      </c>
      <c r="V214" s="2" t="s">
        <v>101</v>
      </c>
      <c r="W214" s="2" t="s">
        <v>103</v>
      </c>
      <c r="X214" s="2" t="s">
        <v>1215</v>
      </c>
      <c r="Y214" s="2" t="s">
        <v>1241</v>
      </c>
      <c r="Z214" s="4">
        <v>35</v>
      </c>
      <c r="AA214" s="4">
        <f>=ROUNDDOWN(8.75,0)</f>
      </c>
      <c r="AB214" s="5">
        <v>4</v>
      </c>
      <c r="AC214" s="2" t="s">
        <v>360</v>
      </c>
      <c r="AD214" s="4">
        <v>100</v>
      </c>
      <c r="AE214" s="4">
        <v>100</v>
      </c>
      <c r="AF214" s="6">
        <v>63</v>
      </c>
      <c r="AG214" s="6"/>
      <c r="AH214" s="7">
        <v>1</v>
      </c>
      <c r="AI214" s="4"/>
      <c r="AJ214" s="4">
        <f>=ROUNDDOWN({0},0)</f>
      </c>
      <c r="AK214" s="5"/>
      <c r="AL214" s="2" t="s">
        <v>98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>
        <v>2</v>
      </c>
      <c r="BK214" s="8">
        <v>91.14</v>
      </c>
      <c r="BL214" s="2" t="s">
        <v>1306</v>
      </c>
      <c r="BM214" s="7"/>
      <c r="BN214" s="7"/>
      <c r="BO214" s="4"/>
      <c r="BP214" s="8"/>
      <c r="BQ214" s="4"/>
      <c r="BR214" s="8"/>
      <c r="BS214" s="7"/>
      <c r="BT214" s="7"/>
      <c r="BU214" s="2" t="s">
        <v>107</v>
      </c>
      <c r="BV214" s="2" t="s">
        <v>95</v>
      </c>
      <c r="BW214" s="2" t="s">
        <v>317</v>
      </c>
      <c r="BX214" s="2" t="s">
        <v>1307</v>
      </c>
      <c r="BY214" s="2" t="s">
        <v>110</v>
      </c>
      <c r="BZ214" s="2" t="s">
        <v>98</v>
      </c>
    </row>
    <row r="215">
      <c r="A215" s="2" t="s">
        <v>1308</v>
      </c>
      <c r="B215" s="2" t="s">
        <v>87</v>
      </c>
      <c r="C215" s="2" t="s">
        <v>1178</v>
      </c>
      <c r="D215" s="2" t="s">
        <v>326</v>
      </c>
      <c r="E215" s="2" t="s">
        <v>90</v>
      </c>
      <c r="F215" s="2" t="s">
        <v>1309</v>
      </c>
      <c r="G215" s="2" t="s">
        <v>1309</v>
      </c>
      <c r="H215" s="2" t="s">
        <v>1309</v>
      </c>
      <c r="I215" s="2" t="s">
        <v>1310</v>
      </c>
      <c r="J215" s="2" t="s">
        <v>93</v>
      </c>
      <c r="K215" s="2" t="s">
        <v>219</v>
      </c>
      <c r="L215" s="3">
        <v>25.71</v>
      </c>
      <c r="M215" s="3">
        <v>27</v>
      </c>
      <c r="N215" s="3">
        <v>59.99</v>
      </c>
      <c r="O215" s="2" t="s">
        <v>95</v>
      </c>
      <c r="P215" s="2" t="s">
        <v>295</v>
      </c>
      <c r="Q215" s="2" t="s">
        <v>97</v>
      </c>
      <c r="R215" s="2" t="s">
        <v>98</v>
      </c>
      <c r="S215" s="2" t="s">
        <v>98</v>
      </c>
      <c r="T215" s="2" t="s">
        <v>98</v>
      </c>
      <c r="U215" s="2" t="s">
        <v>157</v>
      </c>
      <c r="V215" s="2" t="s">
        <v>1301</v>
      </c>
      <c r="W215" s="2" t="s">
        <v>98</v>
      </c>
      <c r="X215" s="2" t="s">
        <v>314</v>
      </c>
      <c r="Y215" s="2" t="s">
        <v>1302</v>
      </c>
      <c r="Z215" s="4">
        <v>100</v>
      </c>
      <c r="AA215" s="4">
        <f>=ROUNDDOWN({0},0)</f>
      </c>
      <c r="AB215" s="5"/>
      <c r="AC215" s="2" t="s">
        <v>98</v>
      </c>
      <c r="AD215" s="4"/>
      <c r="AE215" s="4"/>
      <c r="AF215" s="6">
        <v>63</v>
      </c>
      <c r="AG215" s="6"/>
      <c r="AH215" s="7">
        <v>1</v>
      </c>
      <c r="AI215" s="4"/>
      <c r="AJ215" s="4">
        <f>=ROUNDDOWN({0},0)</f>
      </c>
      <c r="AK215" s="5"/>
      <c r="AL215" s="2" t="s">
        <v>98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98</v>
      </c>
      <c r="BM215" s="7"/>
      <c r="BN215" s="7"/>
      <c r="BO215" s="4"/>
      <c r="BP215" s="8"/>
      <c r="BQ215" s="4"/>
      <c r="BR215" s="8"/>
      <c r="BS215" s="7"/>
      <c r="BT215" s="7"/>
      <c r="BU215" s="2" t="s">
        <v>324</v>
      </c>
      <c r="BV215" s="2" t="s">
        <v>95</v>
      </c>
      <c r="BW215" s="2" t="s">
        <v>98</v>
      </c>
      <c r="BX215" s="2" t="s">
        <v>98</v>
      </c>
      <c r="BY215" s="2" t="s">
        <v>110</v>
      </c>
      <c r="BZ215" s="2" t="s">
        <v>98</v>
      </c>
    </row>
    <row r="216">
      <c r="A216" s="2" t="s">
        <v>1311</v>
      </c>
      <c r="B216" s="2" t="s">
        <v>87</v>
      </c>
      <c r="C216" s="2" t="s">
        <v>1178</v>
      </c>
      <c r="D216" s="2" t="s">
        <v>326</v>
      </c>
      <c r="E216" s="2" t="s">
        <v>90</v>
      </c>
      <c r="F216" s="2" t="s">
        <v>1312</v>
      </c>
      <c r="G216" s="2" t="s">
        <v>1312</v>
      </c>
      <c r="H216" s="2" t="s">
        <v>1312</v>
      </c>
      <c r="I216" s="2" t="s">
        <v>1313</v>
      </c>
      <c r="J216" s="2" t="s">
        <v>93</v>
      </c>
      <c r="K216" s="2" t="s">
        <v>236</v>
      </c>
      <c r="L216" s="3">
        <v>38.09</v>
      </c>
      <c r="M216" s="3">
        <v>39.99</v>
      </c>
      <c r="N216" s="3">
        <v>79.99</v>
      </c>
      <c r="O216" s="2" t="s">
        <v>95</v>
      </c>
      <c r="P216" s="2" t="s">
        <v>295</v>
      </c>
      <c r="Q216" s="2" t="s">
        <v>97</v>
      </c>
      <c r="R216" s="2" t="s">
        <v>98</v>
      </c>
      <c r="S216" s="2" t="s">
        <v>98</v>
      </c>
      <c r="T216" s="2" t="s">
        <v>98</v>
      </c>
      <c r="U216" s="2" t="s">
        <v>100</v>
      </c>
      <c r="V216" s="2" t="s">
        <v>313</v>
      </c>
      <c r="W216" s="2" t="s">
        <v>165</v>
      </c>
      <c r="X216" s="2" t="s">
        <v>1186</v>
      </c>
      <c r="Y216" s="2" t="s">
        <v>1302</v>
      </c>
      <c r="Z216" s="4">
        <v>100</v>
      </c>
      <c r="AA216" s="4">
        <f>=ROUNDDOWN({0},0)</f>
      </c>
      <c r="AB216" s="5"/>
      <c r="AC216" s="2" t="s">
        <v>98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98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98</v>
      </c>
      <c r="BM216" s="7"/>
      <c r="BN216" s="7"/>
      <c r="BO216" s="4"/>
      <c r="BP216" s="8"/>
      <c r="BQ216" s="4"/>
      <c r="BR216" s="8"/>
      <c r="BS216" s="7"/>
      <c r="BT216" s="7"/>
      <c r="BU216" s="2" t="s">
        <v>324</v>
      </c>
      <c r="BV216" s="2" t="s">
        <v>95</v>
      </c>
      <c r="BW216" s="2" t="s">
        <v>98</v>
      </c>
      <c r="BX216" s="2" t="s">
        <v>98</v>
      </c>
      <c r="BY216" s="2" t="s">
        <v>110</v>
      </c>
      <c r="BZ216" s="2" t="s">
        <v>98</v>
      </c>
    </row>
    <row r="217">
      <c r="A217" s="2" t="s">
        <v>1314</v>
      </c>
      <c r="B217" s="2" t="s">
        <v>87</v>
      </c>
      <c r="C217" s="2" t="s">
        <v>1315</v>
      </c>
      <c r="D217" s="2" t="s">
        <v>525</v>
      </c>
      <c r="E217" s="2" t="s">
        <v>525</v>
      </c>
      <c r="F217" s="2" t="s">
        <v>1316</v>
      </c>
      <c r="G217" s="2" t="s">
        <v>1316</v>
      </c>
      <c r="H217" s="2" t="s">
        <v>1316</v>
      </c>
      <c r="I217" s="2" t="s">
        <v>1317</v>
      </c>
      <c r="J217" s="2" t="s">
        <v>93</v>
      </c>
      <c r="K217" s="2" t="s">
        <v>236</v>
      </c>
      <c r="L217" s="3">
        <v>38.57</v>
      </c>
      <c r="M217" s="3">
        <v>40.5</v>
      </c>
      <c r="N217" s="3">
        <v>89.99</v>
      </c>
      <c r="O217" s="2" t="s">
        <v>155</v>
      </c>
      <c r="P217" s="2" t="s">
        <v>115</v>
      </c>
      <c r="Q217" s="2" t="s">
        <v>97</v>
      </c>
      <c r="R217" s="2" t="s">
        <v>98</v>
      </c>
      <c r="S217" s="2" t="s">
        <v>1318</v>
      </c>
      <c r="T217" s="2" t="s">
        <v>98</v>
      </c>
      <c r="U217" s="2" t="s">
        <v>157</v>
      </c>
      <c r="V217" s="2" t="s">
        <v>331</v>
      </c>
      <c r="W217" s="2" t="s">
        <v>102</v>
      </c>
      <c r="X217" s="2" t="s">
        <v>119</v>
      </c>
      <c r="Y217" s="2" t="s">
        <v>467</v>
      </c>
      <c r="Z217" s="4">
        <v>74</v>
      </c>
      <c r="AA217" s="4">
        <f>=ROUNDDOWN(370,0)</f>
      </c>
      <c r="AB217" s="5">
        <v>0.2</v>
      </c>
      <c r="AC217" s="2" t="s">
        <v>98</v>
      </c>
      <c r="AD217" s="4"/>
      <c r="AE217" s="4"/>
      <c r="AF217" s="6">
        <v>63</v>
      </c>
      <c r="AG217" s="6"/>
      <c r="AH217" s="7">
        <v>1</v>
      </c>
      <c r="AI217" s="4"/>
      <c r="AJ217" s="4">
        <f>=ROUNDDOWN({0},0)</f>
      </c>
      <c r="AK217" s="5"/>
      <c r="AL217" s="2" t="s">
        <v>98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98</v>
      </c>
      <c r="BM217" s="7"/>
      <c r="BN217" s="7"/>
      <c r="BO217" s="4"/>
      <c r="BP217" s="8"/>
      <c r="BQ217" s="4"/>
      <c r="BR217" s="8"/>
      <c r="BS217" s="7"/>
      <c r="BT217" s="7"/>
      <c r="BU217" s="2" t="s">
        <v>107</v>
      </c>
      <c r="BV217" s="2" t="s">
        <v>95</v>
      </c>
      <c r="BW217" s="2" t="s">
        <v>122</v>
      </c>
      <c r="BX217" s="2" t="s">
        <v>232</v>
      </c>
      <c r="BY217" s="2" t="s">
        <v>110</v>
      </c>
      <c r="BZ217" s="2" t="s">
        <v>98</v>
      </c>
    </row>
    <row r="218">
      <c r="A218" s="2" t="s">
        <v>1319</v>
      </c>
      <c r="B218" s="2" t="s">
        <v>87</v>
      </c>
      <c r="C218" s="2" t="s">
        <v>1315</v>
      </c>
      <c r="D218" s="2" t="s">
        <v>525</v>
      </c>
      <c r="E218" s="2" t="s">
        <v>326</v>
      </c>
      <c r="F218" s="2" t="s">
        <v>1320</v>
      </c>
      <c r="G218" s="2" t="s">
        <v>1320</v>
      </c>
      <c r="H218" s="2" t="s">
        <v>1320</v>
      </c>
      <c r="I218" s="2" t="s">
        <v>820</v>
      </c>
      <c r="J218" s="2" t="s">
        <v>93</v>
      </c>
      <c r="K218" s="2" t="s">
        <v>1321</v>
      </c>
      <c r="L218" s="3">
        <v>37.27</v>
      </c>
      <c r="M218" s="3">
        <v>39.13</v>
      </c>
      <c r="N218" s="3">
        <v>76.49</v>
      </c>
      <c r="O218" s="2" t="s">
        <v>95</v>
      </c>
      <c r="P218" s="2" t="s">
        <v>134</v>
      </c>
      <c r="Q218" s="2" t="s">
        <v>97</v>
      </c>
      <c r="R218" s="2" t="s">
        <v>98</v>
      </c>
      <c r="S218" s="2" t="s">
        <v>1322</v>
      </c>
      <c r="T218" s="2" t="s">
        <v>98</v>
      </c>
      <c r="U218" s="2" t="s">
        <v>157</v>
      </c>
      <c r="V218" s="2" t="s">
        <v>118</v>
      </c>
      <c r="W218" s="2" t="s">
        <v>102</v>
      </c>
      <c r="X218" s="2" t="s">
        <v>963</v>
      </c>
      <c r="Y218" s="2" t="s">
        <v>1323</v>
      </c>
      <c r="Z218" s="4">
        <v>179</v>
      </c>
      <c r="AA218" s="4">
        <f>=ROUNDDOWN(44.75,0)</f>
      </c>
      <c r="AB218" s="5">
        <v>4</v>
      </c>
      <c r="AC218" s="2" t="s">
        <v>98</v>
      </c>
      <c r="AD218" s="4"/>
      <c r="AE218" s="4"/>
      <c r="AF218" s="6">
        <v>63</v>
      </c>
      <c r="AG218" s="6"/>
      <c r="AH218" s="7">
        <v>1</v>
      </c>
      <c r="AI218" s="4"/>
      <c r="AJ218" s="4">
        <f>=ROUNDDOWN({0},0)</f>
      </c>
      <c r="AK218" s="5"/>
      <c r="AL218" s="2" t="s">
        <v>98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>
        <v>1</v>
      </c>
      <c r="BK218" s="8">
        <v>48.34</v>
      </c>
      <c r="BL218" s="2" t="s">
        <v>1324</v>
      </c>
      <c r="BM218" s="7"/>
      <c r="BN218" s="7"/>
      <c r="BO218" s="4"/>
      <c r="BP218" s="8"/>
      <c r="BQ218" s="4"/>
      <c r="BR218" s="8"/>
      <c r="BS218" s="7"/>
      <c r="BT218" s="7"/>
      <c r="BU218" s="2" t="s">
        <v>107</v>
      </c>
      <c r="BV218" s="2" t="s">
        <v>95</v>
      </c>
      <c r="BW218" s="2" t="s">
        <v>149</v>
      </c>
      <c r="BX218" s="2" t="s">
        <v>179</v>
      </c>
      <c r="BY218" s="2" t="s">
        <v>110</v>
      </c>
      <c r="BZ218" s="2" t="s">
        <v>98</v>
      </c>
    </row>
    <row r="219">
      <c r="A219" s="2" t="s">
        <v>1325</v>
      </c>
      <c r="B219" s="2" t="s">
        <v>87</v>
      </c>
      <c r="C219" s="2" t="s">
        <v>1315</v>
      </c>
      <c r="D219" s="2" t="s">
        <v>525</v>
      </c>
      <c r="E219" s="2" t="s">
        <v>326</v>
      </c>
      <c r="F219" s="2" t="s">
        <v>1326</v>
      </c>
      <c r="G219" s="2" t="s">
        <v>1326</v>
      </c>
      <c r="H219" s="2" t="s">
        <v>1326</v>
      </c>
      <c r="I219" s="2" t="s">
        <v>1327</v>
      </c>
      <c r="J219" s="2" t="s">
        <v>93</v>
      </c>
      <c r="K219" s="2" t="s">
        <v>364</v>
      </c>
      <c r="L219" s="3">
        <v>44.05</v>
      </c>
      <c r="M219" s="3">
        <v>46.25</v>
      </c>
      <c r="N219" s="3">
        <v>84.99</v>
      </c>
      <c r="O219" s="2" t="s">
        <v>95</v>
      </c>
      <c r="P219" s="2" t="s">
        <v>134</v>
      </c>
      <c r="Q219" s="2" t="s">
        <v>97</v>
      </c>
      <c r="R219" s="2" t="s">
        <v>98</v>
      </c>
      <c r="S219" s="2" t="s">
        <v>1328</v>
      </c>
      <c r="T219" s="2" t="s">
        <v>98</v>
      </c>
      <c r="U219" s="2" t="s">
        <v>100</v>
      </c>
      <c r="V219" s="2" t="s">
        <v>203</v>
      </c>
      <c r="W219" s="2" t="s">
        <v>146</v>
      </c>
      <c r="X219" s="2" t="s">
        <v>98</v>
      </c>
      <c r="Y219" s="2" t="s">
        <v>366</v>
      </c>
      <c r="Z219" s="4">
        <v>117</v>
      </c>
      <c r="AA219" s="4">
        <f>=ROUNDDOWN(29.25,0)</f>
      </c>
      <c r="AB219" s="5">
        <v>4</v>
      </c>
      <c r="AC219" s="2" t="s">
        <v>98</v>
      </c>
      <c r="AD219" s="4"/>
      <c r="AE219" s="4"/>
      <c r="AF219" s="6">
        <v>63</v>
      </c>
      <c r="AG219" s="6"/>
      <c r="AH219" s="7">
        <v>1</v>
      </c>
      <c r="AI219" s="4"/>
      <c r="AJ219" s="4">
        <f>=ROUNDDOWN({0},0)</f>
      </c>
      <c r="AK219" s="5"/>
      <c r="AL219" s="2" t="s">
        <v>98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>
        <v>2</v>
      </c>
      <c r="BK219" s="8">
        <v>108.72</v>
      </c>
      <c r="BL219" s="2" t="s">
        <v>1329</v>
      </c>
      <c r="BM219" s="7"/>
      <c r="BN219" s="7"/>
      <c r="BO219" s="4"/>
      <c r="BP219" s="8"/>
      <c r="BQ219" s="4"/>
      <c r="BR219" s="8"/>
      <c r="BS219" s="7"/>
      <c r="BT219" s="7"/>
      <c r="BU219" s="2" t="s">
        <v>107</v>
      </c>
      <c r="BV219" s="2" t="s">
        <v>95</v>
      </c>
      <c r="BW219" s="2" t="s">
        <v>368</v>
      </c>
      <c r="BX219" s="2" t="s">
        <v>1330</v>
      </c>
      <c r="BY219" s="2" t="s">
        <v>110</v>
      </c>
      <c r="BZ219" s="2" t="s">
        <v>98</v>
      </c>
    </row>
    <row r="220">
      <c r="A220" s="2" t="s">
        <v>1331</v>
      </c>
      <c r="B220" s="2" t="s">
        <v>87</v>
      </c>
      <c r="C220" s="2" t="s">
        <v>1315</v>
      </c>
      <c r="D220" s="2" t="s">
        <v>525</v>
      </c>
      <c r="E220" s="2" t="s">
        <v>326</v>
      </c>
      <c r="F220" s="2" t="s">
        <v>1332</v>
      </c>
      <c r="G220" s="2" t="s">
        <v>1332</v>
      </c>
      <c r="H220" s="2" t="s">
        <v>1332</v>
      </c>
      <c r="I220" s="2" t="s">
        <v>1333</v>
      </c>
      <c r="J220" s="2" t="s">
        <v>93</v>
      </c>
      <c r="K220" s="2" t="s">
        <v>236</v>
      </c>
      <c r="L220" s="3">
        <v>45.32</v>
      </c>
      <c r="M220" s="3">
        <v>47.59</v>
      </c>
      <c r="N220" s="3">
        <v>92.49</v>
      </c>
      <c r="O220" s="2" t="s">
        <v>155</v>
      </c>
      <c r="P220" s="2" t="s">
        <v>115</v>
      </c>
      <c r="Q220" s="2" t="s">
        <v>97</v>
      </c>
      <c r="R220" s="2" t="s">
        <v>98</v>
      </c>
      <c r="S220" s="2" t="s">
        <v>1334</v>
      </c>
      <c r="T220" s="2" t="s">
        <v>98</v>
      </c>
      <c r="U220" s="2" t="s">
        <v>100</v>
      </c>
      <c r="V220" s="2" t="s">
        <v>331</v>
      </c>
      <c r="W220" s="2" t="s">
        <v>102</v>
      </c>
      <c r="X220" s="2" t="s">
        <v>98</v>
      </c>
      <c r="Y220" s="2" t="s">
        <v>815</v>
      </c>
      <c r="Z220" s="4">
        <v>90</v>
      </c>
      <c r="AA220" s="4">
        <f>=ROUNDDOWN(150,0)</f>
      </c>
      <c r="AB220" s="5">
        <v>0.6</v>
      </c>
      <c r="AC220" s="2" t="s">
        <v>98</v>
      </c>
      <c r="AD220" s="4"/>
      <c r="AE220" s="4"/>
      <c r="AF220" s="6">
        <v>63</v>
      </c>
      <c r="AG220" s="6"/>
      <c r="AH220" s="7">
        <v>1</v>
      </c>
      <c r="AI220" s="4"/>
      <c r="AJ220" s="4">
        <f>=ROUNDDOWN({0},0)</f>
      </c>
      <c r="AK220" s="5"/>
      <c r="AL220" s="2" t="s">
        <v>98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/>
      <c r="BK220" s="8"/>
      <c r="BL220" s="2" t="s">
        <v>98</v>
      </c>
      <c r="BM220" s="7"/>
      <c r="BN220" s="7"/>
      <c r="BO220" s="4"/>
      <c r="BP220" s="8"/>
      <c r="BQ220" s="4"/>
      <c r="BR220" s="8"/>
      <c r="BS220" s="7"/>
      <c r="BT220" s="7"/>
      <c r="BU220" s="2" t="s">
        <v>107</v>
      </c>
      <c r="BV220" s="2" t="s">
        <v>95</v>
      </c>
      <c r="BW220" s="2" t="s">
        <v>453</v>
      </c>
      <c r="BX220" s="2" t="s">
        <v>727</v>
      </c>
      <c r="BY220" s="2" t="s">
        <v>271</v>
      </c>
      <c r="BZ220" s="2" t="s">
        <v>98</v>
      </c>
    </row>
    <row r="221">
      <c r="A221" s="2" t="s">
        <v>1335</v>
      </c>
      <c r="B221" s="2" t="s">
        <v>87</v>
      </c>
      <c r="C221" s="2" t="s">
        <v>1315</v>
      </c>
      <c r="D221" s="2" t="s">
        <v>525</v>
      </c>
      <c r="E221" s="2" t="s">
        <v>326</v>
      </c>
      <c r="F221" s="2" t="s">
        <v>1336</v>
      </c>
      <c r="G221" s="2" t="s">
        <v>1336</v>
      </c>
      <c r="H221" s="2" t="s">
        <v>1336</v>
      </c>
      <c r="I221" s="2" t="s">
        <v>813</v>
      </c>
      <c r="J221" s="2" t="s">
        <v>93</v>
      </c>
      <c r="K221" s="2" t="s">
        <v>800</v>
      </c>
      <c r="L221" s="3">
        <v>29.35</v>
      </c>
      <c r="M221" s="3">
        <v>30.82</v>
      </c>
      <c r="N221" s="3">
        <v>59.49</v>
      </c>
      <c r="O221" s="2" t="s">
        <v>95</v>
      </c>
      <c r="P221" s="2" t="s">
        <v>115</v>
      </c>
      <c r="Q221" s="2" t="s">
        <v>97</v>
      </c>
      <c r="R221" s="2" t="s">
        <v>98</v>
      </c>
      <c r="S221" s="2" t="s">
        <v>1337</v>
      </c>
      <c r="T221" s="2" t="s">
        <v>98</v>
      </c>
      <c r="U221" s="2" t="s">
        <v>100</v>
      </c>
      <c r="V221" s="2" t="s">
        <v>118</v>
      </c>
      <c r="W221" s="2" t="s">
        <v>102</v>
      </c>
      <c r="X221" s="2" t="s">
        <v>98</v>
      </c>
      <c r="Y221" s="2" t="s">
        <v>802</v>
      </c>
      <c r="Z221" s="4">
        <v>70</v>
      </c>
      <c r="AA221" s="4">
        <f>=ROUNDDOWN(17.5,0)</f>
      </c>
      <c r="AB221" s="5">
        <v>4</v>
      </c>
      <c r="AC221" s="2" t="s">
        <v>98</v>
      </c>
      <c r="AD221" s="4"/>
      <c r="AE221" s="4"/>
      <c r="AF221" s="6">
        <v>63</v>
      </c>
      <c r="AG221" s="6"/>
      <c r="AH221" s="7">
        <v>1</v>
      </c>
      <c r="AI221" s="4"/>
      <c r="AJ221" s="4">
        <f>=ROUNDDOWN({0},0)</f>
      </c>
      <c r="AK221" s="5"/>
      <c r="AL221" s="2" t="s">
        <v>98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>
        <v>3</v>
      </c>
      <c r="BK221" s="8">
        <v>113.64</v>
      </c>
      <c r="BL221" s="2" t="s">
        <v>1338</v>
      </c>
      <c r="BM221" s="7"/>
      <c r="BN221" s="7"/>
      <c r="BO221" s="4"/>
      <c r="BP221" s="8"/>
      <c r="BQ221" s="4"/>
      <c r="BR221" s="8"/>
      <c r="BS221" s="7"/>
      <c r="BT221" s="7"/>
      <c r="BU221" s="2" t="s">
        <v>107</v>
      </c>
      <c r="BV221" s="2" t="s">
        <v>95</v>
      </c>
      <c r="BW221" s="2" t="s">
        <v>453</v>
      </c>
      <c r="BX221" s="2" t="s">
        <v>1339</v>
      </c>
      <c r="BY221" s="2" t="s">
        <v>110</v>
      </c>
      <c r="BZ221" s="2" t="s">
        <v>98</v>
      </c>
    </row>
    <row r="222">
      <c r="A222" s="2" t="s">
        <v>1340</v>
      </c>
      <c r="B222" s="2" t="s">
        <v>87</v>
      </c>
      <c r="C222" s="2" t="s">
        <v>1315</v>
      </c>
      <c r="D222" s="2" t="s">
        <v>326</v>
      </c>
      <c r="E222" s="2" t="s">
        <v>326</v>
      </c>
      <c r="F222" s="2" t="s">
        <v>1341</v>
      </c>
      <c r="G222" s="2" t="s">
        <v>1341</v>
      </c>
      <c r="H222" s="2" t="s">
        <v>1341</v>
      </c>
      <c r="I222" s="2" t="s">
        <v>1342</v>
      </c>
      <c r="J222" s="2" t="s">
        <v>93</v>
      </c>
      <c r="K222" s="2" t="s">
        <v>211</v>
      </c>
      <c r="L222" s="3">
        <v>27.2</v>
      </c>
      <c r="M222" s="3">
        <v>28.56</v>
      </c>
      <c r="N222" s="3">
        <v>59.49</v>
      </c>
      <c r="O222" s="2" t="s">
        <v>95</v>
      </c>
      <c r="P222" s="2" t="s">
        <v>142</v>
      </c>
      <c r="Q222" s="2" t="s">
        <v>97</v>
      </c>
      <c r="R222" s="2" t="s">
        <v>98</v>
      </c>
      <c r="S222" s="2" t="s">
        <v>98</v>
      </c>
      <c r="T222" s="2" t="s">
        <v>98</v>
      </c>
      <c r="U222" s="2" t="s">
        <v>100</v>
      </c>
      <c r="V222" s="2" t="s">
        <v>296</v>
      </c>
      <c r="W222" s="2" t="s">
        <v>119</v>
      </c>
      <c r="X222" s="2" t="s">
        <v>98</v>
      </c>
      <c r="Y222" s="2" t="s">
        <v>1343</v>
      </c>
      <c r="Z222" s="4">
        <v>83</v>
      </c>
      <c r="AA222" s="4">
        <f>=ROUNDDOWN(41.5,0)</f>
      </c>
      <c r="AB222" s="5">
        <v>2</v>
      </c>
      <c r="AC222" s="2" t="s">
        <v>98</v>
      </c>
      <c r="AD222" s="4"/>
      <c r="AE222" s="4"/>
      <c r="AF222" s="6">
        <v>63</v>
      </c>
      <c r="AG222" s="6"/>
      <c r="AH222" s="7">
        <v>1</v>
      </c>
      <c r="AI222" s="4"/>
      <c r="AJ222" s="4">
        <f>=ROUNDDOWN({0},0)</f>
      </c>
      <c r="AK222" s="5"/>
      <c r="AL222" s="2" t="s">
        <v>98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>
        <v>1</v>
      </c>
      <c r="BK222" s="8">
        <v>37.63</v>
      </c>
      <c r="BL222" s="2" t="s">
        <v>505</v>
      </c>
      <c r="BM222" s="7"/>
      <c r="BN222" s="7"/>
      <c r="BO222" s="4"/>
      <c r="BP222" s="8"/>
      <c r="BQ222" s="4"/>
      <c r="BR222" s="8"/>
      <c r="BS222" s="7"/>
      <c r="BT222" s="7"/>
      <c r="BU222" s="2" t="s">
        <v>388</v>
      </c>
      <c r="BV222" s="2" t="s">
        <v>95</v>
      </c>
      <c r="BW222" s="2" t="s">
        <v>98</v>
      </c>
      <c r="BX222" s="2" t="s">
        <v>98</v>
      </c>
      <c r="BY222" s="2" t="s">
        <v>110</v>
      </c>
      <c r="BZ222" s="2" t="s">
        <v>98</v>
      </c>
    </row>
    <row r="223">
      <c r="A223" s="2" t="s">
        <v>1344</v>
      </c>
      <c r="B223" s="2" t="s">
        <v>1345</v>
      </c>
      <c r="C223" s="2" t="s">
        <v>88</v>
      </c>
      <c r="D223" s="2" t="s">
        <v>1346</v>
      </c>
      <c r="E223" s="2" t="s">
        <v>1347</v>
      </c>
      <c r="F223" s="2" t="s">
        <v>1348</v>
      </c>
      <c r="G223" s="2" t="s">
        <v>1349</v>
      </c>
      <c r="H223" s="2" t="s">
        <v>1350</v>
      </c>
      <c r="I223" s="2" t="s">
        <v>1351</v>
      </c>
      <c r="J223" s="2" t="s">
        <v>93</v>
      </c>
      <c r="K223" s="2" t="s">
        <v>133</v>
      </c>
      <c r="L223" s="3">
        <v>182.75</v>
      </c>
      <c r="M223" s="3">
        <v>191.89</v>
      </c>
      <c r="N223" s="3">
        <v>379</v>
      </c>
      <c r="O223" s="2" t="s">
        <v>95</v>
      </c>
      <c r="P223" s="2" t="s">
        <v>134</v>
      </c>
      <c r="Q223" s="2" t="s">
        <v>97</v>
      </c>
      <c r="R223" s="2" t="s">
        <v>98</v>
      </c>
      <c r="S223" s="2" t="s">
        <v>1352</v>
      </c>
      <c r="T223" s="2" t="s">
        <v>98</v>
      </c>
      <c r="U223" s="2" t="s">
        <v>98</v>
      </c>
      <c r="V223" s="2" t="s">
        <v>439</v>
      </c>
      <c r="W223" s="2" t="s">
        <v>103</v>
      </c>
      <c r="X223" s="2" t="s">
        <v>98</v>
      </c>
      <c r="Y223" s="2" t="s">
        <v>366</v>
      </c>
      <c r="Z223" s="4">
        <v>18</v>
      </c>
      <c r="AA223" s="4">
        <f>=ROUNDDOWN(3.15789473684211,0)</f>
      </c>
      <c r="AB223" s="5">
        <v>5.7</v>
      </c>
      <c r="AC223" s="2" t="s">
        <v>1353</v>
      </c>
      <c r="AD223" s="4">
        <v>333</v>
      </c>
      <c r="AE223" s="4">
        <v>725</v>
      </c>
      <c r="AF223" s="6">
        <v>74</v>
      </c>
      <c r="AG223" s="6">
        <v>60</v>
      </c>
      <c r="AH223" s="7">
        <v>1</v>
      </c>
      <c r="AI223" s="4"/>
      <c r="AJ223" s="4">
        <f>=ROUNDDOWN({0},0)</f>
      </c>
      <c r="AK223" s="5"/>
      <c r="AL223" s="2" t="s">
        <v>98</v>
      </c>
      <c r="AM223" s="4"/>
      <c r="AN223" s="4"/>
      <c r="AO223" s="7">
        <v>0</v>
      </c>
      <c r="AP223" s="4">
        <v>4</v>
      </c>
      <c r="AQ223" s="8">
        <v>753.24</v>
      </c>
      <c r="AR223" s="4"/>
      <c r="AS223" s="8"/>
      <c r="AT223" s="7"/>
      <c r="AU223" s="7"/>
      <c r="AV223" s="4">
        <v>4</v>
      </c>
      <c r="AW223" s="8">
        <v>753.24</v>
      </c>
      <c r="AX223" s="4"/>
      <c r="AY223" s="8"/>
      <c r="AZ223" s="7"/>
      <c r="BA223" s="7"/>
      <c r="BB223" s="7">
        <v>1</v>
      </c>
      <c r="BC223" s="4">
        <v>7</v>
      </c>
      <c r="BD223" s="8">
        <v>1318.17</v>
      </c>
      <c r="BE223" s="4" t="s">
        <v>98</v>
      </c>
      <c r="BF223" s="8" t="s">
        <v>98</v>
      </c>
      <c r="BG223" s="7" t="s">
        <v>98</v>
      </c>
      <c r="BH223" s="7" t="s">
        <v>98</v>
      </c>
      <c r="BI223" s="7">
        <v>0.5714</v>
      </c>
      <c r="BJ223" s="4">
        <v>6</v>
      </c>
      <c r="BK223" s="8">
        <v>1183.06</v>
      </c>
      <c r="BL223" s="2" t="s">
        <v>1354</v>
      </c>
      <c r="BM223" s="7">
        <v>0.6667</v>
      </c>
      <c r="BN223" s="7">
        <v>0.6367</v>
      </c>
      <c r="BO223" s="4">
        <v>4</v>
      </c>
      <c r="BP223" s="8">
        <v>753.24</v>
      </c>
      <c r="BQ223" s="4"/>
      <c r="BR223" s="8"/>
      <c r="BS223" s="7"/>
      <c r="BT223" s="7"/>
      <c r="BU223" s="2" t="s">
        <v>107</v>
      </c>
      <c r="BV223" s="2" t="s">
        <v>1355</v>
      </c>
      <c r="BW223" s="2" t="s">
        <v>1356</v>
      </c>
      <c r="BX223" s="2" t="s">
        <v>1357</v>
      </c>
      <c r="BY223" s="2" t="s">
        <v>110</v>
      </c>
      <c r="BZ223" s="2" t="s">
        <v>98</v>
      </c>
    </row>
    <row r="224">
      <c r="A224" s="2" t="s">
        <v>1358</v>
      </c>
      <c r="B224" s="2" t="s">
        <v>1345</v>
      </c>
      <c r="C224" s="2" t="s">
        <v>88</v>
      </c>
      <c r="D224" s="2" t="s">
        <v>1346</v>
      </c>
      <c r="E224" s="2" t="s">
        <v>1347</v>
      </c>
      <c r="F224" s="2" t="s">
        <v>1348</v>
      </c>
      <c r="G224" s="2" t="s">
        <v>1349</v>
      </c>
      <c r="H224" s="2" t="s">
        <v>1350</v>
      </c>
      <c r="I224" s="2" t="s">
        <v>1351</v>
      </c>
      <c r="J224" s="2" t="s">
        <v>93</v>
      </c>
      <c r="K224" s="2" t="s">
        <v>236</v>
      </c>
      <c r="L224" s="3">
        <v>182.75</v>
      </c>
      <c r="M224" s="3">
        <v>191.89</v>
      </c>
      <c r="N224" s="3">
        <v>379</v>
      </c>
      <c r="O224" s="2" t="s">
        <v>95</v>
      </c>
      <c r="P224" s="2" t="s">
        <v>134</v>
      </c>
      <c r="Q224" s="2" t="s">
        <v>97</v>
      </c>
      <c r="R224" s="2" t="s">
        <v>98</v>
      </c>
      <c r="S224" s="2" t="s">
        <v>1359</v>
      </c>
      <c r="T224" s="2" t="s">
        <v>98</v>
      </c>
      <c r="U224" s="2" t="s">
        <v>98</v>
      </c>
      <c r="V224" s="2" t="s">
        <v>1360</v>
      </c>
      <c r="W224" s="2" t="s">
        <v>103</v>
      </c>
      <c r="X224" s="2" t="s">
        <v>98</v>
      </c>
      <c r="Y224" s="2" t="s">
        <v>366</v>
      </c>
      <c r="Z224" s="4">
        <v>105</v>
      </c>
      <c r="AA224" s="4">
        <f>=ROUNDDOWN(10.0961538461538,0)</f>
      </c>
      <c r="AB224" s="5">
        <v>10.4</v>
      </c>
      <c r="AC224" s="2" t="s">
        <v>1353</v>
      </c>
      <c r="AD224" s="4">
        <v>36</v>
      </c>
      <c r="AE224" s="4">
        <v>430</v>
      </c>
      <c r="AF224" s="6">
        <v>74</v>
      </c>
      <c r="AG224" s="6">
        <v>60</v>
      </c>
      <c r="AH224" s="7">
        <v>1</v>
      </c>
      <c r="AI224" s="4"/>
      <c r="AJ224" s="4">
        <f>=ROUNDDOWN({0},0)</f>
      </c>
      <c r="AK224" s="5"/>
      <c r="AL224" s="2" t="s">
        <v>98</v>
      </c>
      <c r="AM224" s="4"/>
      <c r="AN224" s="4"/>
      <c r="AO224" s="7">
        <v>0</v>
      </c>
      <c r="AP224" s="4">
        <v>3</v>
      </c>
      <c r="AQ224" s="8">
        <v>564.93</v>
      </c>
      <c r="AR224" s="4"/>
      <c r="AS224" s="8"/>
      <c r="AT224" s="7"/>
      <c r="AU224" s="7"/>
      <c r="AV224" s="4">
        <v>3</v>
      </c>
      <c r="AW224" s="8">
        <v>564.93</v>
      </c>
      <c r="AX224" s="4"/>
      <c r="AY224" s="8"/>
      <c r="AZ224" s="7"/>
      <c r="BA224" s="7"/>
      <c r="BB224" s="7">
        <v>1</v>
      </c>
      <c r="BC224" s="4" t="s">
        <v>98</v>
      </c>
      <c r="BD224" s="8" t="s">
        <v>98</v>
      </c>
      <c r="BE224" s="4" t="s">
        <v>98</v>
      </c>
      <c r="BF224" s="8" t="s">
        <v>98</v>
      </c>
      <c r="BG224" s="7" t="s">
        <v>98</v>
      </c>
      <c r="BH224" s="7" t="s">
        <v>98</v>
      </c>
      <c r="BI224" s="7">
        <v>0.4286</v>
      </c>
      <c r="BJ224" s="4">
        <v>9</v>
      </c>
      <c r="BK224" s="8">
        <v>1726.73</v>
      </c>
      <c r="BL224" s="2" t="s">
        <v>1361</v>
      </c>
      <c r="BM224" s="7">
        <v>0.3333</v>
      </c>
      <c r="BN224" s="7">
        <v>0.3272</v>
      </c>
      <c r="BO224" s="4">
        <v>3</v>
      </c>
      <c r="BP224" s="8">
        <v>564.93</v>
      </c>
      <c r="BQ224" s="4"/>
      <c r="BR224" s="8"/>
      <c r="BS224" s="7"/>
      <c r="BT224" s="7"/>
      <c r="BU224" s="2" t="s">
        <v>107</v>
      </c>
      <c r="BV224" s="2" t="s">
        <v>1355</v>
      </c>
      <c r="BW224" s="2" t="s">
        <v>1356</v>
      </c>
      <c r="BX224" s="2" t="s">
        <v>1362</v>
      </c>
      <c r="BY224" s="2" t="s">
        <v>110</v>
      </c>
      <c r="BZ224" s="2" t="s">
        <v>98</v>
      </c>
    </row>
    <row r="225">
      <c r="A225" s="2" t="s">
        <v>1363</v>
      </c>
      <c r="B225" s="2" t="s">
        <v>1345</v>
      </c>
      <c r="C225" s="2" t="s">
        <v>88</v>
      </c>
      <c r="D225" s="2" t="s">
        <v>1346</v>
      </c>
      <c r="E225" s="2" t="s">
        <v>1347</v>
      </c>
      <c r="F225" s="2" t="s">
        <v>1348</v>
      </c>
      <c r="G225" s="2" t="s">
        <v>1349</v>
      </c>
      <c r="H225" s="2" t="s">
        <v>1350</v>
      </c>
      <c r="I225" s="2" t="s">
        <v>1351</v>
      </c>
      <c r="J225" s="2" t="s">
        <v>93</v>
      </c>
      <c r="K225" s="2" t="s">
        <v>1364</v>
      </c>
      <c r="L225" s="3">
        <v>182.75</v>
      </c>
      <c r="M225" s="3">
        <v>191.89</v>
      </c>
      <c r="N225" s="3">
        <v>379</v>
      </c>
      <c r="O225" s="2" t="s">
        <v>95</v>
      </c>
      <c r="P225" s="2" t="s">
        <v>134</v>
      </c>
      <c r="Q225" s="2" t="s">
        <v>97</v>
      </c>
      <c r="R225" s="2" t="s">
        <v>98</v>
      </c>
      <c r="S225" s="2" t="s">
        <v>1365</v>
      </c>
      <c r="T225" s="2" t="s">
        <v>98</v>
      </c>
      <c r="U225" s="2" t="s">
        <v>98</v>
      </c>
      <c r="V225" s="2" t="s">
        <v>1360</v>
      </c>
      <c r="W225" s="2" t="s">
        <v>103</v>
      </c>
      <c r="X225" s="2" t="s">
        <v>98</v>
      </c>
      <c r="Y225" s="2" t="s">
        <v>1366</v>
      </c>
      <c r="Z225" s="4"/>
      <c r="AA225" s="4">
        <f>=ROUNDDOWN({0},0)</f>
      </c>
      <c r="AB225" s="5">
        <v>4</v>
      </c>
      <c r="AC225" s="2" t="s">
        <v>1367</v>
      </c>
      <c r="AD225" s="4">
        <v>135</v>
      </c>
      <c r="AE225" s="4">
        <v>200</v>
      </c>
      <c r="AF225" s="6">
        <v>74</v>
      </c>
      <c r="AG225" s="6"/>
      <c r="AH225" s="7">
        <v>0</v>
      </c>
      <c r="AI225" s="4"/>
      <c r="AJ225" s="4">
        <f>=ROUNDDOWN({0},0)</f>
      </c>
      <c r="AK225" s="5"/>
      <c r="AL225" s="2" t="s">
        <v>98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 t="s">
        <v>98</v>
      </c>
      <c r="BD225" s="8" t="s">
        <v>98</v>
      </c>
      <c r="BE225" s="4" t="s">
        <v>98</v>
      </c>
      <c r="BF225" s="8" t="s">
        <v>98</v>
      </c>
      <c r="BG225" s="7" t="s">
        <v>98</v>
      </c>
      <c r="BH225" s="7" t="s">
        <v>98</v>
      </c>
      <c r="BI225" s="7"/>
      <c r="BJ225" s="4"/>
      <c r="BK225" s="8"/>
      <c r="BL225" s="2" t="s">
        <v>1368</v>
      </c>
      <c r="BM225" s="7"/>
      <c r="BN225" s="7"/>
      <c r="BO225" s="4"/>
      <c r="BP225" s="8"/>
      <c r="BQ225" s="4"/>
      <c r="BR225" s="8"/>
      <c r="BS225" s="7"/>
      <c r="BT225" s="7"/>
      <c r="BU225" s="2" t="s">
        <v>107</v>
      </c>
      <c r="BV225" s="2" t="s">
        <v>1355</v>
      </c>
      <c r="BW225" s="2" t="s">
        <v>1369</v>
      </c>
      <c r="BX225" s="2" t="s">
        <v>725</v>
      </c>
      <c r="BY225" s="2" t="s">
        <v>110</v>
      </c>
      <c r="BZ225" s="2" t="s">
        <v>98</v>
      </c>
    </row>
    <row r="226">
      <c r="A226" s="2" t="s">
        <v>1370</v>
      </c>
      <c r="B226" s="2" t="s">
        <v>1345</v>
      </c>
      <c r="C226" s="2" t="s">
        <v>88</v>
      </c>
      <c r="D226" s="2" t="s">
        <v>1346</v>
      </c>
      <c r="E226" s="2" t="s">
        <v>1347</v>
      </c>
      <c r="F226" s="2" t="s">
        <v>1348</v>
      </c>
      <c r="G226" s="2" t="s">
        <v>1349</v>
      </c>
      <c r="H226" s="2" t="s">
        <v>1350</v>
      </c>
      <c r="I226" s="2" t="s">
        <v>1351</v>
      </c>
      <c r="J226" s="2" t="s">
        <v>93</v>
      </c>
      <c r="K226" s="2" t="s">
        <v>1371</v>
      </c>
      <c r="L226" s="3">
        <v>182.75</v>
      </c>
      <c r="M226" s="3">
        <v>191.89</v>
      </c>
      <c r="N226" s="3">
        <v>379</v>
      </c>
      <c r="O226" s="2" t="s">
        <v>95</v>
      </c>
      <c r="P226" s="2" t="s">
        <v>134</v>
      </c>
      <c r="Q226" s="2" t="s">
        <v>97</v>
      </c>
      <c r="R226" s="2" t="s">
        <v>98</v>
      </c>
      <c r="S226" s="2" t="s">
        <v>98</v>
      </c>
      <c r="T226" s="2" t="s">
        <v>98</v>
      </c>
      <c r="U226" s="2" t="s">
        <v>98</v>
      </c>
      <c r="V226" s="2" t="s">
        <v>1372</v>
      </c>
      <c r="W226" s="2" t="s">
        <v>103</v>
      </c>
      <c r="X226" s="2" t="s">
        <v>98</v>
      </c>
      <c r="Y226" s="2" t="s">
        <v>1373</v>
      </c>
      <c r="Z226" s="4">
        <v>13</v>
      </c>
      <c r="AA226" s="4">
        <f>=ROUNDDOWN(2.70833333333333,0)</f>
      </c>
      <c r="AB226" s="5">
        <v>4.8</v>
      </c>
      <c r="AC226" s="2" t="s">
        <v>1374</v>
      </c>
      <c r="AD226" s="4">
        <v>298</v>
      </c>
      <c r="AE226" s="4">
        <v>353</v>
      </c>
      <c r="AF226" s="6">
        <v>74</v>
      </c>
      <c r="AG226" s="6">
        <v>60</v>
      </c>
      <c r="AH226" s="7">
        <v>1</v>
      </c>
      <c r="AI226" s="4"/>
      <c r="AJ226" s="4">
        <f>=ROUNDDOWN({0},0)</f>
      </c>
      <c r="AK226" s="5"/>
      <c r="AL226" s="2" t="s">
        <v>98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 t="s">
        <v>98</v>
      </c>
      <c r="BD226" s="8" t="s">
        <v>98</v>
      </c>
      <c r="BE226" s="4" t="s">
        <v>98</v>
      </c>
      <c r="BF226" s="8" t="s">
        <v>98</v>
      </c>
      <c r="BG226" s="7" t="s">
        <v>98</v>
      </c>
      <c r="BH226" s="7" t="s">
        <v>98</v>
      </c>
      <c r="BI226" s="7"/>
      <c r="BJ226" s="4">
        <v>1</v>
      </c>
      <c r="BK226" s="8">
        <v>185.7</v>
      </c>
      <c r="BL226" s="2" t="s">
        <v>1375</v>
      </c>
      <c r="BM226" s="7"/>
      <c r="BN226" s="7"/>
      <c r="BO226" s="4"/>
      <c r="BP226" s="8"/>
      <c r="BQ226" s="4"/>
      <c r="BR226" s="8"/>
      <c r="BS226" s="7"/>
      <c r="BT226" s="7"/>
      <c r="BU226" s="2" t="s">
        <v>1376</v>
      </c>
      <c r="BV226" s="2" t="s">
        <v>1355</v>
      </c>
      <c r="BW226" s="2" t="s">
        <v>98</v>
      </c>
      <c r="BX226" s="2" t="s">
        <v>98</v>
      </c>
      <c r="BY226" s="2" t="s">
        <v>110</v>
      </c>
      <c r="BZ226" s="2" t="s">
        <v>98</v>
      </c>
    </row>
    <row r="227">
      <c r="A227" s="2" t="s">
        <v>1377</v>
      </c>
      <c r="B227" s="2" t="s">
        <v>1345</v>
      </c>
      <c r="C227" s="2" t="s">
        <v>88</v>
      </c>
      <c r="D227" s="2" t="s">
        <v>1346</v>
      </c>
      <c r="E227" s="2" t="s">
        <v>1347</v>
      </c>
      <c r="F227" s="2" t="s">
        <v>1348</v>
      </c>
      <c r="G227" s="2" t="s">
        <v>1349</v>
      </c>
      <c r="H227" s="2" t="s">
        <v>1350</v>
      </c>
      <c r="I227" s="2" t="s">
        <v>1351</v>
      </c>
      <c r="J227" s="2" t="s">
        <v>93</v>
      </c>
      <c r="K227" s="2" t="s">
        <v>1378</v>
      </c>
      <c r="L227" s="3">
        <v>182.75</v>
      </c>
      <c r="M227" s="3">
        <v>191.89</v>
      </c>
      <c r="N227" s="3">
        <v>379</v>
      </c>
      <c r="O227" s="2" t="s">
        <v>95</v>
      </c>
      <c r="P227" s="2" t="s">
        <v>134</v>
      </c>
      <c r="Q227" s="2" t="s">
        <v>97</v>
      </c>
      <c r="R227" s="2" t="s">
        <v>98</v>
      </c>
      <c r="S227" s="2" t="s">
        <v>98</v>
      </c>
      <c r="T227" s="2" t="s">
        <v>98</v>
      </c>
      <c r="U227" s="2" t="s">
        <v>98</v>
      </c>
      <c r="V227" s="2" t="s">
        <v>439</v>
      </c>
      <c r="W227" s="2" t="s">
        <v>103</v>
      </c>
      <c r="X227" s="2" t="s">
        <v>98</v>
      </c>
      <c r="Y227" s="2" t="s">
        <v>1373</v>
      </c>
      <c r="Z227" s="4">
        <v>2</v>
      </c>
      <c r="AA227" s="4">
        <f>=ROUNDDOWN(0.357142857142857,0)</f>
      </c>
      <c r="AB227" s="5">
        <v>5.6</v>
      </c>
      <c r="AC227" s="2" t="s">
        <v>1367</v>
      </c>
      <c r="AD227" s="4">
        <v>106</v>
      </c>
      <c r="AE227" s="4">
        <v>300</v>
      </c>
      <c r="AF227" s="6">
        <v>74</v>
      </c>
      <c r="AG227" s="6"/>
      <c r="AH227" s="7">
        <v>0</v>
      </c>
      <c r="AI227" s="4"/>
      <c r="AJ227" s="4">
        <f>=ROUNDDOWN({0},0)</f>
      </c>
      <c r="AK227" s="5"/>
      <c r="AL227" s="2" t="s">
        <v>98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 t="s">
        <v>98</v>
      </c>
      <c r="BD227" s="8" t="s">
        <v>98</v>
      </c>
      <c r="BE227" s="4" t="s">
        <v>98</v>
      </c>
      <c r="BF227" s="8" t="s">
        <v>98</v>
      </c>
      <c r="BG227" s="7" t="s">
        <v>98</v>
      </c>
      <c r="BH227" s="7" t="s">
        <v>98</v>
      </c>
      <c r="BI227" s="7"/>
      <c r="BJ227" s="4"/>
      <c r="BK227" s="8"/>
      <c r="BL227" s="2" t="s">
        <v>1379</v>
      </c>
      <c r="BM227" s="7"/>
      <c r="BN227" s="7"/>
      <c r="BO227" s="4"/>
      <c r="BP227" s="8"/>
      <c r="BQ227" s="4"/>
      <c r="BR227" s="8"/>
      <c r="BS227" s="7"/>
      <c r="BT227" s="7"/>
      <c r="BU227" s="2" t="s">
        <v>1376</v>
      </c>
      <c r="BV227" s="2" t="s">
        <v>1355</v>
      </c>
      <c r="BW227" s="2" t="s">
        <v>98</v>
      </c>
      <c r="BX227" s="2" t="s">
        <v>98</v>
      </c>
      <c r="BY227" s="2" t="s">
        <v>110</v>
      </c>
      <c r="BZ227" s="2" t="s">
        <v>98</v>
      </c>
    </row>
    <row r="228">
      <c r="A228" s="2" t="s">
        <v>1380</v>
      </c>
      <c r="B228" s="2" t="s">
        <v>1345</v>
      </c>
      <c r="C228" s="2" t="s">
        <v>88</v>
      </c>
      <c r="D228" s="2" t="s">
        <v>1346</v>
      </c>
      <c r="E228" s="2" t="s">
        <v>1347</v>
      </c>
      <c r="F228" s="2" t="s">
        <v>1381</v>
      </c>
      <c r="G228" s="2" t="s">
        <v>1382</v>
      </c>
      <c r="H228" s="2" t="s">
        <v>1383</v>
      </c>
      <c r="I228" s="2" t="s">
        <v>1384</v>
      </c>
      <c r="J228" s="2" t="s">
        <v>93</v>
      </c>
      <c r="K228" s="2" t="s">
        <v>1385</v>
      </c>
      <c r="L228" s="3">
        <v>247</v>
      </c>
      <c r="M228" s="3">
        <v>259.35</v>
      </c>
      <c r="N228" s="3">
        <v>519</v>
      </c>
      <c r="O228" s="2" t="s">
        <v>95</v>
      </c>
      <c r="P228" s="2" t="s">
        <v>115</v>
      </c>
      <c r="Q228" s="2" t="s">
        <v>97</v>
      </c>
      <c r="R228" s="2" t="s">
        <v>98</v>
      </c>
      <c r="S228" s="2" t="s">
        <v>98</v>
      </c>
      <c r="T228" s="2" t="s">
        <v>98</v>
      </c>
      <c r="U228" s="2" t="s">
        <v>117</v>
      </c>
      <c r="V228" s="2" t="s">
        <v>439</v>
      </c>
      <c r="W228" s="2" t="s">
        <v>314</v>
      </c>
      <c r="X228" s="2" t="s">
        <v>103</v>
      </c>
      <c r="Y228" s="2" t="s">
        <v>1386</v>
      </c>
      <c r="Z228" s="4">
        <v>3</v>
      </c>
      <c r="AA228" s="4">
        <f>=ROUNDDOWN(2.72727272727273,0)</f>
      </c>
      <c r="AB228" s="5">
        <v>1.1</v>
      </c>
      <c r="AC228" s="2" t="s">
        <v>98</v>
      </c>
      <c r="AD228" s="4"/>
      <c r="AE228" s="4"/>
      <c r="AF228" s="6">
        <v>65</v>
      </c>
      <c r="AG228" s="6">
        <v>48</v>
      </c>
      <c r="AH228" s="7">
        <v>1</v>
      </c>
      <c r="AI228" s="4"/>
      <c r="AJ228" s="4">
        <f>=ROUNDDOWN({0},0)</f>
      </c>
      <c r="AK228" s="5"/>
      <c r="AL228" s="2" t="s">
        <v>98</v>
      </c>
      <c r="AM228" s="4"/>
      <c r="AN228" s="4"/>
      <c r="AO228" s="7">
        <v>0</v>
      </c>
      <c r="AP228" s="4">
        <v>4</v>
      </c>
      <c r="AQ228" s="8">
        <v>945.68</v>
      </c>
      <c r="AR228" s="4">
        <v>1</v>
      </c>
      <c r="AS228" s="8">
        <v>254.22</v>
      </c>
      <c r="AT228" s="7">
        <v>3</v>
      </c>
      <c r="AU228" s="7">
        <v>2.7199</v>
      </c>
      <c r="AV228" s="4">
        <v>4</v>
      </c>
      <c r="AW228" s="8">
        <v>945.68</v>
      </c>
      <c r="AX228" s="4">
        <v>1</v>
      </c>
      <c r="AY228" s="8">
        <v>254.22</v>
      </c>
      <c r="AZ228" s="7">
        <v>3</v>
      </c>
      <c r="BA228" s="7">
        <v>2.7199</v>
      </c>
      <c r="BB228" s="7">
        <v>1</v>
      </c>
      <c r="BC228" s="4">
        <v>4</v>
      </c>
      <c r="BD228" s="8">
        <v>945.68</v>
      </c>
      <c r="BE228" s="4">
        <v>1</v>
      </c>
      <c r="BF228" s="8">
        <v>254.22</v>
      </c>
      <c r="BG228" s="7">
        <v>3</v>
      </c>
      <c r="BH228" s="7">
        <v>2.7199</v>
      </c>
      <c r="BI228" s="7">
        <v>1</v>
      </c>
      <c r="BJ228" s="4">
        <v>4</v>
      </c>
      <c r="BK228" s="8">
        <v>945.68</v>
      </c>
      <c r="BL228" s="2" t="s">
        <v>1387</v>
      </c>
      <c r="BM228" s="7">
        <v>1</v>
      </c>
      <c r="BN228" s="7">
        <v>1</v>
      </c>
      <c r="BO228" s="4">
        <v>4</v>
      </c>
      <c r="BP228" s="8">
        <v>945.68</v>
      </c>
      <c r="BQ228" s="4">
        <v>1</v>
      </c>
      <c r="BR228" s="8">
        <v>254.22</v>
      </c>
      <c r="BS228" s="7">
        <v>3</v>
      </c>
      <c r="BT228" s="7">
        <v>2.7199</v>
      </c>
      <c r="BU228" s="2" t="s">
        <v>107</v>
      </c>
      <c r="BV228" s="2" t="s">
        <v>1355</v>
      </c>
      <c r="BW228" s="2" t="s">
        <v>1388</v>
      </c>
      <c r="BX228" s="2" t="s">
        <v>1389</v>
      </c>
      <c r="BY228" s="2" t="s">
        <v>110</v>
      </c>
      <c r="BZ228" s="2" t="s">
        <v>98</v>
      </c>
    </row>
    <row r="229">
      <c r="A229" s="2" t="s">
        <v>1390</v>
      </c>
      <c r="B229" s="2" t="s">
        <v>1345</v>
      </c>
      <c r="C229" s="2" t="s">
        <v>88</v>
      </c>
      <c r="D229" s="2" t="s">
        <v>1346</v>
      </c>
      <c r="E229" s="2" t="s">
        <v>1347</v>
      </c>
      <c r="F229" s="2" t="s">
        <v>1391</v>
      </c>
      <c r="G229" s="2" t="s">
        <v>1392</v>
      </c>
      <c r="H229" s="2" t="s">
        <v>1393</v>
      </c>
      <c r="I229" s="2" t="s">
        <v>1394</v>
      </c>
      <c r="J229" s="2" t="s">
        <v>93</v>
      </c>
      <c r="K229" s="2" t="s">
        <v>277</v>
      </c>
      <c r="L229" s="3">
        <v>212.85</v>
      </c>
      <c r="M229" s="3">
        <v>223.49</v>
      </c>
      <c r="N229" s="3">
        <v>449</v>
      </c>
      <c r="O229" s="2" t="s">
        <v>95</v>
      </c>
      <c r="P229" s="2" t="s">
        <v>134</v>
      </c>
      <c r="Q229" s="2" t="s">
        <v>97</v>
      </c>
      <c r="R229" s="2" t="s">
        <v>98</v>
      </c>
      <c r="S229" s="2" t="s">
        <v>1395</v>
      </c>
      <c r="T229" s="2" t="s">
        <v>98</v>
      </c>
      <c r="U229" s="2" t="s">
        <v>98</v>
      </c>
      <c r="V229" s="2" t="s">
        <v>439</v>
      </c>
      <c r="W229" s="2" t="s">
        <v>103</v>
      </c>
      <c r="X229" s="2" t="s">
        <v>98</v>
      </c>
      <c r="Y229" s="2" t="s">
        <v>366</v>
      </c>
      <c r="Z229" s="4">
        <v>158</v>
      </c>
      <c r="AA229" s="4">
        <f>=ROUNDDOWN(23.5820895522388,0)</f>
      </c>
      <c r="AB229" s="5">
        <v>6.7</v>
      </c>
      <c r="AC229" s="2" t="s">
        <v>1396</v>
      </c>
      <c r="AD229" s="4">
        <v>120</v>
      </c>
      <c r="AE229" s="4">
        <v>204</v>
      </c>
      <c r="AF229" s="6">
        <v>65</v>
      </c>
      <c r="AG229" s="6">
        <v>48</v>
      </c>
      <c r="AH229" s="7">
        <v>1</v>
      </c>
      <c r="AI229" s="4"/>
      <c r="AJ229" s="4">
        <f>=ROUNDDOWN({0},0)</f>
      </c>
      <c r="AK229" s="5"/>
      <c r="AL229" s="2" t="s">
        <v>98</v>
      </c>
      <c r="AM229" s="4"/>
      <c r="AN229" s="4"/>
      <c r="AO229" s="7">
        <v>0</v>
      </c>
      <c r="AP229" s="4">
        <v>4</v>
      </c>
      <c r="AQ229" s="8">
        <v>838.12</v>
      </c>
      <c r="AR229" s="4"/>
      <c r="AS229" s="8"/>
      <c r="AT229" s="7"/>
      <c r="AU229" s="7"/>
      <c r="AV229" s="4">
        <v>4</v>
      </c>
      <c r="AW229" s="8">
        <v>838.12</v>
      </c>
      <c r="AX229" s="4"/>
      <c r="AY229" s="8"/>
      <c r="AZ229" s="7"/>
      <c r="BA229" s="7"/>
      <c r="BB229" s="7">
        <v>1</v>
      </c>
      <c r="BC229" s="4">
        <v>4</v>
      </c>
      <c r="BD229" s="8">
        <v>838.12</v>
      </c>
      <c r="BE229" s="4"/>
      <c r="BF229" s="8"/>
      <c r="BG229" s="7"/>
      <c r="BH229" s="7"/>
      <c r="BI229" s="7">
        <v>1</v>
      </c>
      <c r="BJ229" s="4">
        <v>6</v>
      </c>
      <c r="BK229" s="8">
        <v>1265.73</v>
      </c>
      <c r="BL229" s="2" t="s">
        <v>1397</v>
      </c>
      <c r="BM229" s="7">
        <v>0.6667</v>
      </c>
      <c r="BN229" s="7">
        <v>0.6622</v>
      </c>
      <c r="BO229" s="4">
        <v>4</v>
      </c>
      <c r="BP229" s="8">
        <v>838.12</v>
      </c>
      <c r="BQ229" s="4"/>
      <c r="BR229" s="8"/>
      <c r="BS229" s="7"/>
      <c r="BT229" s="7"/>
      <c r="BU229" s="2" t="s">
        <v>107</v>
      </c>
      <c r="BV229" s="2" t="s">
        <v>1355</v>
      </c>
      <c r="BW229" s="2" t="s">
        <v>1356</v>
      </c>
      <c r="BX229" s="2" t="s">
        <v>1398</v>
      </c>
      <c r="BY229" s="2" t="s">
        <v>110</v>
      </c>
      <c r="BZ229" s="2" t="s">
        <v>98</v>
      </c>
    </row>
    <row r="230">
      <c r="A230" s="2" t="s">
        <v>1399</v>
      </c>
      <c r="B230" s="2" t="s">
        <v>1345</v>
      </c>
      <c r="C230" s="2" t="s">
        <v>88</v>
      </c>
      <c r="D230" s="2" t="s">
        <v>1346</v>
      </c>
      <c r="E230" s="2" t="s">
        <v>1347</v>
      </c>
      <c r="F230" s="2" t="s">
        <v>1400</v>
      </c>
      <c r="G230" s="2" t="s">
        <v>1401</v>
      </c>
      <c r="H230" s="2" t="s">
        <v>1402</v>
      </c>
      <c r="I230" s="2" t="s">
        <v>1403</v>
      </c>
      <c r="J230" s="2" t="s">
        <v>93</v>
      </c>
      <c r="K230" s="2" t="s">
        <v>1404</v>
      </c>
      <c r="L230" s="3">
        <v>180.5</v>
      </c>
      <c r="M230" s="3">
        <v>189.52</v>
      </c>
      <c r="N230" s="3">
        <v>379</v>
      </c>
      <c r="O230" s="2" t="s">
        <v>95</v>
      </c>
      <c r="P230" s="2" t="s">
        <v>134</v>
      </c>
      <c r="Q230" s="2" t="s">
        <v>97</v>
      </c>
      <c r="R230" s="2" t="s">
        <v>98</v>
      </c>
      <c r="S230" s="2" t="s">
        <v>1405</v>
      </c>
      <c r="T230" s="2" t="s">
        <v>98</v>
      </c>
      <c r="U230" s="2" t="s">
        <v>98</v>
      </c>
      <c r="V230" s="2" t="s">
        <v>296</v>
      </c>
      <c r="W230" s="2" t="s">
        <v>314</v>
      </c>
      <c r="X230" s="2" t="s">
        <v>98</v>
      </c>
      <c r="Y230" s="2" t="s">
        <v>366</v>
      </c>
      <c r="Z230" s="4">
        <v>152</v>
      </c>
      <c r="AA230" s="4">
        <f>=ROUNDDOWN(19.2405063291139,0)</f>
      </c>
      <c r="AB230" s="5">
        <v>7.9</v>
      </c>
      <c r="AC230" s="2" t="s">
        <v>98</v>
      </c>
      <c r="AD230" s="4"/>
      <c r="AE230" s="4"/>
      <c r="AF230" s="6">
        <v>65</v>
      </c>
      <c r="AG230" s="6">
        <v>48</v>
      </c>
      <c r="AH230" s="7">
        <v>1</v>
      </c>
      <c r="AI230" s="4"/>
      <c r="AJ230" s="4">
        <f>=ROUNDDOWN({0},0)</f>
      </c>
      <c r="AK230" s="5"/>
      <c r="AL230" s="2" t="s">
        <v>98</v>
      </c>
      <c r="AM230" s="4"/>
      <c r="AN230" s="4"/>
      <c r="AO230" s="7">
        <v>0</v>
      </c>
      <c r="AP230" s="4">
        <v>2</v>
      </c>
      <c r="AQ230" s="8">
        <v>341</v>
      </c>
      <c r="AR230" s="4"/>
      <c r="AS230" s="8"/>
      <c r="AT230" s="7"/>
      <c r="AU230" s="7"/>
      <c r="AV230" s="4">
        <v>2</v>
      </c>
      <c r="AW230" s="8">
        <v>341</v>
      </c>
      <c r="AX230" s="4"/>
      <c r="AY230" s="8"/>
      <c r="AZ230" s="7"/>
      <c r="BA230" s="7"/>
      <c r="BB230" s="7">
        <v>1</v>
      </c>
      <c r="BC230" s="4">
        <v>3</v>
      </c>
      <c r="BD230" s="8">
        <v>511.5</v>
      </c>
      <c r="BE230" s="4">
        <v>3</v>
      </c>
      <c r="BF230" s="8">
        <v>511.5</v>
      </c>
      <c r="BG230" s="7" t="s">
        <v>98</v>
      </c>
      <c r="BH230" s="7" t="s">
        <v>98</v>
      </c>
      <c r="BI230" s="7">
        <v>0.6667</v>
      </c>
      <c r="BJ230" s="4">
        <v>13</v>
      </c>
      <c r="BK230" s="8">
        <v>1801.35</v>
      </c>
      <c r="BL230" s="2" t="s">
        <v>1406</v>
      </c>
      <c r="BM230" s="7">
        <v>0.1538</v>
      </c>
      <c r="BN230" s="7">
        <v>0.1893</v>
      </c>
      <c r="BO230" s="4">
        <v>2</v>
      </c>
      <c r="BP230" s="8">
        <v>341</v>
      </c>
      <c r="BQ230" s="4"/>
      <c r="BR230" s="8"/>
      <c r="BS230" s="7"/>
      <c r="BT230" s="7"/>
      <c r="BU230" s="2" t="s">
        <v>107</v>
      </c>
      <c r="BV230" s="2" t="s">
        <v>1355</v>
      </c>
      <c r="BW230" s="2" t="s">
        <v>1407</v>
      </c>
      <c r="BX230" s="2" t="s">
        <v>1408</v>
      </c>
      <c r="BY230" s="2" t="s">
        <v>110</v>
      </c>
      <c r="BZ230" s="2" t="s">
        <v>98</v>
      </c>
    </row>
    <row r="231">
      <c r="A231" s="2" t="s">
        <v>1409</v>
      </c>
      <c r="B231" s="2" t="s">
        <v>1345</v>
      </c>
      <c r="C231" s="2" t="s">
        <v>88</v>
      </c>
      <c r="D231" s="2" t="s">
        <v>1346</v>
      </c>
      <c r="E231" s="2" t="s">
        <v>1347</v>
      </c>
      <c r="F231" s="2" t="s">
        <v>1400</v>
      </c>
      <c r="G231" s="2" t="s">
        <v>1401</v>
      </c>
      <c r="H231" s="2" t="s">
        <v>1402</v>
      </c>
      <c r="I231" s="2" t="s">
        <v>1403</v>
      </c>
      <c r="J231" s="2" t="s">
        <v>93</v>
      </c>
      <c r="K231" s="2" t="s">
        <v>133</v>
      </c>
      <c r="L231" s="3">
        <v>180.5</v>
      </c>
      <c r="M231" s="3">
        <v>189.52</v>
      </c>
      <c r="N231" s="3">
        <v>379</v>
      </c>
      <c r="O231" s="2" t="s">
        <v>95</v>
      </c>
      <c r="P231" s="2" t="s">
        <v>134</v>
      </c>
      <c r="Q231" s="2" t="s">
        <v>97</v>
      </c>
      <c r="R231" s="2" t="s">
        <v>98</v>
      </c>
      <c r="S231" s="2" t="s">
        <v>1410</v>
      </c>
      <c r="T231" s="2" t="s">
        <v>98</v>
      </c>
      <c r="U231" s="2" t="s">
        <v>98</v>
      </c>
      <c r="V231" s="2" t="s">
        <v>439</v>
      </c>
      <c r="W231" s="2" t="s">
        <v>103</v>
      </c>
      <c r="X231" s="2" t="s">
        <v>98</v>
      </c>
      <c r="Y231" s="2" t="s">
        <v>366</v>
      </c>
      <c r="Z231" s="4">
        <v>158</v>
      </c>
      <c r="AA231" s="4">
        <f>=ROUNDDOWN(34.3478260869565,0)</f>
      </c>
      <c r="AB231" s="5">
        <v>4.6</v>
      </c>
      <c r="AC231" s="2" t="s">
        <v>177</v>
      </c>
      <c r="AD231" s="4">
        <v>96</v>
      </c>
      <c r="AE231" s="4">
        <v>96</v>
      </c>
      <c r="AF231" s="6">
        <v>65</v>
      </c>
      <c r="AG231" s="6">
        <v>48</v>
      </c>
      <c r="AH231" s="7">
        <v>1</v>
      </c>
      <c r="AI231" s="4"/>
      <c r="AJ231" s="4">
        <f>=ROUNDDOWN({0},0)</f>
      </c>
      <c r="AK231" s="5"/>
      <c r="AL231" s="2" t="s">
        <v>98</v>
      </c>
      <c r="AM231" s="4"/>
      <c r="AN231" s="4"/>
      <c r="AO231" s="7">
        <v>0</v>
      </c>
      <c r="AP231" s="4">
        <v>1</v>
      </c>
      <c r="AQ231" s="8">
        <v>170.5</v>
      </c>
      <c r="AR231" s="4"/>
      <c r="AS231" s="8"/>
      <c r="AT231" s="7"/>
      <c r="AU231" s="7"/>
      <c r="AV231" s="4">
        <v>1</v>
      </c>
      <c r="AW231" s="8">
        <v>170.5</v>
      </c>
      <c r="AX231" s="4"/>
      <c r="AY231" s="8"/>
      <c r="AZ231" s="7"/>
      <c r="BA231" s="7"/>
      <c r="BB231" s="7">
        <v>1</v>
      </c>
      <c r="BC231" s="4" t="s">
        <v>98</v>
      </c>
      <c r="BD231" s="8" t="s">
        <v>98</v>
      </c>
      <c r="BE231" s="4" t="s">
        <v>98</v>
      </c>
      <c r="BF231" s="8" t="s">
        <v>98</v>
      </c>
      <c r="BG231" s="7" t="s">
        <v>98</v>
      </c>
      <c r="BH231" s="7" t="s">
        <v>98</v>
      </c>
      <c r="BI231" s="7">
        <v>0.3333</v>
      </c>
      <c r="BJ231" s="4">
        <v>3</v>
      </c>
      <c r="BK231" s="8">
        <v>560.96</v>
      </c>
      <c r="BL231" s="2" t="s">
        <v>1411</v>
      </c>
      <c r="BM231" s="7">
        <v>0.3333</v>
      </c>
      <c r="BN231" s="7">
        <v>0.3039</v>
      </c>
      <c r="BO231" s="4">
        <v>1</v>
      </c>
      <c r="BP231" s="8">
        <v>170.5</v>
      </c>
      <c r="BQ231" s="4"/>
      <c r="BR231" s="8"/>
      <c r="BS231" s="7"/>
      <c r="BT231" s="7"/>
      <c r="BU231" s="2" t="s">
        <v>107</v>
      </c>
      <c r="BV231" s="2" t="s">
        <v>1355</v>
      </c>
      <c r="BW231" s="2" t="s">
        <v>1412</v>
      </c>
      <c r="BX231" s="2" t="s">
        <v>1413</v>
      </c>
      <c r="BY231" s="2" t="s">
        <v>110</v>
      </c>
      <c r="BZ231" s="2" t="s">
        <v>98</v>
      </c>
    </row>
    <row r="232">
      <c r="A232" s="2" t="s">
        <v>1414</v>
      </c>
      <c r="B232" s="2" t="s">
        <v>1345</v>
      </c>
      <c r="C232" s="2" t="s">
        <v>88</v>
      </c>
      <c r="D232" s="2" t="s">
        <v>1346</v>
      </c>
      <c r="E232" s="2" t="s">
        <v>1347</v>
      </c>
      <c r="F232" s="2" t="s">
        <v>1400</v>
      </c>
      <c r="G232" s="2" t="s">
        <v>1401</v>
      </c>
      <c r="H232" s="2" t="s">
        <v>1402</v>
      </c>
      <c r="I232" s="2" t="s">
        <v>1403</v>
      </c>
      <c r="J232" s="2" t="s">
        <v>93</v>
      </c>
      <c r="K232" s="2" t="s">
        <v>277</v>
      </c>
      <c r="L232" s="3">
        <v>180.5</v>
      </c>
      <c r="M232" s="3">
        <v>189.52</v>
      </c>
      <c r="N232" s="3">
        <v>379</v>
      </c>
      <c r="O232" s="2" t="s">
        <v>95</v>
      </c>
      <c r="P232" s="2" t="s">
        <v>134</v>
      </c>
      <c r="Q232" s="2" t="s">
        <v>97</v>
      </c>
      <c r="R232" s="2" t="s">
        <v>98</v>
      </c>
      <c r="S232" s="2" t="s">
        <v>1415</v>
      </c>
      <c r="T232" s="2" t="s">
        <v>98</v>
      </c>
      <c r="U232" s="2" t="s">
        <v>98</v>
      </c>
      <c r="V232" s="2" t="s">
        <v>439</v>
      </c>
      <c r="W232" s="2" t="s">
        <v>103</v>
      </c>
      <c r="X232" s="2" t="s">
        <v>98</v>
      </c>
      <c r="Y232" s="2" t="s">
        <v>366</v>
      </c>
      <c r="Z232" s="4">
        <v>37</v>
      </c>
      <c r="AA232" s="4">
        <f>=ROUNDDOWN(7.4,0)</f>
      </c>
      <c r="AB232" s="5">
        <v>5</v>
      </c>
      <c r="AC232" s="2" t="s">
        <v>177</v>
      </c>
      <c r="AD232" s="4">
        <v>74</v>
      </c>
      <c r="AE232" s="4">
        <v>74</v>
      </c>
      <c r="AF232" s="6">
        <v>65</v>
      </c>
      <c r="AG232" s="6">
        <v>48</v>
      </c>
      <c r="AH232" s="7">
        <v>1</v>
      </c>
      <c r="AI232" s="4"/>
      <c r="AJ232" s="4">
        <f>=ROUNDDOWN({0},0)</f>
      </c>
      <c r="AK232" s="5"/>
      <c r="AL232" s="2" t="s">
        <v>98</v>
      </c>
      <c r="AM232" s="4"/>
      <c r="AN232" s="4"/>
      <c r="AO232" s="7">
        <v>0</v>
      </c>
      <c r="AP232" s="4"/>
      <c r="AQ232" s="8"/>
      <c r="AR232" s="4">
        <v>2</v>
      </c>
      <c r="AS232" s="8">
        <v>341</v>
      </c>
      <c r="AT232" s="7">
        <v>-1</v>
      </c>
      <c r="AU232" s="7">
        <v>-1</v>
      </c>
      <c r="AV232" s="4"/>
      <c r="AW232" s="8"/>
      <c r="AX232" s="4">
        <v>2</v>
      </c>
      <c r="AY232" s="8">
        <v>341</v>
      </c>
      <c r="AZ232" s="7">
        <v>-1</v>
      </c>
      <c r="BA232" s="7">
        <v>-1</v>
      </c>
      <c r="BB232" s="7"/>
      <c r="BC232" s="4" t="s">
        <v>98</v>
      </c>
      <c r="BD232" s="8" t="s">
        <v>98</v>
      </c>
      <c r="BE232" s="4" t="s">
        <v>98</v>
      </c>
      <c r="BF232" s="8" t="s">
        <v>98</v>
      </c>
      <c r="BG232" s="7" t="s">
        <v>98</v>
      </c>
      <c r="BH232" s="7" t="s">
        <v>98</v>
      </c>
      <c r="BI232" s="7"/>
      <c r="BJ232" s="4">
        <v>11</v>
      </c>
      <c r="BK232" s="8">
        <v>1736.5</v>
      </c>
      <c r="BL232" s="2" t="s">
        <v>1416</v>
      </c>
      <c r="BM232" s="7"/>
      <c r="BN232" s="7"/>
      <c r="BO232" s="4"/>
      <c r="BP232" s="8"/>
      <c r="BQ232" s="4">
        <v>2</v>
      </c>
      <c r="BR232" s="8">
        <v>341</v>
      </c>
      <c r="BS232" s="7">
        <v>-1</v>
      </c>
      <c r="BT232" s="7">
        <v>-1</v>
      </c>
      <c r="BU232" s="2" t="s">
        <v>107</v>
      </c>
      <c r="BV232" s="2" t="s">
        <v>1355</v>
      </c>
      <c r="BW232" s="2" t="s">
        <v>1356</v>
      </c>
      <c r="BX232" s="2" t="s">
        <v>1417</v>
      </c>
      <c r="BY232" s="2" t="s">
        <v>110</v>
      </c>
      <c r="BZ232" s="2" t="s">
        <v>98</v>
      </c>
    </row>
    <row r="233">
      <c r="A233" s="2" t="s">
        <v>1418</v>
      </c>
      <c r="B233" s="2" t="s">
        <v>1345</v>
      </c>
      <c r="C233" s="2" t="s">
        <v>88</v>
      </c>
      <c r="D233" s="2" t="s">
        <v>1346</v>
      </c>
      <c r="E233" s="2" t="s">
        <v>1347</v>
      </c>
      <c r="F233" s="2" t="s">
        <v>1400</v>
      </c>
      <c r="G233" s="2" t="s">
        <v>1401</v>
      </c>
      <c r="H233" s="2" t="s">
        <v>1402</v>
      </c>
      <c r="I233" s="2" t="s">
        <v>1403</v>
      </c>
      <c r="J233" s="2" t="s">
        <v>93</v>
      </c>
      <c r="K233" s="2" t="s">
        <v>1419</v>
      </c>
      <c r="L233" s="3">
        <v>180.5</v>
      </c>
      <c r="M233" s="3">
        <v>189.52</v>
      </c>
      <c r="N233" s="3">
        <v>379</v>
      </c>
      <c r="O233" s="2" t="s">
        <v>95</v>
      </c>
      <c r="P233" s="2" t="s">
        <v>115</v>
      </c>
      <c r="Q233" s="2" t="s">
        <v>97</v>
      </c>
      <c r="R233" s="2" t="s">
        <v>98</v>
      </c>
      <c r="S233" s="2" t="s">
        <v>1420</v>
      </c>
      <c r="T233" s="2" t="s">
        <v>98</v>
      </c>
      <c r="U233" s="2" t="s">
        <v>98</v>
      </c>
      <c r="V233" s="2" t="s">
        <v>439</v>
      </c>
      <c r="W233" s="2" t="s">
        <v>103</v>
      </c>
      <c r="X233" s="2" t="s">
        <v>98</v>
      </c>
      <c r="Y233" s="2" t="s">
        <v>366</v>
      </c>
      <c r="Z233" s="4"/>
      <c r="AA233" s="4">
        <f>=ROUNDDOWN({0},0)</f>
      </c>
      <c r="AB233" s="5">
        <v>1.7</v>
      </c>
      <c r="AC233" s="2" t="s">
        <v>98</v>
      </c>
      <c r="AD233" s="4"/>
      <c r="AE233" s="4"/>
      <c r="AF233" s="6">
        <v>65</v>
      </c>
      <c r="AG233" s="6">
        <v>48</v>
      </c>
      <c r="AH233" s="7">
        <v>1</v>
      </c>
      <c r="AI233" s="4"/>
      <c r="AJ233" s="4">
        <f>=ROUNDDOWN({0},0)</f>
      </c>
      <c r="AK233" s="5"/>
      <c r="AL233" s="2" t="s">
        <v>98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 t="s">
        <v>98</v>
      </c>
      <c r="BD233" s="8" t="s">
        <v>98</v>
      </c>
      <c r="BE233" s="4" t="s">
        <v>98</v>
      </c>
      <c r="BF233" s="8" t="s">
        <v>98</v>
      </c>
      <c r="BG233" s="7" t="s">
        <v>98</v>
      </c>
      <c r="BH233" s="7" t="s">
        <v>98</v>
      </c>
      <c r="BI233" s="7"/>
      <c r="BJ233" s="4"/>
      <c r="BK233" s="8"/>
      <c r="BL233" s="2" t="s">
        <v>1368</v>
      </c>
      <c r="BM233" s="7"/>
      <c r="BN233" s="7"/>
      <c r="BO233" s="4"/>
      <c r="BP233" s="8"/>
      <c r="BQ233" s="4"/>
      <c r="BR233" s="8"/>
      <c r="BS233" s="7"/>
      <c r="BT233" s="7"/>
      <c r="BU233" s="2" t="s">
        <v>107</v>
      </c>
      <c r="BV233" s="2" t="s">
        <v>1355</v>
      </c>
      <c r="BW233" s="2" t="s">
        <v>1356</v>
      </c>
      <c r="BX233" s="2" t="s">
        <v>1421</v>
      </c>
      <c r="BY233" s="2" t="s">
        <v>110</v>
      </c>
      <c r="BZ233" s="2" t="s">
        <v>98</v>
      </c>
    </row>
    <row r="234">
      <c r="A234" s="2" t="s">
        <v>1422</v>
      </c>
      <c r="B234" s="2" t="s">
        <v>1345</v>
      </c>
      <c r="C234" s="2" t="s">
        <v>88</v>
      </c>
      <c r="D234" s="2" t="s">
        <v>1346</v>
      </c>
      <c r="E234" s="2" t="s">
        <v>1347</v>
      </c>
      <c r="F234" s="2" t="s">
        <v>1400</v>
      </c>
      <c r="G234" s="2" t="s">
        <v>1401</v>
      </c>
      <c r="H234" s="2" t="s">
        <v>1402</v>
      </c>
      <c r="I234" s="2" t="s">
        <v>1403</v>
      </c>
      <c r="J234" s="2" t="s">
        <v>93</v>
      </c>
      <c r="K234" s="2" t="s">
        <v>1423</v>
      </c>
      <c r="L234" s="3">
        <v>180.5</v>
      </c>
      <c r="M234" s="3">
        <v>189.52</v>
      </c>
      <c r="N234" s="3">
        <v>379</v>
      </c>
      <c r="O234" s="2" t="s">
        <v>95</v>
      </c>
      <c r="P234" s="2" t="s">
        <v>134</v>
      </c>
      <c r="Q234" s="2" t="s">
        <v>97</v>
      </c>
      <c r="R234" s="2" t="s">
        <v>98</v>
      </c>
      <c r="S234" s="2" t="s">
        <v>1424</v>
      </c>
      <c r="T234" s="2" t="s">
        <v>98</v>
      </c>
      <c r="U234" s="2" t="s">
        <v>98</v>
      </c>
      <c r="V234" s="2" t="s">
        <v>439</v>
      </c>
      <c r="W234" s="2" t="s">
        <v>103</v>
      </c>
      <c r="X234" s="2" t="s">
        <v>98</v>
      </c>
      <c r="Y234" s="2" t="s">
        <v>366</v>
      </c>
      <c r="Z234" s="4">
        <v>45</v>
      </c>
      <c r="AA234" s="4">
        <f>=ROUNDDOWN(11.25,0)</f>
      </c>
      <c r="AB234" s="5">
        <v>4</v>
      </c>
      <c r="AC234" s="2" t="s">
        <v>1425</v>
      </c>
      <c r="AD234" s="4">
        <v>78</v>
      </c>
      <c r="AE234" s="4">
        <v>78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98</v>
      </c>
      <c r="AM234" s="4"/>
      <c r="AN234" s="4"/>
      <c r="AO234" s="7">
        <v>0</v>
      </c>
      <c r="AP234" s="4"/>
      <c r="AQ234" s="8"/>
      <c r="AR234" s="4">
        <v>1</v>
      </c>
      <c r="AS234" s="8">
        <v>170.5</v>
      </c>
      <c r="AT234" s="7">
        <v>-1</v>
      </c>
      <c r="AU234" s="7">
        <v>-1</v>
      </c>
      <c r="AV234" s="4"/>
      <c r="AW234" s="8"/>
      <c r="AX234" s="4">
        <v>1</v>
      </c>
      <c r="AY234" s="8">
        <v>170.5</v>
      </c>
      <c r="AZ234" s="7">
        <v>-1</v>
      </c>
      <c r="BA234" s="7">
        <v>-1</v>
      </c>
      <c r="BB234" s="7"/>
      <c r="BC234" s="4" t="s">
        <v>98</v>
      </c>
      <c r="BD234" s="8" t="s">
        <v>98</v>
      </c>
      <c r="BE234" s="4" t="s">
        <v>98</v>
      </c>
      <c r="BF234" s="8" t="s">
        <v>98</v>
      </c>
      <c r="BG234" s="7" t="s">
        <v>98</v>
      </c>
      <c r="BH234" s="7" t="s">
        <v>98</v>
      </c>
      <c r="BI234" s="7"/>
      <c r="BJ234" s="4">
        <v>21</v>
      </c>
      <c r="BK234" s="8">
        <v>3089.43</v>
      </c>
      <c r="BL234" s="2" t="s">
        <v>1426</v>
      </c>
      <c r="BM234" s="7"/>
      <c r="BN234" s="7"/>
      <c r="BO234" s="4"/>
      <c r="BP234" s="8"/>
      <c r="BQ234" s="4">
        <v>1</v>
      </c>
      <c r="BR234" s="8">
        <v>170.5</v>
      </c>
      <c r="BS234" s="7">
        <v>-1</v>
      </c>
      <c r="BT234" s="7">
        <v>-1</v>
      </c>
      <c r="BU234" s="2" t="s">
        <v>107</v>
      </c>
      <c r="BV234" s="2" t="s">
        <v>1355</v>
      </c>
      <c r="BW234" s="2" t="s">
        <v>1356</v>
      </c>
      <c r="BX234" s="2" t="s">
        <v>1427</v>
      </c>
      <c r="BY234" s="2" t="s">
        <v>110</v>
      </c>
      <c r="BZ234" s="2" t="s">
        <v>98</v>
      </c>
    </row>
    <row r="235">
      <c r="A235" s="2" t="s">
        <v>1428</v>
      </c>
      <c r="B235" s="2" t="s">
        <v>1345</v>
      </c>
      <c r="C235" s="2" t="s">
        <v>88</v>
      </c>
      <c r="D235" s="2" t="s">
        <v>1346</v>
      </c>
      <c r="E235" s="2" t="s">
        <v>1347</v>
      </c>
      <c r="F235" s="2" t="s">
        <v>1429</v>
      </c>
      <c r="G235" s="2" t="s">
        <v>1430</v>
      </c>
      <c r="H235" s="2" t="s">
        <v>1431</v>
      </c>
      <c r="I235" s="2" t="s">
        <v>1432</v>
      </c>
      <c r="J235" s="2" t="s">
        <v>93</v>
      </c>
      <c r="K235" s="2" t="s">
        <v>1433</v>
      </c>
      <c r="L235" s="3">
        <v>230</v>
      </c>
      <c r="M235" s="3">
        <v>241.5</v>
      </c>
      <c r="N235" s="3">
        <v>479</v>
      </c>
      <c r="O235" s="2" t="s">
        <v>155</v>
      </c>
      <c r="P235" s="2" t="s">
        <v>115</v>
      </c>
      <c r="Q235" s="2" t="s">
        <v>97</v>
      </c>
      <c r="R235" s="2" t="s">
        <v>98</v>
      </c>
      <c r="S235" s="2" t="s">
        <v>1434</v>
      </c>
      <c r="T235" s="2" t="s">
        <v>98</v>
      </c>
      <c r="U235" s="2" t="s">
        <v>98</v>
      </c>
      <c r="V235" s="2" t="s">
        <v>439</v>
      </c>
      <c r="W235" s="2" t="s">
        <v>103</v>
      </c>
      <c r="X235" s="2" t="s">
        <v>98</v>
      </c>
      <c r="Y235" s="2" t="s">
        <v>1435</v>
      </c>
      <c r="Z235" s="4">
        <v>209</v>
      </c>
      <c r="AA235" s="4">
        <f>=ROUNDDOWN(83.6,0)</f>
      </c>
      <c r="AB235" s="5">
        <v>2.5</v>
      </c>
      <c r="AC235" s="2" t="s">
        <v>98</v>
      </c>
      <c r="AD235" s="4"/>
      <c r="AE235" s="4"/>
      <c r="AF235" s="6">
        <v>67</v>
      </c>
      <c r="AG235" s="6">
        <v>50</v>
      </c>
      <c r="AH235" s="7">
        <v>1</v>
      </c>
      <c r="AI235" s="4"/>
      <c r="AJ235" s="4">
        <f>=ROUNDDOWN({0},0)</f>
      </c>
      <c r="AK235" s="5"/>
      <c r="AL235" s="2" t="s">
        <v>98</v>
      </c>
      <c r="AM235" s="4"/>
      <c r="AN235" s="4"/>
      <c r="AO235" s="7">
        <v>0</v>
      </c>
      <c r="AP235" s="4">
        <v>2</v>
      </c>
      <c r="AQ235" s="8">
        <v>421.06</v>
      </c>
      <c r="AR235" s="4">
        <v>1</v>
      </c>
      <c r="AS235" s="8">
        <v>210.53</v>
      </c>
      <c r="AT235" s="7">
        <v>1</v>
      </c>
      <c r="AU235" s="7">
        <v>1</v>
      </c>
      <c r="AV235" s="4">
        <v>2</v>
      </c>
      <c r="AW235" s="8">
        <v>421.06</v>
      </c>
      <c r="AX235" s="4">
        <v>1</v>
      </c>
      <c r="AY235" s="8">
        <v>210.53</v>
      </c>
      <c r="AZ235" s="7">
        <v>1</v>
      </c>
      <c r="BA235" s="7">
        <v>1</v>
      </c>
      <c r="BB235" s="7">
        <v>1</v>
      </c>
      <c r="BC235" s="4">
        <v>2</v>
      </c>
      <c r="BD235" s="8">
        <v>421.06</v>
      </c>
      <c r="BE235" s="4">
        <v>1</v>
      </c>
      <c r="BF235" s="8">
        <v>210.53</v>
      </c>
      <c r="BG235" s="7">
        <v>1</v>
      </c>
      <c r="BH235" s="7">
        <v>1</v>
      </c>
      <c r="BI235" s="7">
        <v>1</v>
      </c>
      <c r="BJ235" s="4">
        <v>3</v>
      </c>
      <c r="BK235" s="8">
        <v>656.36</v>
      </c>
      <c r="BL235" s="2" t="s">
        <v>1411</v>
      </c>
      <c r="BM235" s="7">
        <v>0.6667</v>
      </c>
      <c r="BN235" s="7">
        <v>0.6415</v>
      </c>
      <c r="BO235" s="4">
        <v>2</v>
      </c>
      <c r="BP235" s="8">
        <v>421.06</v>
      </c>
      <c r="BQ235" s="4">
        <v>1</v>
      </c>
      <c r="BR235" s="8">
        <v>210.53</v>
      </c>
      <c r="BS235" s="7">
        <v>1</v>
      </c>
      <c r="BT235" s="7">
        <v>1</v>
      </c>
      <c r="BU235" s="2" t="s">
        <v>107</v>
      </c>
      <c r="BV235" s="2" t="s">
        <v>1355</v>
      </c>
      <c r="BW235" s="2" t="s">
        <v>1436</v>
      </c>
      <c r="BX235" s="2" t="s">
        <v>1437</v>
      </c>
      <c r="BY235" s="2" t="s">
        <v>110</v>
      </c>
      <c r="BZ235" s="2" t="s">
        <v>98</v>
      </c>
    </row>
    <row r="236">
      <c r="A236" s="2" t="s">
        <v>1438</v>
      </c>
      <c r="B236" s="2" t="s">
        <v>1345</v>
      </c>
      <c r="C236" s="2" t="s">
        <v>88</v>
      </c>
      <c r="D236" s="2" t="s">
        <v>1346</v>
      </c>
      <c r="E236" s="2" t="s">
        <v>1347</v>
      </c>
      <c r="F236" s="2" t="s">
        <v>1429</v>
      </c>
      <c r="G236" s="2" t="s">
        <v>1430</v>
      </c>
      <c r="H236" s="2" t="s">
        <v>1431</v>
      </c>
      <c r="I236" s="2" t="s">
        <v>1432</v>
      </c>
      <c r="J236" s="2" t="s">
        <v>93</v>
      </c>
      <c r="K236" s="2" t="s">
        <v>1439</v>
      </c>
      <c r="L236" s="3">
        <v>230</v>
      </c>
      <c r="M236" s="3">
        <v>241.5</v>
      </c>
      <c r="N236" s="3">
        <v>479</v>
      </c>
      <c r="O236" s="2" t="s">
        <v>155</v>
      </c>
      <c r="P236" s="2" t="s">
        <v>115</v>
      </c>
      <c r="Q236" s="2" t="s">
        <v>97</v>
      </c>
      <c r="R236" s="2" t="s">
        <v>98</v>
      </c>
      <c r="S236" s="2" t="s">
        <v>98</v>
      </c>
      <c r="T236" s="2" t="s">
        <v>98</v>
      </c>
      <c r="U236" s="2" t="s">
        <v>117</v>
      </c>
      <c r="V236" s="2" t="s">
        <v>439</v>
      </c>
      <c r="W236" s="2" t="s">
        <v>103</v>
      </c>
      <c r="X236" s="2" t="s">
        <v>98</v>
      </c>
      <c r="Y236" s="2" t="s">
        <v>1440</v>
      </c>
      <c r="Z236" s="4">
        <v>89</v>
      </c>
      <c r="AA236" s="4">
        <f>=ROUNDDOWN(890,0)</f>
      </c>
      <c r="AB236" s="5">
        <v>0.1</v>
      </c>
      <c r="AC236" s="2" t="s">
        <v>98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98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 t="s">
        <v>98</v>
      </c>
      <c r="BD236" s="8" t="s">
        <v>98</v>
      </c>
      <c r="BE236" s="4" t="s">
        <v>98</v>
      </c>
      <c r="BF236" s="8" t="s">
        <v>98</v>
      </c>
      <c r="BG236" s="7" t="s">
        <v>98</v>
      </c>
      <c r="BH236" s="7" t="s">
        <v>98</v>
      </c>
      <c r="BI236" s="7"/>
      <c r="BJ236" s="4"/>
      <c r="BK236" s="8"/>
      <c r="BL236" s="2" t="s">
        <v>98</v>
      </c>
      <c r="BM236" s="7"/>
      <c r="BN236" s="7"/>
      <c r="BO236" s="4"/>
      <c r="BP236" s="8"/>
      <c r="BQ236" s="4"/>
      <c r="BR236" s="8"/>
      <c r="BS236" s="7"/>
      <c r="BT236" s="7"/>
      <c r="BU236" s="2" t="s">
        <v>1376</v>
      </c>
      <c r="BV236" s="2" t="s">
        <v>95</v>
      </c>
      <c r="BW236" s="2" t="s">
        <v>98</v>
      </c>
      <c r="BX236" s="2" t="s">
        <v>98</v>
      </c>
      <c r="BY236" s="2" t="s">
        <v>110</v>
      </c>
      <c r="BZ236" s="2" t="s">
        <v>98</v>
      </c>
    </row>
    <row r="237">
      <c r="A237" s="2" t="s">
        <v>1441</v>
      </c>
      <c r="B237" s="2" t="s">
        <v>1345</v>
      </c>
      <c r="C237" s="2" t="s">
        <v>88</v>
      </c>
      <c r="D237" s="2" t="s">
        <v>1346</v>
      </c>
      <c r="E237" s="2" t="s">
        <v>1347</v>
      </c>
      <c r="F237" s="2" t="s">
        <v>1442</v>
      </c>
      <c r="G237" s="2" t="s">
        <v>1443</v>
      </c>
      <c r="H237" s="2" t="s">
        <v>1444</v>
      </c>
      <c r="I237" s="2" t="s">
        <v>1432</v>
      </c>
      <c r="J237" s="2" t="s">
        <v>93</v>
      </c>
      <c r="K237" s="2" t="s">
        <v>127</v>
      </c>
      <c r="L237" s="3">
        <v>214.2</v>
      </c>
      <c r="M237" s="3">
        <v>224.91</v>
      </c>
      <c r="N237" s="3">
        <v>449</v>
      </c>
      <c r="O237" s="2" t="s">
        <v>95</v>
      </c>
      <c r="P237" s="2" t="s">
        <v>134</v>
      </c>
      <c r="Q237" s="2" t="s">
        <v>97</v>
      </c>
      <c r="R237" s="2" t="s">
        <v>98</v>
      </c>
      <c r="S237" s="2" t="s">
        <v>98</v>
      </c>
      <c r="T237" s="2" t="s">
        <v>98</v>
      </c>
      <c r="U237" s="2" t="s">
        <v>117</v>
      </c>
      <c r="V237" s="2" t="s">
        <v>439</v>
      </c>
      <c r="W237" s="2" t="s">
        <v>165</v>
      </c>
      <c r="X237" s="2" t="s">
        <v>103</v>
      </c>
      <c r="Y237" s="2" t="s">
        <v>1226</v>
      </c>
      <c r="Z237" s="4">
        <v>138</v>
      </c>
      <c r="AA237" s="4">
        <f>=ROUNDDOWN(23,0)</f>
      </c>
      <c r="AB237" s="5">
        <v>6</v>
      </c>
      <c r="AC237" s="2" t="s">
        <v>177</v>
      </c>
      <c r="AD237" s="4">
        <v>72</v>
      </c>
      <c r="AE237" s="4">
        <v>100</v>
      </c>
      <c r="AF237" s="6">
        <v>76</v>
      </c>
      <c r="AG237" s="6"/>
      <c r="AH237" s="7">
        <v>1</v>
      </c>
      <c r="AI237" s="4"/>
      <c r="AJ237" s="4">
        <f>=ROUNDDOWN({0},0)</f>
      </c>
      <c r="AK237" s="5"/>
      <c r="AL237" s="2" t="s">
        <v>98</v>
      </c>
      <c r="AM237" s="4"/>
      <c r="AN237" s="4"/>
      <c r="AO237" s="7">
        <v>0</v>
      </c>
      <c r="AP237" s="4">
        <v>2</v>
      </c>
      <c r="AQ237" s="8">
        <v>384.88</v>
      </c>
      <c r="AR237" s="4"/>
      <c r="AS237" s="8"/>
      <c r="AT237" s="7"/>
      <c r="AU237" s="7"/>
      <c r="AV237" s="4">
        <v>2</v>
      </c>
      <c r="AW237" s="8">
        <v>384.88</v>
      </c>
      <c r="AX237" s="4"/>
      <c r="AY237" s="8"/>
      <c r="AZ237" s="7"/>
      <c r="BA237" s="7"/>
      <c r="BB237" s="7">
        <v>1</v>
      </c>
      <c r="BC237" s="4">
        <v>2</v>
      </c>
      <c r="BD237" s="8">
        <v>384.88</v>
      </c>
      <c r="BE237" s="4"/>
      <c r="BF237" s="8"/>
      <c r="BG237" s="7"/>
      <c r="BH237" s="7"/>
      <c r="BI237" s="7">
        <v>1</v>
      </c>
      <c r="BJ237" s="4">
        <v>4</v>
      </c>
      <c r="BK237" s="8">
        <v>839.16</v>
      </c>
      <c r="BL237" s="2" t="s">
        <v>1445</v>
      </c>
      <c r="BM237" s="7">
        <v>0.5</v>
      </c>
      <c r="BN237" s="7">
        <v>0.4586</v>
      </c>
      <c r="BO237" s="4">
        <v>2</v>
      </c>
      <c r="BP237" s="8">
        <v>384.88</v>
      </c>
      <c r="BQ237" s="4"/>
      <c r="BR237" s="8"/>
      <c r="BS237" s="7"/>
      <c r="BT237" s="7"/>
      <c r="BU237" s="2" t="s">
        <v>1376</v>
      </c>
      <c r="BV237" s="2" t="s">
        <v>95</v>
      </c>
      <c r="BW237" s="2" t="s">
        <v>98</v>
      </c>
      <c r="BX237" s="2" t="s">
        <v>98</v>
      </c>
      <c r="BY237" s="2" t="s">
        <v>110</v>
      </c>
      <c r="BZ237" s="2" t="s">
        <v>98</v>
      </c>
    </row>
    <row r="238">
      <c r="A238" s="2" t="s">
        <v>1446</v>
      </c>
      <c r="B238" s="2" t="s">
        <v>1345</v>
      </c>
      <c r="C238" s="2" t="s">
        <v>88</v>
      </c>
      <c r="D238" s="2" t="s">
        <v>1346</v>
      </c>
      <c r="E238" s="2" t="s">
        <v>1347</v>
      </c>
      <c r="F238" s="2" t="s">
        <v>1447</v>
      </c>
      <c r="G238" s="2" t="s">
        <v>1448</v>
      </c>
      <c r="H238" s="2" t="s">
        <v>1449</v>
      </c>
      <c r="I238" s="2" t="s">
        <v>1432</v>
      </c>
      <c r="J238" s="2" t="s">
        <v>93</v>
      </c>
      <c r="K238" s="2" t="s">
        <v>1450</v>
      </c>
      <c r="L238" s="3">
        <v>207.9</v>
      </c>
      <c r="M238" s="3">
        <v>218.3</v>
      </c>
      <c r="N238" s="3">
        <v>439</v>
      </c>
      <c r="O238" s="2" t="s">
        <v>95</v>
      </c>
      <c r="P238" s="2" t="s">
        <v>134</v>
      </c>
      <c r="Q238" s="2" t="s">
        <v>97</v>
      </c>
      <c r="R238" s="2" t="s">
        <v>98</v>
      </c>
      <c r="S238" s="2" t="s">
        <v>98</v>
      </c>
      <c r="T238" s="2" t="s">
        <v>98</v>
      </c>
      <c r="U238" s="2" t="s">
        <v>98</v>
      </c>
      <c r="V238" s="2" t="s">
        <v>439</v>
      </c>
      <c r="W238" s="2" t="s">
        <v>119</v>
      </c>
      <c r="X238" s="2" t="s">
        <v>98</v>
      </c>
      <c r="Y238" s="2" t="s">
        <v>1451</v>
      </c>
      <c r="Z238" s="4">
        <v>119</v>
      </c>
      <c r="AA238" s="4">
        <f>=ROUNDDOWN(23.8,0)</f>
      </c>
      <c r="AB238" s="5">
        <v>5</v>
      </c>
      <c r="AC238" s="2" t="s">
        <v>1452</v>
      </c>
      <c r="AD238" s="4">
        <v>100</v>
      </c>
      <c r="AE238" s="4">
        <v>100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98</v>
      </c>
      <c r="AM238" s="4"/>
      <c r="AN238" s="4"/>
      <c r="AO238" s="7">
        <v>0</v>
      </c>
      <c r="AP238" s="4">
        <v>1</v>
      </c>
      <c r="AQ238" s="8">
        <v>202.64</v>
      </c>
      <c r="AR238" s="4"/>
      <c r="AS238" s="8"/>
      <c r="AT238" s="7"/>
      <c r="AU238" s="7"/>
      <c r="AV238" s="4">
        <v>1</v>
      </c>
      <c r="AW238" s="8">
        <v>202.64</v>
      </c>
      <c r="AX238" s="4"/>
      <c r="AY238" s="8"/>
      <c r="AZ238" s="7"/>
      <c r="BA238" s="7"/>
      <c r="BB238" s="7">
        <v>1</v>
      </c>
      <c r="BC238" s="4">
        <v>1</v>
      </c>
      <c r="BD238" s="8">
        <v>202.64</v>
      </c>
      <c r="BE238" s="4">
        <v>5</v>
      </c>
      <c r="BF238" s="8">
        <v>1013.2</v>
      </c>
      <c r="BG238" s="7">
        <v>-0.8</v>
      </c>
      <c r="BH238" s="7">
        <v>-0.8</v>
      </c>
      <c r="BI238" s="7">
        <v>1</v>
      </c>
      <c r="BJ238" s="4">
        <v>3</v>
      </c>
      <c r="BK238" s="8">
        <v>661.06</v>
      </c>
      <c r="BL238" s="2" t="s">
        <v>1453</v>
      </c>
      <c r="BM238" s="7">
        <v>0.3333</v>
      </c>
      <c r="BN238" s="7">
        <v>0.3065</v>
      </c>
      <c r="BO238" s="4">
        <v>1</v>
      </c>
      <c r="BP238" s="8">
        <v>202.64</v>
      </c>
      <c r="BQ238" s="4"/>
      <c r="BR238" s="8"/>
      <c r="BS238" s="7"/>
      <c r="BT238" s="7"/>
      <c r="BU238" s="2" t="s">
        <v>107</v>
      </c>
      <c r="BV238" s="2" t="s">
        <v>1355</v>
      </c>
      <c r="BW238" s="2" t="s">
        <v>1454</v>
      </c>
      <c r="BX238" s="2" t="s">
        <v>1455</v>
      </c>
      <c r="BY238" s="2" t="s">
        <v>110</v>
      </c>
      <c r="BZ238" s="2" t="s">
        <v>98</v>
      </c>
    </row>
    <row r="239">
      <c r="A239" s="2" t="s">
        <v>1456</v>
      </c>
      <c r="B239" s="2" t="s">
        <v>1345</v>
      </c>
      <c r="C239" s="2" t="s">
        <v>88</v>
      </c>
      <c r="D239" s="2" t="s">
        <v>1346</v>
      </c>
      <c r="E239" s="2" t="s">
        <v>1347</v>
      </c>
      <c r="F239" s="2" t="s">
        <v>1447</v>
      </c>
      <c r="G239" s="2" t="s">
        <v>1448</v>
      </c>
      <c r="H239" s="2" t="s">
        <v>1449</v>
      </c>
      <c r="I239" s="2" t="s">
        <v>1432</v>
      </c>
      <c r="J239" s="2" t="s">
        <v>93</v>
      </c>
      <c r="K239" s="2" t="s">
        <v>133</v>
      </c>
      <c r="L239" s="3">
        <v>207.9</v>
      </c>
      <c r="M239" s="3">
        <v>218.3</v>
      </c>
      <c r="N239" s="3">
        <v>439</v>
      </c>
      <c r="O239" s="2" t="s">
        <v>95</v>
      </c>
      <c r="P239" s="2" t="s">
        <v>142</v>
      </c>
      <c r="Q239" s="2" t="s">
        <v>97</v>
      </c>
      <c r="R239" s="2" t="s">
        <v>98</v>
      </c>
      <c r="S239" s="2" t="s">
        <v>98</v>
      </c>
      <c r="T239" s="2" t="s">
        <v>98</v>
      </c>
      <c r="U239" s="2" t="s">
        <v>98</v>
      </c>
      <c r="V239" s="2" t="s">
        <v>439</v>
      </c>
      <c r="W239" s="2" t="s">
        <v>119</v>
      </c>
      <c r="X239" s="2" t="s">
        <v>98</v>
      </c>
      <c r="Y239" s="2" t="s">
        <v>1451</v>
      </c>
      <c r="Z239" s="4">
        <v>41</v>
      </c>
      <c r="AA239" s="4">
        <f>=ROUNDDOWN(13.6666666666667,0)</f>
      </c>
      <c r="AB239" s="5">
        <v>3</v>
      </c>
      <c r="AC239" s="2" t="s">
        <v>1457</v>
      </c>
      <c r="AD239" s="4">
        <v>100</v>
      </c>
      <c r="AE239" s="4">
        <v>100</v>
      </c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98</v>
      </c>
      <c r="AM239" s="4"/>
      <c r="AN239" s="4"/>
      <c r="AO239" s="7">
        <v>0</v>
      </c>
      <c r="AP239" s="4"/>
      <c r="AQ239" s="8"/>
      <c r="AR239" s="4">
        <v>3</v>
      </c>
      <c r="AS239" s="8">
        <v>607.92</v>
      </c>
      <c r="AT239" s="7">
        <v>-1</v>
      </c>
      <c r="AU239" s="7">
        <v>-1</v>
      </c>
      <c r="AV239" s="4"/>
      <c r="AW239" s="8"/>
      <c r="AX239" s="4">
        <v>3</v>
      </c>
      <c r="AY239" s="8">
        <v>607.92</v>
      </c>
      <c r="AZ239" s="7">
        <v>-1</v>
      </c>
      <c r="BA239" s="7">
        <v>-1</v>
      </c>
      <c r="BB239" s="7"/>
      <c r="BC239" s="4" t="s">
        <v>98</v>
      </c>
      <c r="BD239" s="8" t="s">
        <v>98</v>
      </c>
      <c r="BE239" s="4" t="s">
        <v>98</v>
      </c>
      <c r="BF239" s="8" t="s">
        <v>98</v>
      </c>
      <c r="BG239" s="7" t="s">
        <v>98</v>
      </c>
      <c r="BH239" s="7" t="s">
        <v>98</v>
      </c>
      <c r="BI239" s="7"/>
      <c r="BJ239" s="4"/>
      <c r="BK239" s="8"/>
      <c r="BL239" s="2" t="s">
        <v>1445</v>
      </c>
      <c r="BM239" s="7"/>
      <c r="BN239" s="7"/>
      <c r="BO239" s="4"/>
      <c r="BP239" s="8"/>
      <c r="BQ239" s="4">
        <v>3</v>
      </c>
      <c r="BR239" s="8">
        <v>607.92</v>
      </c>
      <c r="BS239" s="7">
        <v>-1</v>
      </c>
      <c r="BT239" s="7">
        <v>-1</v>
      </c>
      <c r="BU239" s="2" t="s">
        <v>107</v>
      </c>
      <c r="BV239" s="2" t="s">
        <v>1355</v>
      </c>
      <c r="BW239" s="2" t="s">
        <v>1454</v>
      </c>
      <c r="BX239" s="2" t="s">
        <v>1458</v>
      </c>
      <c r="BY239" s="2" t="s">
        <v>110</v>
      </c>
      <c r="BZ239" s="2" t="s">
        <v>98</v>
      </c>
    </row>
    <row r="240">
      <c r="A240" s="2" t="s">
        <v>1459</v>
      </c>
      <c r="B240" s="2" t="s">
        <v>1345</v>
      </c>
      <c r="C240" s="2" t="s">
        <v>88</v>
      </c>
      <c r="D240" s="2" t="s">
        <v>1346</v>
      </c>
      <c r="E240" s="2" t="s">
        <v>1347</v>
      </c>
      <c r="F240" s="2" t="s">
        <v>1447</v>
      </c>
      <c r="G240" s="2" t="s">
        <v>1448</v>
      </c>
      <c r="H240" s="2" t="s">
        <v>1460</v>
      </c>
      <c r="I240" s="2" t="s">
        <v>1432</v>
      </c>
      <c r="J240" s="2" t="s">
        <v>93</v>
      </c>
      <c r="K240" s="2" t="s">
        <v>1461</v>
      </c>
      <c r="L240" s="3">
        <v>207.9</v>
      </c>
      <c r="M240" s="3">
        <v>218.3</v>
      </c>
      <c r="N240" s="3">
        <v>439</v>
      </c>
      <c r="O240" s="2" t="s">
        <v>95</v>
      </c>
      <c r="P240" s="2" t="s">
        <v>134</v>
      </c>
      <c r="Q240" s="2" t="s">
        <v>97</v>
      </c>
      <c r="R240" s="2" t="s">
        <v>98</v>
      </c>
      <c r="S240" s="2" t="s">
        <v>1462</v>
      </c>
      <c r="T240" s="2" t="s">
        <v>98</v>
      </c>
      <c r="U240" s="2" t="s">
        <v>98</v>
      </c>
      <c r="V240" s="2" t="s">
        <v>439</v>
      </c>
      <c r="W240" s="2" t="s">
        <v>103</v>
      </c>
      <c r="X240" s="2" t="s">
        <v>98</v>
      </c>
      <c r="Y240" s="2" t="s">
        <v>987</v>
      </c>
      <c r="Z240" s="4">
        <v>58</v>
      </c>
      <c r="AA240" s="4">
        <f>=ROUNDDOWN(11.6,0)</f>
      </c>
      <c r="AB240" s="5">
        <v>5</v>
      </c>
      <c r="AC240" s="2" t="s">
        <v>1457</v>
      </c>
      <c r="AD240" s="4">
        <v>200</v>
      </c>
      <c r="AE240" s="4">
        <v>200</v>
      </c>
      <c r="AF240" s="6">
        <v>67</v>
      </c>
      <c r="AG240" s="6">
        <v>50</v>
      </c>
      <c r="AH240" s="7">
        <v>1</v>
      </c>
      <c r="AI240" s="4"/>
      <c r="AJ240" s="4">
        <f>=ROUNDDOWN({0},0)</f>
      </c>
      <c r="AK240" s="5"/>
      <c r="AL240" s="2" t="s">
        <v>98</v>
      </c>
      <c r="AM240" s="4"/>
      <c r="AN240" s="4"/>
      <c r="AO240" s="7">
        <v>0</v>
      </c>
      <c r="AP240" s="4"/>
      <c r="AQ240" s="8"/>
      <c r="AR240" s="4">
        <v>2</v>
      </c>
      <c r="AS240" s="8">
        <v>405.28</v>
      </c>
      <c r="AT240" s="7">
        <v>-1</v>
      </c>
      <c r="AU240" s="7">
        <v>-1</v>
      </c>
      <c r="AV240" s="4"/>
      <c r="AW240" s="8"/>
      <c r="AX240" s="4">
        <v>2</v>
      </c>
      <c r="AY240" s="8">
        <v>405.28</v>
      </c>
      <c r="AZ240" s="7">
        <v>-1</v>
      </c>
      <c r="BA240" s="7">
        <v>-1</v>
      </c>
      <c r="BB240" s="7"/>
      <c r="BC240" s="4" t="s">
        <v>98</v>
      </c>
      <c r="BD240" s="8" t="s">
        <v>98</v>
      </c>
      <c r="BE240" s="4" t="s">
        <v>98</v>
      </c>
      <c r="BF240" s="8" t="s">
        <v>98</v>
      </c>
      <c r="BG240" s="7" t="s">
        <v>98</v>
      </c>
      <c r="BH240" s="7" t="s">
        <v>98</v>
      </c>
      <c r="BI240" s="7"/>
      <c r="BJ240" s="4">
        <v>1</v>
      </c>
      <c r="BK240" s="8">
        <v>224.61</v>
      </c>
      <c r="BL240" s="2" t="s">
        <v>1463</v>
      </c>
      <c r="BM240" s="7"/>
      <c r="BN240" s="7"/>
      <c r="BO240" s="4"/>
      <c r="BP240" s="8"/>
      <c r="BQ240" s="4">
        <v>2</v>
      </c>
      <c r="BR240" s="8">
        <v>405.28</v>
      </c>
      <c r="BS240" s="7">
        <v>-1</v>
      </c>
      <c r="BT240" s="7">
        <v>-1</v>
      </c>
      <c r="BU240" s="2" t="s">
        <v>107</v>
      </c>
      <c r="BV240" s="2" t="s">
        <v>1355</v>
      </c>
      <c r="BW240" s="2" t="s">
        <v>1436</v>
      </c>
      <c r="BX240" s="2" t="s">
        <v>1464</v>
      </c>
      <c r="BY240" s="2" t="s">
        <v>110</v>
      </c>
      <c r="BZ240" s="2" t="s">
        <v>98</v>
      </c>
    </row>
    <row r="241">
      <c r="A241" s="2" t="s">
        <v>1465</v>
      </c>
      <c r="B241" s="2" t="s">
        <v>1345</v>
      </c>
      <c r="C241" s="2" t="s">
        <v>88</v>
      </c>
      <c r="D241" s="2" t="s">
        <v>1346</v>
      </c>
      <c r="E241" s="2" t="s">
        <v>1347</v>
      </c>
      <c r="F241" s="2" t="s">
        <v>1466</v>
      </c>
      <c r="G241" s="2" t="s">
        <v>1467</v>
      </c>
      <c r="H241" s="2" t="s">
        <v>1468</v>
      </c>
      <c r="I241" s="2" t="s">
        <v>1432</v>
      </c>
      <c r="J241" s="2" t="s">
        <v>93</v>
      </c>
      <c r="K241" s="2" t="s">
        <v>1439</v>
      </c>
      <c r="L241" s="3">
        <v>189</v>
      </c>
      <c r="M241" s="3">
        <v>198.45</v>
      </c>
      <c r="N241" s="3">
        <v>399</v>
      </c>
      <c r="O241" s="2" t="s">
        <v>95</v>
      </c>
      <c r="P241" s="2" t="s">
        <v>134</v>
      </c>
      <c r="Q241" s="2" t="s">
        <v>97</v>
      </c>
      <c r="R241" s="2" t="s">
        <v>98</v>
      </c>
      <c r="S241" s="2" t="s">
        <v>1469</v>
      </c>
      <c r="T241" s="2" t="s">
        <v>98</v>
      </c>
      <c r="U241" s="2" t="s">
        <v>98</v>
      </c>
      <c r="V241" s="2" t="s">
        <v>1360</v>
      </c>
      <c r="W241" s="2" t="s">
        <v>103</v>
      </c>
      <c r="X241" s="2" t="s">
        <v>98</v>
      </c>
      <c r="Y241" s="2" t="s">
        <v>427</v>
      </c>
      <c r="Z241" s="4">
        <v>188</v>
      </c>
      <c r="AA241" s="4">
        <f>=ROUNDDOWN(32.4137931034483,0)</f>
      </c>
      <c r="AB241" s="5">
        <v>5.8</v>
      </c>
      <c r="AC241" s="2" t="s">
        <v>1470</v>
      </c>
      <c r="AD241" s="4">
        <v>110</v>
      </c>
      <c r="AE241" s="4">
        <v>110</v>
      </c>
      <c r="AF241" s="6">
        <v>74</v>
      </c>
      <c r="AG241" s="6">
        <v>60</v>
      </c>
      <c r="AH241" s="7">
        <v>1</v>
      </c>
      <c r="AI241" s="4"/>
      <c r="AJ241" s="4">
        <f>=ROUNDDOWN({0},0)</f>
      </c>
      <c r="AK241" s="5"/>
      <c r="AL241" s="2" t="s">
        <v>98</v>
      </c>
      <c r="AM241" s="4"/>
      <c r="AN241" s="4"/>
      <c r="AO241" s="7">
        <v>0</v>
      </c>
      <c r="AP241" s="4">
        <v>1</v>
      </c>
      <c r="AQ241" s="8">
        <v>191.06</v>
      </c>
      <c r="AR241" s="4"/>
      <c r="AS241" s="8"/>
      <c r="AT241" s="7"/>
      <c r="AU241" s="7"/>
      <c r="AV241" s="4">
        <v>1</v>
      </c>
      <c r="AW241" s="8">
        <v>191.06</v>
      </c>
      <c r="AX241" s="4"/>
      <c r="AY241" s="8"/>
      <c r="AZ241" s="7"/>
      <c r="BA241" s="7"/>
      <c r="BB241" s="7">
        <v>1</v>
      </c>
      <c r="BC241" s="4">
        <v>1</v>
      </c>
      <c r="BD241" s="8">
        <v>191.06</v>
      </c>
      <c r="BE241" s="4" t="s">
        <v>98</v>
      </c>
      <c r="BF241" s="8" t="s">
        <v>98</v>
      </c>
      <c r="BG241" s="7" t="s">
        <v>98</v>
      </c>
      <c r="BH241" s="7" t="s">
        <v>98</v>
      </c>
      <c r="BI241" s="7">
        <v>1</v>
      </c>
      <c r="BJ241" s="4">
        <v>7</v>
      </c>
      <c r="BK241" s="8">
        <v>1319.57</v>
      </c>
      <c r="BL241" s="2" t="s">
        <v>1471</v>
      </c>
      <c r="BM241" s="7">
        <v>0.1429</v>
      </c>
      <c r="BN241" s="7">
        <v>0.1448</v>
      </c>
      <c r="BO241" s="4">
        <v>1</v>
      </c>
      <c r="BP241" s="8">
        <v>191.06</v>
      </c>
      <c r="BQ241" s="4"/>
      <c r="BR241" s="8"/>
      <c r="BS241" s="7"/>
      <c r="BT241" s="7"/>
      <c r="BU241" s="2" t="s">
        <v>107</v>
      </c>
      <c r="BV241" s="2" t="s">
        <v>1355</v>
      </c>
      <c r="BW241" s="2" t="s">
        <v>1472</v>
      </c>
      <c r="BX241" s="2" t="s">
        <v>1473</v>
      </c>
      <c r="BY241" s="2" t="s">
        <v>110</v>
      </c>
      <c r="BZ241" s="2" t="s">
        <v>98</v>
      </c>
    </row>
    <row r="242">
      <c r="A242" s="2" t="s">
        <v>1474</v>
      </c>
      <c r="B242" s="2" t="s">
        <v>1345</v>
      </c>
      <c r="C242" s="2" t="s">
        <v>88</v>
      </c>
      <c r="D242" s="2" t="s">
        <v>1346</v>
      </c>
      <c r="E242" s="2" t="s">
        <v>1347</v>
      </c>
      <c r="F242" s="2" t="s">
        <v>1466</v>
      </c>
      <c r="G242" s="2" t="s">
        <v>1467</v>
      </c>
      <c r="H242" s="2" t="s">
        <v>1468</v>
      </c>
      <c r="I242" s="2" t="s">
        <v>1475</v>
      </c>
      <c r="J242" s="2" t="s">
        <v>93</v>
      </c>
      <c r="K242" s="2" t="s">
        <v>127</v>
      </c>
      <c r="L242" s="3">
        <v>189</v>
      </c>
      <c r="M242" s="3">
        <v>198.45</v>
      </c>
      <c r="N242" s="3">
        <v>399</v>
      </c>
      <c r="O242" s="2" t="s">
        <v>95</v>
      </c>
      <c r="P242" s="2" t="s">
        <v>134</v>
      </c>
      <c r="Q242" s="2" t="s">
        <v>97</v>
      </c>
      <c r="R242" s="2" t="s">
        <v>98</v>
      </c>
      <c r="S242" s="2" t="s">
        <v>98</v>
      </c>
      <c r="T242" s="2" t="s">
        <v>98</v>
      </c>
      <c r="U242" s="2" t="s">
        <v>117</v>
      </c>
      <c r="V242" s="2" t="s">
        <v>439</v>
      </c>
      <c r="W242" s="2" t="s">
        <v>103</v>
      </c>
      <c r="X242" s="2" t="s">
        <v>98</v>
      </c>
      <c r="Y242" s="2" t="s">
        <v>1476</v>
      </c>
      <c r="Z242" s="4">
        <v>1</v>
      </c>
      <c r="AA242" s="4">
        <f>=ROUNDDOWN(0.172413793103448,0)</f>
      </c>
      <c r="AB242" s="5">
        <v>5.8</v>
      </c>
      <c r="AC242" s="2" t="s">
        <v>1374</v>
      </c>
      <c r="AD242" s="4">
        <v>168</v>
      </c>
      <c r="AE242" s="4">
        <v>268</v>
      </c>
      <c r="AF242" s="6">
        <v>74</v>
      </c>
      <c r="AG242" s="6">
        <v>60</v>
      </c>
      <c r="AH242" s="7">
        <v>0</v>
      </c>
      <c r="AI242" s="4"/>
      <c r="AJ242" s="4">
        <f>=ROUNDDOWN({0},0)</f>
      </c>
      <c r="AK242" s="5"/>
      <c r="AL242" s="2" t="s">
        <v>98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/>
      <c r="AW242" s="8"/>
      <c r="AX242" s="4"/>
      <c r="AY242" s="8"/>
      <c r="AZ242" s="7"/>
      <c r="BA242" s="7"/>
      <c r="BB242" s="7"/>
      <c r="BC242" s="4" t="s">
        <v>98</v>
      </c>
      <c r="BD242" s="8" t="s">
        <v>98</v>
      </c>
      <c r="BE242" s="4" t="s">
        <v>98</v>
      </c>
      <c r="BF242" s="8" t="s">
        <v>98</v>
      </c>
      <c r="BG242" s="7" t="s">
        <v>98</v>
      </c>
      <c r="BH242" s="7" t="s">
        <v>98</v>
      </c>
      <c r="BI242" s="7"/>
      <c r="BJ242" s="4"/>
      <c r="BK242" s="8"/>
      <c r="BL242" s="2" t="s">
        <v>1477</v>
      </c>
      <c r="BM242" s="7"/>
      <c r="BN242" s="7"/>
      <c r="BO242" s="4"/>
      <c r="BP242" s="8"/>
      <c r="BQ242" s="4"/>
      <c r="BR242" s="8"/>
      <c r="BS242" s="7"/>
      <c r="BT242" s="7"/>
      <c r="BU242" s="2" t="s">
        <v>107</v>
      </c>
      <c r="BV242" s="2" t="s">
        <v>1355</v>
      </c>
      <c r="BW242" s="2" t="s">
        <v>707</v>
      </c>
      <c r="BX242" s="2" t="s">
        <v>1478</v>
      </c>
      <c r="BY242" s="2" t="s">
        <v>110</v>
      </c>
      <c r="BZ242" s="2" t="s">
        <v>98</v>
      </c>
    </row>
    <row r="243">
      <c r="A243" s="2" t="s">
        <v>1479</v>
      </c>
      <c r="B243" s="2" t="s">
        <v>1345</v>
      </c>
      <c r="C243" s="2" t="s">
        <v>88</v>
      </c>
      <c r="D243" s="2" t="s">
        <v>1346</v>
      </c>
      <c r="E243" s="2" t="s">
        <v>1347</v>
      </c>
      <c r="F243" s="2" t="s">
        <v>1480</v>
      </c>
      <c r="G243" s="2" t="s">
        <v>1481</v>
      </c>
      <c r="H243" s="2" t="s">
        <v>1466</v>
      </c>
      <c r="I243" s="2" t="s">
        <v>1482</v>
      </c>
      <c r="J243" s="2" t="s">
        <v>93</v>
      </c>
      <c r="K243" s="2" t="s">
        <v>1371</v>
      </c>
      <c r="L243" s="3">
        <v>204.25</v>
      </c>
      <c r="M243" s="3">
        <v>214.46</v>
      </c>
      <c r="N243" s="3">
        <v>429</v>
      </c>
      <c r="O243" s="2" t="s">
        <v>95</v>
      </c>
      <c r="P243" s="2" t="s">
        <v>134</v>
      </c>
      <c r="Q243" s="2" t="s">
        <v>97</v>
      </c>
      <c r="R243" s="2" t="s">
        <v>98</v>
      </c>
      <c r="S243" s="2" t="s">
        <v>1483</v>
      </c>
      <c r="T243" s="2" t="s">
        <v>98</v>
      </c>
      <c r="U243" s="2" t="s">
        <v>98</v>
      </c>
      <c r="V243" s="2" t="s">
        <v>439</v>
      </c>
      <c r="W243" s="2" t="s">
        <v>102</v>
      </c>
      <c r="X243" s="2" t="s">
        <v>98</v>
      </c>
      <c r="Y243" s="2" t="s">
        <v>366</v>
      </c>
      <c r="Z243" s="4">
        <v>147</v>
      </c>
      <c r="AA243" s="4">
        <f>=ROUNDDOWN(35,0)</f>
      </c>
      <c r="AB243" s="5">
        <v>4.2</v>
      </c>
      <c r="AC243" s="2" t="s">
        <v>598</v>
      </c>
      <c r="AD243" s="4">
        <v>1</v>
      </c>
      <c r="AE243" s="4">
        <v>120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98</v>
      </c>
      <c r="AM243" s="4"/>
      <c r="AN243" s="4"/>
      <c r="AO243" s="7">
        <v>0</v>
      </c>
      <c r="AP243" s="4">
        <v>1</v>
      </c>
      <c r="AQ243" s="8">
        <v>187.58</v>
      </c>
      <c r="AR243" s="4">
        <v>1</v>
      </c>
      <c r="AS243" s="8">
        <v>200.62</v>
      </c>
      <c r="AT243" s="7"/>
      <c r="AU243" s="7">
        <v>-0.065</v>
      </c>
      <c r="AV243" s="4">
        <v>1</v>
      </c>
      <c r="AW243" s="8">
        <v>187.58</v>
      </c>
      <c r="AX243" s="4">
        <v>1</v>
      </c>
      <c r="AY243" s="8">
        <v>200.62</v>
      </c>
      <c r="AZ243" s="7"/>
      <c r="BA243" s="7">
        <v>-0.065</v>
      </c>
      <c r="BB243" s="7">
        <v>1</v>
      </c>
      <c r="BC243" s="4">
        <v>1</v>
      </c>
      <c r="BD243" s="8">
        <v>187.58</v>
      </c>
      <c r="BE243" s="4">
        <v>2</v>
      </c>
      <c r="BF243" s="8">
        <v>401.24</v>
      </c>
      <c r="BG243" s="7">
        <v>-0.5</v>
      </c>
      <c r="BH243" s="7">
        <v>-0.5325</v>
      </c>
      <c r="BI243" s="7">
        <v>1</v>
      </c>
      <c r="BJ243" s="4">
        <v>1</v>
      </c>
      <c r="BK243" s="8">
        <v>187.58</v>
      </c>
      <c r="BL243" s="2" t="s">
        <v>1411</v>
      </c>
      <c r="BM243" s="7">
        <v>1</v>
      </c>
      <c r="BN243" s="7">
        <v>1</v>
      </c>
      <c r="BO243" s="4">
        <v>1</v>
      </c>
      <c r="BP243" s="8">
        <v>187.58</v>
      </c>
      <c r="BQ243" s="4">
        <v>1</v>
      </c>
      <c r="BR243" s="8">
        <v>200.62</v>
      </c>
      <c r="BS243" s="7"/>
      <c r="BT243" s="7">
        <v>-0.065</v>
      </c>
      <c r="BU243" s="2" t="s">
        <v>107</v>
      </c>
      <c r="BV243" s="2" t="s">
        <v>1355</v>
      </c>
      <c r="BW243" s="2" t="s">
        <v>1356</v>
      </c>
      <c r="BX243" s="2" t="s">
        <v>1484</v>
      </c>
      <c r="BY243" s="2" t="s">
        <v>110</v>
      </c>
      <c r="BZ243" s="2" t="s">
        <v>98</v>
      </c>
    </row>
    <row r="244">
      <c r="A244" s="2" t="s">
        <v>1485</v>
      </c>
      <c r="B244" s="2" t="s">
        <v>1345</v>
      </c>
      <c r="C244" s="2" t="s">
        <v>88</v>
      </c>
      <c r="D244" s="2" t="s">
        <v>1346</v>
      </c>
      <c r="E244" s="2" t="s">
        <v>1347</v>
      </c>
      <c r="F244" s="2" t="s">
        <v>1480</v>
      </c>
      <c r="G244" s="2" t="s">
        <v>1481</v>
      </c>
      <c r="H244" s="2" t="s">
        <v>1466</v>
      </c>
      <c r="I244" s="2" t="s">
        <v>1482</v>
      </c>
      <c r="J244" s="2" t="s">
        <v>93</v>
      </c>
      <c r="K244" s="2" t="s">
        <v>277</v>
      </c>
      <c r="L244" s="3">
        <v>204.25</v>
      </c>
      <c r="M244" s="3">
        <v>214.46</v>
      </c>
      <c r="N244" s="3">
        <v>429</v>
      </c>
      <c r="O244" s="2" t="s">
        <v>95</v>
      </c>
      <c r="P244" s="2" t="s">
        <v>134</v>
      </c>
      <c r="Q244" s="2" t="s">
        <v>97</v>
      </c>
      <c r="R244" s="2" t="s">
        <v>98</v>
      </c>
      <c r="S244" s="2" t="s">
        <v>1486</v>
      </c>
      <c r="T244" s="2" t="s">
        <v>98</v>
      </c>
      <c r="U244" s="2" t="s">
        <v>98</v>
      </c>
      <c r="V244" s="2" t="s">
        <v>439</v>
      </c>
      <c r="W244" s="2" t="s">
        <v>102</v>
      </c>
      <c r="X244" s="2" t="s">
        <v>98</v>
      </c>
      <c r="Y244" s="2" t="s">
        <v>366</v>
      </c>
      <c r="Z244" s="4">
        <v>86</v>
      </c>
      <c r="AA244" s="4">
        <f>=ROUNDDOWN(26.875,0)</f>
      </c>
      <c r="AB244" s="5">
        <v>3.2</v>
      </c>
      <c r="AC244" s="2" t="s">
        <v>177</v>
      </c>
      <c r="AD244" s="4">
        <v>96</v>
      </c>
      <c r="AE244" s="4">
        <v>96</v>
      </c>
      <c r="AF244" s="6">
        <v>65</v>
      </c>
      <c r="AG244" s="6">
        <v>48</v>
      </c>
      <c r="AH244" s="7">
        <v>1</v>
      </c>
      <c r="AI244" s="4"/>
      <c r="AJ244" s="4">
        <f>=ROUNDDOWN({0},0)</f>
      </c>
      <c r="AK244" s="5"/>
      <c r="AL244" s="2" t="s">
        <v>98</v>
      </c>
      <c r="AM244" s="4"/>
      <c r="AN244" s="4"/>
      <c r="AO244" s="7">
        <v>0</v>
      </c>
      <c r="AP244" s="4"/>
      <c r="AQ244" s="8"/>
      <c r="AR244" s="4">
        <v>1</v>
      </c>
      <c r="AS244" s="8">
        <v>200.62</v>
      </c>
      <c r="AT244" s="7">
        <v>-1</v>
      </c>
      <c r="AU244" s="7">
        <v>-1</v>
      </c>
      <c r="AV244" s="4"/>
      <c r="AW244" s="8"/>
      <c r="AX244" s="4">
        <v>1</v>
      </c>
      <c r="AY244" s="8">
        <v>200.62</v>
      </c>
      <c r="AZ244" s="7">
        <v>-1</v>
      </c>
      <c r="BA244" s="7">
        <v>-1</v>
      </c>
      <c r="BB244" s="7"/>
      <c r="BC244" s="4" t="s">
        <v>98</v>
      </c>
      <c r="BD244" s="8" t="s">
        <v>98</v>
      </c>
      <c r="BE244" s="4" t="s">
        <v>98</v>
      </c>
      <c r="BF244" s="8" t="s">
        <v>98</v>
      </c>
      <c r="BG244" s="7" t="s">
        <v>98</v>
      </c>
      <c r="BH244" s="7" t="s">
        <v>98</v>
      </c>
      <c r="BI244" s="7"/>
      <c r="BJ244" s="4">
        <v>4</v>
      </c>
      <c r="BK244" s="8">
        <v>792.35</v>
      </c>
      <c r="BL244" s="2" t="s">
        <v>1487</v>
      </c>
      <c r="BM244" s="7"/>
      <c r="BN244" s="7"/>
      <c r="BO244" s="4"/>
      <c r="BP244" s="8"/>
      <c r="BQ244" s="4">
        <v>1</v>
      </c>
      <c r="BR244" s="8">
        <v>200.62</v>
      </c>
      <c r="BS244" s="7">
        <v>-1</v>
      </c>
      <c r="BT244" s="7">
        <v>-1</v>
      </c>
      <c r="BU244" s="2" t="s">
        <v>107</v>
      </c>
      <c r="BV244" s="2" t="s">
        <v>1355</v>
      </c>
      <c r="BW244" s="2" t="s">
        <v>1356</v>
      </c>
      <c r="BX244" s="2" t="s">
        <v>1488</v>
      </c>
      <c r="BY244" s="2" t="s">
        <v>110</v>
      </c>
      <c r="BZ244" s="2" t="s">
        <v>98</v>
      </c>
    </row>
    <row r="245">
      <c r="A245" s="2" t="s">
        <v>1489</v>
      </c>
      <c r="B245" s="2" t="s">
        <v>1345</v>
      </c>
      <c r="C245" s="2" t="s">
        <v>88</v>
      </c>
      <c r="D245" s="2" t="s">
        <v>1346</v>
      </c>
      <c r="E245" s="2" t="s">
        <v>1347</v>
      </c>
      <c r="F245" s="2" t="s">
        <v>1480</v>
      </c>
      <c r="G245" s="2" t="s">
        <v>1481</v>
      </c>
      <c r="H245" s="2" t="s">
        <v>1466</v>
      </c>
      <c r="I245" s="2" t="s">
        <v>1482</v>
      </c>
      <c r="J245" s="2" t="s">
        <v>93</v>
      </c>
      <c r="K245" s="2" t="s">
        <v>1490</v>
      </c>
      <c r="L245" s="3">
        <v>204.25</v>
      </c>
      <c r="M245" s="3">
        <v>214.46</v>
      </c>
      <c r="N245" s="3">
        <v>429</v>
      </c>
      <c r="O245" s="2" t="s">
        <v>95</v>
      </c>
      <c r="P245" s="2" t="s">
        <v>134</v>
      </c>
      <c r="Q245" s="2" t="s">
        <v>97</v>
      </c>
      <c r="R245" s="2" t="s">
        <v>98</v>
      </c>
      <c r="S245" s="2" t="s">
        <v>1491</v>
      </c>
      <c r="T245" s="2" t="s">
        <v>98</v>
      </c>
      <c r="U245" s="2" t="s">
        <v>98</v>
      </c>
      <c r="V245" s="2" t="s">
        <v>439</v>
      </c>
      <c r="W245" s="2" t="s">
        <v>102</v>
      </c>
      <c r="X245" s="2" t="s">
        <v>98</v>
      </c>
      <c r="Y245" s="2" t="s">
        <v>366</v>
      </c>
      <c r="Z245" s="4">
        <v>2</v>
      </c>
      <c r="AA245" s="4">
        <f>=ROUNDDOWN(0.8,0)</f>
      </c>
      <c r="AB245" s="5">
        <v>2.5</v>
      </c>
      <c r="AC245" s="2" t="s">
        <v>323</v>
      </c>
      <c r="AD245" s="4">
        <v>100</v>
      </c>
      <c r="AE245" s="4">
        <v>200</v>
      </c>
      <c r="AF245" s="6">
        <v>65</v>
      </c>
      <c r="AG245" s="6"/>
      <c r="AH245" s="7">
        <v>0</v>
      </c>
      <c r="AI245" s="4"/>
      <c r="AJ245" s="4">
        <f>=ROUNDDOWN({0},0)</f>
      </c>
      <c r="AK245" s="5"/>
      <c r="AL245" s="2" t="s">
        <v>98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/>
      <c r="AW245" s="8"/>
      <c r="AX245" s="4"/>
      <c r="AY245" s="8"/>
      <c r="AZ245" s="7"/>
      <c r="BA245" s="7"/>
      <c r="BB245" s="7"/>
      <c r="BC245" s="4" t="s">
        <v>98</v>
      </c>
      <c r="BD245" s="8" t="s">
        <v>98</v>
      </c>
      <c r="BE245" s="4" t="s">
        <v>98</v>
      </c>
      <c r="BF245" s="8" t="s">
        <v>98</v>
      </c>
      <c r="BG245" s="7" t="s">
        <v>98</v>
      </c>
      <c r="BH245" s="7" t="s">
        <v>98</v>
      </c>
      <c r="BI245" s="7"/>
      <c r="BJ245" s="4"/>
      <c r="BK245" s="8"/>
      <c r="BL245" s="2" t="s">
        <v>1492</v>
      </c>
      <c r="BM245" s="7"/>
      <c r="BN245" s="7"/>
      <c r="BO245" s="4"/>
      <c r="BP245" s="8"/>
      <c r="BQ245" s="4"/>
      <c r="BR245" s="8"/>
      <c r="BS245" s="7"/>
      <c r="BT245" s="7"/>
      <c r="BU245" s="2" t="s">
        <v>107</v>
      </c>
      <c r="BV245" s="2" t="s">
        <v>1355</v>
      </c>
      <c r="BW245" s="2" t="s">
        <v>1356</v>
      </c>
      <c r="BX245" s="2" t="s">
        <v>1417</v>
      </c>
      <c r="BY245" s="2" t="s">
        <v>110</v>
      </c>
      <c r="BZ245" s="2" t="s">
        <v>98</v>
      </c>
    </row>
    <row r="246">
      <c r="A246" s="2" t="s">
        <v>1493</v>
      </c>
      <c r="B246" s="2" t="s">
        <v>1345</v>
      </c>
      <c r="C246" s="2" t="s">
        <v>88</v>
      </c>
      <c r="D246" s="2" t="s">
        <v>1346</v>
      </c>
      <c r="E246" s="2" t="s">
        <v>1347</v>
      </c>
      <c r="F246" s="2" t="s">
        <v>1480</v>
      </c>
      <c r="G246" s="2" t="s">
        <v>1481</v>
      </c>
      <c r="H246" s="2" t="s">
        <v>1466</v>
      </c>
      <c r="I246" s="2" t="s">
        <v>1482</v>
      </c>
      <c r="J246" s="2" t="s">
        <v>93</v>
      </c>
      <c r="K246" s="2" t="s">
        <v>357</v>
      </c>
      <c r="L246" s="3">
        <v>204.25</v>
      </c>
      <c r="M246" s="3">
        <v>214.46</v>
      </c>
      <c r="N246" s="3">
        <v>429</v>
      </c>
      <c r="O246" s="2" t="s">
        <v>95</v>
      </c>
      <c r="P246" s="2" t="s">
        <v>115</v>
      </c>
      <c r="Q246" s="2" t="s">
        <v>97</v>
      </c>
      <c r="R246" s="2" t="s">
        <v>98</v>
      </c>
      <c r="S246" s="2" t="s">
        <v>1494</v>
      </c>
      <c r="T246" s="2" t="s">
        <v>98</v>
      </c>
      <c r="U246" s="2" t="s">
        <v>98</v>
      </c>
      <c r="V246" s="2" t="s">
        <v>1360</v>
      </c>
      <c r="W246" s="2" t="s">
        <v>102</v>
      </c>
      <c r="X246" s="2" t="s">
        <v>98</v>
      </c>
      <c r="Y246" s="2" t="s">
        <v>366</v>
      </c>
      <c r="Z246" s="4">
        <v>72</v>
      </c>
      <c r="AA246" s="4">
        <f>=ROUNDDOWN(18.9473684210526,0)</f>
      </c>
      <c r="AB246" s="5">
        <v>3.8</v>
      </c>
      <c r="AC246" s="2" t="s">
        <v>98</v>
      </c>
      <c r="AD246" s="4"/>
      <c r="AE246" s="4"/>
      <c r="AF246" s="6">
        <v>67</v>
      </c>
      <c r="AG246" s="6">
        <v>50</v>
      </c>
      <c r="AH246" s="7">
        <v>1</v>
      </c>
      <c r="AI246" s="4"/>
      <c r="AJ246" s="4">
        <f>=ROUNDDOWN({0},0)</f>
      </c>
      <c r="AK246" s="5"/>
      <c r="AL246" s="2" t="s">
        <v>98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 t="s">
        <v>98</v>
      </c>
      <c r="BD246" s="8" t="s">
        <v>98</v>
      </c>
      <c r="BE246" s="4" t="s">
        <v>98</v>
      </c>
      <c r="BF246" s="8" t="s">
        <v>98</v>
      </c>
      <c r="BG246" s="7" t="s">
        <v>98</v>
      </c>
      <c r="BH246" s="7" t="s">
        <v>98</v>
      </c>
      <c r="BI246" s="7"/>
      <c r="BJ246" s="4"/>
      <c r="BK246" s="8"/>
      <c r="BL246" s="2" t="s">
        <v>1368</v>
      </c>
      <c r="BM246" s="7"/>
      <c r="BN246" s="7"/>
      <c r="BO246" s="4"/>
      <c r="BP246" s="8"/>
      <c r="BQ246" s="4"/>
      <c r="BR246" s="8"/>
      <c r="BS246" s="7"/>
      <c r="BT246" s="7"/>
      <c r="BU246" s="2" t="s">
        <v>107</v>
      </c>
      <c r="BV246" s="2" t="s">
        <v>1355</v>
      </c>
      <c r="BW246" s="2" t="s">
        <v>1495</v>
      </c>
      <c r="BX246" s="2" t="s">
        <v>1496</v>
      </c>
      <c r="BY246" s="2" t="s">
        <v>110</v>
      </c>
      <c r="BZ246" s="2" t="s">
        <v>98</v>
      </c>
    </row>
    <row r="247">
      <c r="A247" s="2" t="s">
        <v>1497</v>
      </c>
      <c r="B247" s="2" t="s">
        <v>1345</v>
      </c>
      <c r="C247" s="2" t="s">
        <v>88</v>
      </c>
      <c r="D247" s="2" t="s">
        <v>1346</v>
      </c>
      <c r="E247" s="2" t="s">
        <v>1347</v>
      </c>
      <c r="F247" s="2" t="s">
        <v>1480</v>
      </c>
      <c r="G247" s="2" t="s">
        <v>1481</v>
      </c>
      <c r="H247" s="2" t="s">
        <v>1466</v>
      </c>
      <c r="I247" s="2" t="s">
        <v>1482</v>
      </c>
      <c r="J247" s="2" t="s">
        <v>93</v>
      </c>
      <c r="K247" s="2" t="s">
        <v>616</v>
      </c>
      <c r="L247" s="3">
        <v>204.25</v>
      </c>
      <c r="M247" s="3">
        <v>214.46</v>
      </c>
      <c r="N247" s="3">
        <v>429</v>
      </c>
      <c r="O247" s="2" t="s">
        <v>95</v>
      </c>
      <c r="P247" s="2" t="s">
        <v>134</v>
      </c>
      <c r="Q247" s="2" t="s">
        <v>97</v>
      </c>
      <c r="R247" s="2" t="s">
        <v>98</v>
      </c>
      <c r="S247" s="2" t="s">
        <v>1498</v>
      </c>
      <c r="T247" s="2" t="s">
        <v>98</v>
      </c>
      <c r="U247" s="2" t="s">
        <v>98</v>
      </c>
      <c r="V247" s="2" t="s">
        <v>439</v>
      </c>
      <c r="W247" s="2" t="s">
        <v>102</v>
      </c>
      <c r="X247" s="2" t="s">
        <v>98</v>
      </c>
      <c r="Y247" s="2" t="s">
        <v>366</v>
      </c>
      <c r="Z247" s="4">
        <v>62</v>
      </c>
      <c r="AA247" s="4">
        <f>=ROUNDDOWN(15.5,0)</f>
      </c>
      <c r="AB247" s="5">
        <v>4</v>
      </c>
      <c r="AC247" s="2" t="s">
        <v>1499</v>
      </c>
      <c r="AD247" s="4">
        <v>100</v>
      </c>
      <c r="AE247" s="4">
        <v>100</v>
      </c>
      <c r="AF247" s="6">
        <v>65</v>
      </c>
      <c r="AG247" s="6">
        <v>48</v>
      </c>
      <c r="AH247" s="7">
        <v>1</v>
      </c>
      <c r="AI247" s="4"/>
      <c r="AJ247" s="4">
        <f>=ROUNDDOWN({0},0)</f>
      </c>
      <c r="AK247" s="5"/>
      <c r="AL247" s="2" t="s">
        <v>98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/>
      <c r="AW247" s="8"/>
      <c r="AX247" s="4"/>
      <c r="AY247" s="8"/>
      <c r="AZ247" s="7"/>
      <c r="BA247" s="7"/>
      <c r="BB247" s="7"/>
      <c r="BC247" s="4" t="s">
        <v>98</v>
      </c>
      <c r="BD247" s="8" t="s">
        <v>98</v>
      </c>
      <c r="BE247" s="4" t="s">
        <v>98</v>
      </c>
      <c r="BF247" s="8" t="s">
        <v>98</v>
      </c>
      <c r="BG247" s="7" t="s">
        <v>98</v>
      </c>
      <c r="BH247" s="7" t="s">
        <v>98</v>
      </c>
      <c r="BI247" s="7"/>
      <c r="BJ247" s="4">
        <v>2</v>
      </c>
      <c r="BK247" s="8">
        <v>423.46</v>
      </c>
      <c r="BL247" s="2" t="s">
        <v>1500</v>
      </c>
      <c r="BM247" s="7"/>
      <c r="BN247" s="7"/>
      <c r="BO247" s="4"/>
      <c r="BP247" s="8"/>
      <c r="BQ247" s="4"/>
      <c r="BR247" s="8"/>
      <c r="BS247" s="7"/>
      <c r="BT247" s="7"/>
      <c r="BU247" s="2" t="s">
        <v>107</v>
      </c>
      <c r="BV247" s="2" t="s">
        <v>1355</v>
      </c>
      <c r="BW247" s="2" t="s">
        <v>1356</v>
      </c>
      <c r="BX247" s="2" t="s">
        <v>1427</v>
      </c>
      <c r="BY247" s="2" t="s">
        <v>110</v>
      </c>
      <c r="BZ247" s="2" t="s">
        <v>98</v>
      </c>
    </row>
    <row r="248">
      <c r="A248" s="2" t="s">
        <v>1501</v>
      </c>
      <c r="B248" s="2" t="s">
        <v>1345</v>
      </c>
      <c r="C248" s="2" t="s">
        <v>88</v>
      </c>
      <c r="D248" s="2" t="s">
        <v>1346</v>
      </c>
      <c r="E248" s="2" t="s">
        <v>1347</v>
      </c>
      <c r="F248" s="2" t="s">
        <v>1480</v>
      </c>
      <c r="G248" s="2" t="s">
        <v>1481</v>
      </c>
      <c r="H248" s="2" t="s">
        <v>1466</v>
      </c>
      <c r="I248" s="2" t="s">
        <v>1482</v>
      </c>
      <c r="J248" s="2" t="s">
        <v>93</v>
      </c>
      <c r="K248" s="2" t="s">
        <v>364</v>
      </c>
      <c r="L248" s="3">
        <v>204.25</v>
      </c>
      <c r="M248" s="3">
        <v>214.46</v>
      </c>
      <c r="N248" s="3">
        <v>429</v>
      </c>
      <c r="O248" s="2" t="s">
        <v>95</v>
      </c>
      <c r="P248" s="2" t="s">
        <v>142</v>
      </c>
      <c r="Q248" s="2" t="s">
        <v>97</v>
      </c>
      <c r="R248" s="2" t="s">
        <v>98</v>
      </c>
      <c r="S248" s="2" t="s">
        <v>1502</v>
      </c>
      <c r="T248" s="2" t="s">
        <v>98</v>
      </c>
      <c r="U248" s="2" t="s">
        <v>98</v>
      </c>
      <c r="V248" s="2" t="s">
        <v>1360</v>
      </c>
      <c r="W248" s="2" t="s">
        <v>102</v>
      </c>
      <c r="X248" s="2" t="s">
        <v>98</v>
      </c>
      <c r="Y248" s="2" t="s">
        <v>366</v>
      </c>
      <c r="Z248" s="4">
        <v>70</v>
      </c>
      <c r="AA248" s="4">
        <f>=ROUNDDOWN(35,0)</f>
      </c>
      <c r="AB248" s="5">
        <v>2</v>
      </c>
      <c r="AC248" s="2" t="s">
        <v>598</v>
      </c>
      <c r="AD248" s="4">
        <v>99</v>
      </c>
      <c r="AE248" s="4">
        <v>99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98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98</v>
      </c>
      <c r="BD248" s="8" t="s">
        <v>98</v>
      </c>
      <c r="BE248" s="4" t="s">
        <v>98</v>
      </c>
      <c r="BF248" s="8" t="s">
        <v>98</v>
      </c>
      <c r="BG248" s="7" t="s">
        <v>98</v>
      </c>
      <c r="BH248" s="7" t="s">
        <v>98</v>
      </c>
      <c r="BI248" s="7"/>
      <c r="BJ248" s="4"/>
      <c r="BK248" s="8"/>
      <c r="BL248" s="2" t="s">
        <v>1368</v>
      </c>
      <c r="BM248" s="7"/>
      <c r="BN248" s="7"/>
      <c r="BO248" s="4"/>
      <c r="BP248" s="8"/>
      <c r="BQ248" s="4"/>
      <c r="BR248" s="8"/>
      <c r="BS248" s="7"/>
      <c r="BT248" s="7"/>
      <c r="BU248" s="2" t="s">
        <v>107</v>
      </c>
      <c r="BV248" s="2" t="s">
        <v>1355</v>
      </c>
      <c r="BW248" s="2" t="s">
        <v>1495</v>
      </c>
      <c r="BX248" s="2" t="s">
        <v>1503</v>
      </c>
      <c r="BY248" s="2" t="s">
        <v>110</v>
      </c>
      <c r="BZ248" s="2" t="s">
        <v>98</v>
      </c>
    </row>
    <row r="249">
      <c r="A249" s="2" t="s">
        <v>1504</v>
      </c>
      <c r="B249" s="2" t="s">
        <v>1345</v>
      </c>
      <c r="C249" s="2" t="s">
        <v>88</v>
      </c>
      <c r="D249" s="2" t="s">
        <v>1346</v>
      </c>
      <c r="E249" s="2" t="s">
        <v>1347</v>
      </c>
      <c r="F249" s="2" t="s">
        <v>1505</v>
      </c>
      <c r="G249" s="2" t="s">
        <v>1506</v>
      </c>
      <c r="H249" s="2" t="s">
        <v>1507</v>
      </c>
      <c r="I249" s="2" t="s">
        <v>1508</v>
      </c>
      <c r="J249" s="2" t="s">
        <v>93</v>
      </c>
      <c r="K249" s="2" t="s">
        <v>127</v>
      </c>
      <c r="L249" s="3">
        <v>180.5</v>
      </c>
      <c r="M249" s="3">
        <v>189.52</v>
      </c>
      <c r="N249" s="3">
        <v>379</v>
      </c>
      <c r="O249" s="2" t="s">
        <v>95</v>
      </c>
      <c r="P249" s="2" t="s">
        <v>134</v>
      </c>
      <c r="Q249" s="2" t="s">
        <v>97</v>
      </c>
      <c r="R249" s="2" t="s">
        <v>98</v>
      </c>
      <c r="S249" s="2" t="s">
        <v>1509</v>
      </c>
      <c r="T249" s="2" t="s">
        <v>98</v>
      </c>
      <c r="U249" s="2" t="s">
        <v>98</v>
      </c>
      <c r="V249" s="2" t="s">
        <v>1360</v>
      </c>
      <c r="W249" s="2" t="s">
        <v>204</v>
      </c>
      <c r="X249" s="2" t="s">
        <v>103</v>
      </c>
      <c r="Y249" s="2" t="s">
        <v>1510</v>
      </c>
      <c r="Z249" s="4">
        <v>177</v>
      </c>
      <c r="AA249" s="4">
        <f>=ROUNDDOWN(29.5,0)</f>
      </c>
      <c r="AB249" s="5">
        <v>6</v>
      </c>
      <c r="AC249" s="2" t="s">
        <v>98</v>
      </c>
      <c r="AD249" s="4"/>
      <c r="AE249" s="4"/>
      <c r="AF249" s="6">
        <v>65</v>
      </c>
      <c r="AG249" s="6">
        <v>48</v>
      </c>
      <c r="AH249" s="7">
        <v>1</v>
      </c>
      <c r="AI249" s="4"/>
      <c r="AJ249" s="4">
        <f>=ROUNDDOWN({0},0)</f>
      </c>
      <c r="AK249" s="5"/>
      <c r="AL249" s="2" t="s">
        <v>98</v>
      </c>
      <c r="AM249" s="4"/>
      <c r="AN249" s="4"/>
      <c r="AO249" s="7">
        <v>0</v>
      </c>
      <c r="AP249" s="4">
        <v>1</v>
      </c>
      <c r="AQ249" s="8">
        <v>167.95</v>
      </c>
      <c r="AR249" s="4"/>
      <c r="AS249" s="8"/>
      <c r="AT249" s="7"/>
      <c r="AU249" s="7"/>
      <c r="AV249" s="4">
        <v>1</v>
      </c>
      <c r="AW249" s="8">
        <v>167.95</v>
      </c>
      <c r="AX249" s="4"/>
      <c r="AY249" s="8"/>
      <c r="AZ249" s="7"/>
      <c r="BA249" s="7"/>
      <c r="BB249" s="7">
        <v>1</v>
      </c>
      <c r="BC249" s="4">
        <v>1</v>
      </c>
      <c r="BD249" s="8">
        <v>167.95</v>
      </c>
      <c r="BE249" s="4" t="s">
        <v>98</v>
      </c>
      <c r="BF249" s="8" t="s">
        <v>98</v>
      </c>
      <c r="BG249" s="7" t="s">
        <v>98</v>
      </c>
      <c r="BH249" s="7" t="s">
        <v>98</v>
      </c>
      <c r="BI249" s="7">
        <v>1</v>
      </c>
      <c r="BJ249" s="4">
        <v>5</v>
      </c>
      <c r="BK249" s="8">
        <v>855.07</v>
      </c>
      <c r="BL249" s="2" t="s">
        <v>1511</v>
      </c>
      <c r="BM249" s="7">
        <v>0.2</v>
      </c>
      <c r="BN249" s="7">
        <v>0.1964</v>
      </c>
      <c r="BO249" s="4">
        <v>1</v>
      </c>
      <c r="BP249" s="8">
        <v>167.95</v>
      </c>
      <c r="BQ249" s="4"/>
      <c r="BR249" s="8"/>
      <c r="BS249" s="7"/>
      <c r="BT249" s="7"/>
      <c r="BU249" s="2" t="s">
        <v>107</v>
      </c>
      <c r="BV249" s="2" t="s">
        <v>1355</v>
      </c>
      <c r="BW249" s="2" t="s">
        <v>1512</v>
      </c>
      <c r="BX249" s="2" t="s">
        <v>1513</v>
      </c>
      <c r="BY249" s="2" t="s">
        <v>110</v>
      </c>
      <c r="BZ249" s="2" t="s">
        <v>98</v>
      </c>
    </row>
    <row r="250">
      <c r="A250" s="2" t="s">
        <v>1514</v>
      </c>
      <c r="B250" s="2" t="s">
        <v>1345</v>
      </c>
      <c r="C250" s="2" t="s">
        <v>88</v>
      </c>
      <c r="D250" s="2" t="s">
        <v>1346</v>
      </c>
      <c r="E250" s="2" t="s">
        <v>1347</v>
      </c>
      <c r="F250" s="2" t="s">
        <v>1505</v>
      </c>
      <c r="G250" s="2" t="s">
        <v>1506</v>
      </c>
      <c r="H250" s="2" t="s">
        <v>1507</v>
      </c>
      <c r="I250" s="2" t="s">
        <v>1508</v>
      </c>
      <c r="J250" s="2" t="s">
        <v>93</v>
      </c>
      <c r="K250" s="2" t="s">
        <v>236</v>
      </c>
      <c r="L250" s="3">
        <v>180.5</v>
      </c>
      <c r="M250" s="3">
        <v>189.52</v>
      </c>
      <c r="N250" s="3">
        <v>379</v>
      </c>
      <c r="O250" s="2" t="s">
        <v>95</v>
      </c>
      <c r="P250" s="2" t="s">
        <v>134</v>
      </c>
      <c r="Q250" s="2" t="s">
        <v>97</v>
      </c>
      <c r="R250" s="2" t="s">
        <v>98</v>
      </c>
      <c r="S250" s="2" t="s">
        <v>1515</v>
      </c>
      <c r="T250" s="2" t="s">
        <v>98</v>
      </c>
      <c r="U250" s="2" t="s">
        <v>98</v>
      </c>
      <c r="V250" s="2" t="s">
        <v>339</v>
      </c>
      <c r="W250" s="2" t="s">
        <v>314</v>
      </c>
      <c r="X250" s="2" t="s">
        <v>98</v>
      </c>
      <c r="Y250" s="2" t="s">
        <v>366</v>
      </c>
      <c r="Z250" s="4">
        <v>28</v>
      </c>
      <c r="AA250" s="4">
        <f>=ROUNDDOWN(4,0)</f>
      </c>
      <c r="AB250" s="5">
        <v>7</v>
      </c>
      <c r="AC250" s="2" t="s">
        <v>1516</v>
      </c>
      <c r="AD250" s="4">
        <v>40</v>
      </c>
      <c r="AE250" s="4">
        <v>100</v>
      </c>
      <c r="AF250" s="6">
        <v>65</v>
      </c>
      <c r="AG250" s="6">
        <v>48</v>
      </c>
      <c r="AH250" s="7">
        <v>1</v>
      </c>
      <c r="AI250" s="4"/>
      <c r="AJ250" s="4">
        <f>=ROUNDDOWN({0},0)</f>
      </c>
      <c r="AK250" s="5"/>
      <c r="AL250" s="2" t="s">
        <v>98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 t="s">
        <v>98</v>
      </c>
      <c r="BD250" s="8" t="s">
        <v>98</v>
      </c>
      <c r="BE250" s="4" t="s">
        <v>98</v>
      </c>
      <c r="BF250" s="8" t="s">
        <v>98</v>
      </c>
      <c r="BG250" s="7" t="s">
        <v>98</v>
      </c>
      <c r="BH250" s="7" t="s">
        <v>98</v>
      </c>
      <c r="BI250" s="7"/>
      <c r="BJ250" s="4">
        <v>5</v>
      </c>
      <c r="BK250" s="8">
        <v>998.3</v>
      </c>
      <c r="BL250" s="2" t="s">
        <v>1517</v>
      </c>
      <c r="BM250" s="7"/>
      <c r="BN250" s="7"/>
      <c r="BO250" s="4"/>
      <c r="BP250" s="8"/>
      <c r="BQ250" s="4"/>
      <c r="BR250" s="8"/>
      <c r="BS250" s="7"/>
      <c r="BT250" s="7"/>
      <c r="BU250" s="2" t="s">
        <v>107</v>
      </c>
      <c r="BV250" s="2" t="s">
        <v>1355</v>
      </c>
      <c r="BW250" s="2" t="s">
        <v>1356</v>
      </c>
      <c r="BX250" s="2" t="s">
        <v>98</v>
      </c>
      <c r="BY250" s="2" t="s">
        <v>110</v>
      </c>
      <c r="BZ250" s="2" t="s">
        <v>98</v>
      </c>
    </row>
    <row r="251">
      <c r="A251" s="2" t="s">
        <v>1518</v>
      </c>
      <c r="B251" s="2" t="s">
        <v>1345</v>
      </c>
      <c r="C251" s="2" t="s">
        <v>88</v>
      </c>
      <c r="D251" s="2" t="s">
        <v>1346</v>
      </c>
      <c r="E251" s="2" t="s">
        <v>1347</v>
      </c>
      <c r="F251" s="2" t="s">
        <v>1519</v>
      </c>
      <c r="G251" s="2" t="s">
        <v>1520</v>
      </c>
      <c r="H251" s="2" t="s">
        <v>1521</v>
      </c>
      <c r="I251" s="2" t="s">
        <v>1522</v>
      </c>
      <c r="J251" s="2" t="s">
        <v>93</v>
      </c>
      <c r="K251" s="2" t="s">
        <v>1523</v>
      </c>
      <c r="L251" s="3">
        <v>180.5</v>
      </c>
      <c r="M251" s="3">
        <v>189.52</v>
      </c>
      <c r="N251" s="3">
        <v>379</v>
      </c>
      <c r="O251" s="2" t="s">
        <v>95</v>
      </c>
      <c r="P251" s="2" t="s">
        <v>134</v>
      </c>
      <c r="Q251" s="2" t="s">
        <v>97</v>
      </c>
      <c r="R251" s="2" t="s">
        <v>98</v>
      </c>
      <c r="S251" s="2" t="s">
        <v>1524</v>
      </c>
      <c r="T251" s="2" t="s">
        <v>98</v>
      </c>
      <c r="U251" s="2" t="s">
        <v>98</v>
      </c>
      <c r="V251" s="2" t="s">
        <v>1360</v>
      </c>
      <c r="W251" s="2" t="s">
        <v>314</v>
      </c>
      <c r="X251" s="2" t="s">
        <v>98</v>
      </c>
      <c r="Y251" s="2" t="s">
        <v>366</v>
      </c>
      <c r="Z251" s="4">
        <v>118</v>
      </c>
      <c r="AA251" s="4">
        <f>=ROUNDDOWN(24.5833333333333,0)</f>
      </c>
      <c r="AB251" s="5">
        <v>4.8</v>
      </c>
      <c r="AC251" s="2" t="s">
        <v>1525</v>
      </c>
      <c r="AD251" s="4">
        <v>110</v>
      </c>
      <c r="AE251" s="4">
        <v>260</v>
      </c>
      <c r="AF251" s="6">
        <v>65</v>
      </c>
      <c r="AG251" s="6">
        <v>48</v>
      </c>
      <c r="AH251" s="7">
        <v>1</v>
      </c>
      <c r="AI251" s="4"/>
      <c r="AJ251" s="4">
        <f>=ROUNDDOWN({0},0)</f>
      </c>
      <c r="AK251" s="5"/>
      <c r="AL251" s="2" t="s">
        <v>98</v>
      </c>
      <c r="AM251" s="4"/>
      <c r="AN251" s="4"/>
      <c r="AO251" s="7">
        <v>0</v>
      </c>
      <c r="AP251" s="4">
        <v>1</v>
      </c>
      <c r="AQ251" s="8">
        <v>164.92</v>
      </c>
      <c r="AR251" s="4">
        <v>2</v>
      </c>
      <c r="AS251" s="8">
        <v>352.78</v>
      </c>
      <c r="AT251" s="7">
        <v>-0.5</v>
      </c>
      <c r="AU251" s="7">
        <v>-0.5325</v>
      </c>
      <c r="AV251" s="4">
        <v>1</v>
      </c>
      <c r="AW251" s="8">
        <v>164.92</v>
      </c>
      <c r="AX251" s="4">
        <v>2</v>
      </c>
      <c r="AY251" s="8">
        <v>352.78</v>
      </c>
      <c r="AZ251" s="7">
        <v>-0.5</v>
      </c>
      <c r="BA251" s="7">
        <v>-0.5325</v>
      </c>
      <c r="BB251" s="7">
        <v>1</v>
      </c>
      <c r="BC251" s="4">
        <v>1</v>
      </c>
      <c r="BD251" s="8">
        <v>164.92</v>
      </c>
      <c r="BE251" s="4">
        <v>2</v>
      </c>
      <c r="BF251" s="8">
        <v>352.78</v>
      </c>
      <c r="BG251" s="7">
        <v>-0.5</v>
      </c>
      <c r="BH251" s="7">
        <v>-0.5325</v>
      </c>
      <c r="BI251" s="7">
        <v>1</v>
      </c>
      <c r="BJ251" s="4">
        <v>6</v>
      </c>
      <c r="BK251" s="8">
        <v>1101.21</v>
      </c>
      <c r="BL251" s="2" t="s">
        <v>1526</v>
      </c>
      <c r="BM251" s="7">
        <v>0.1667</v>
      </c>
      <c r="BN251" s="7">
        <v>0.1498</v>
      </c>
      <c r="BO251" s="4">
        <v>1</v>
      </c>
      <c r="BP251" s="8">
        <v>164.92</v>
      </c>
      <c r="BQ251" s="4">
        <v>2</v>
      </c>
      <c r="BR251" s="8">
        <v>352.78</v>
      </c>
      <c r="BS251" s="7">
        <v>-0.5</v>
      </c>
      <c r="BT251" s="7">
        <v>-0.5325</v>
      </c>
      <c r="BU251" s="2" t="s">
        <v>107</v>
      </c>
      <c r="BV251" s="2" t="s">
        <v>1355</v>
      </c>
      <c r="BW251" s="2" t="s">
        <v>1356</v>
      </c>
      <c r="BX251" s="2" t="s">
        <v>1527</v>
      </c>
      <c r="BY251" s="2" t="s">
        <v>110</v>
      </c>
      <c r="BZ251" s="2" t="s">
        <v>98</v>
      </c>
    </row>
    <row r="252">
      <c r="A252" s="2" t="s">
        <v>1528</v>
      </c>
      <c r="B252" s="2" t="s">
        <v>1345</v>
      </c>
      <c r="C252" s="2" t="s">
        <v>88</v>
      </c>
      <c r="D252" s="2" t="s">
        <v>1346</v>
      </c>
      <c r="E252" s="2" t="s">
        <v>1347</v>
      </c>
      <c r="F252" s="2" t="s">
        <v>1529</v>
      </c>
      <c r="G252" s="2" t="s">
        <v>1530</v>
      </c>
      <c r="H252" s="2" t="s">
        <v>1531</v>
      </c>
      <c r="I252" s="2" t="s">
        <v>1482</v>
      </c>
      <c r="J252" s="2" t="s">
        <v>93</v>
      </c>
      <c r="K252" s="2" t="s">
        <v>133</v>
      </c>
      <c r="L252" s="3">
        <v>228</v>
      </c>
      <c r="M252" s="3">
        <v>239.4</v>
      </c>
      <c r="N252" s="3">
        <v>479</v>
      </c>
      <c r="O252" s="2" t="s">
        <v>95</v>
      </c>
      <c r="P252" s="2" t="s">
        <v>134</v>
      </c>
      <c r="Q252" s="2" t="s">
        <v>97</v>
      </c>
      <c r="R252" s="2" t="s">
        <v>98</v>
      </c>
      <c r="S252" s="2" t="s">
        <v>1532</v>
      </c>
      <c r="T252" s="2" t="s">
        <v>98</v>
      </c>
      <c r="U252" s="2" t="s">
        <v>98</v>
      </c>
      <c r="V252" s="2" t="s">
        <v>439</v>
      </c>
      <c r="W252" s="2" t="s">
        <v>103</v>
      </c>
      <c r="X252" s="2" t="s">
        <v>98</v>
      </c>
      <c r="Y252" s="2" t="s">
        <v>366</v>
      </c>
      <c r="Z252" s="4">
        <v>66</v>
      </c>
      <c r="AA252" s="4">
        <f>=ROUNDDOWN(17.8378378378378,0)</f>
      </c>
      <c r="AB252" s="5">
        <v>3.7</v>
      </c>
      <c r="AC252" s="2" t="s">
        <v>1533</v>
      </c>
      <c r="AD252" s="4">
        <v>100</v>
      </c>
      <c r="AE252" s="4">
        <v>170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98</v>
      </c>
      <c r="AM252" s="4"/>
      <c r="AN252" s="4"/>
      <c r="AO252" s="7">
        <v>0</v>
      </c>
      <c r="AP252" s="4"/>
      <c r="AQ252" s="8"/>
      <c r="AR252" s="4">
        <v>1</v>
      </c>
      <c r="AS252" s="8">
        <v>223.95</v>
      </c>
      <c r="AT252" s="7">
        <v>-1</v>
      </c>
      <c r="AU252" s="7">
        <v>-1</v>
      </c>
      <c r="AV252" s="4"/>
      <c r="AW252" s="8"/>
      <c r="AX252" s="4">
        <v>1</v>
      </c>
      <c r="AY252" s="8">
        <v>223.95</v>
      </c>
      <c r="AZ252" s="7">
        <v>-1</v>
      </c>
      <c r="BA252" s="7">
        <v>-1</v>
      </c>
      <c r="BB252" s="7"/>
      <c r="BC252" s="4"/>
      <c r="BD252" s="8"/>
      <c r="BE252" s="4">
        <v>1</v>
      </c>
      <c r="BF252" s="8">
        <v>223.95</v>
      </c>
      <c r="BG252" s="7">
        <v>-1</v>
      </c>
      <c r="BH252" s="7">
        <v>-1</v>
      </c>
      <c r="BI252" s="7"/>
      <c r="BJ252" s="4">
        <v>5</v>
      </c>
      <c r="BK252" s="8">
        <v>1089.13</v>
      </c>
      <c r="BL252" s="2" t="s">
        <v>1445</v>
      </c>
      <c r="BM252" s="7"/>
      <c r="BN252" s="7"/>
      <c r="BO252" s="4"/>
      <c r="BP252" s="8"/>
      <c r="BQ252" s="4">
        <v>1</v>
      </c>
      <c r="BR252" s="8">
        <v>223.95</v>
      </c>
      <c r="BS252" s="7">
        <v>-1</v>
      </c>
      <c r="BT252" s="7">
        <v>-1</v>
      </c>
      <c r="BU252" s="2" t="s">
        <v>107</v>
      </c>
      <c r="BV252" s="2" t="s">
        <v>1355</v>
      </c>
      <c r="BW252" s="2" t="s">
        <v>1356</v>
      </c>
      <c r="BX252" s="2" t="s">
        <v>1534</v>
      </c>
      <c r="BY252" s="2" t="s">
        <v>110</v>
      </c>
      <c r="BZ252" s="2" t="s">
        <v>98</v>
      </c>
    </row>
    <row r="253">
      <c r="A253" s="2" t="s">
        <v>1535</v>
      </c>
      <c r="B253" s="2" t="s">
        <v>1345</v>
      </c>
      <c r="C253" s="2" t="s">
        <v>88</v>
      </c>
      <c r="D253" s="2" t="s">
        <v>1346</v>
      </c>
      <c r="E253" s="2" t="s">
        <v>1347</v>
      </c>
      <c r="F253" s="2" t="s">
        <v>1536</v>
      </c>
      <c r="G253" s="2" t="s">
        <v>1537</v>
      </c>
      <c r="H253" s="2" t="s">
        <v>1538</v>
      </c>
      <c r="I253" s="2" t="s">
        <v>1539</v>
      </c>
      <c r="J253" s="2" t="s">
        <v>93</v>
      </c>
      <c r="K253" s="2" t="s">
        <v>1540</v>
      </c>
      <c r="L253" s="3">
        <v>258.75</v>
      </c>
      <c r="M253" s="3">
        <v>271.69</v>
      </c>
      <c r="N253" s="3">
        <v>539</v>
      </c>
      <c r="O253" s="2" t="s">
        <v>1278</v>
      </c>
      <c r="P253" s="2" t="s">
        <v>115</v>
      </c>
      <c r="Q253" s="2" t="s">
        <v>97</v>
      </c>
      <c r="R253" s="2" t="s">
        <v>98</v>
      </c>
      <c r="S253" s="2" t="s">
        <v>98</v>
      </c>
      <c r="T253" s="2" t="s">
        <v>98</v>
      </c>
      <c r="U253" s="2" t="s">
        <v>117</v>
      </c>
      <c r="V253" s="2" t="s">
        <v>439</v>
      </c>
      <c r="W253" s="2" t="s">
        <v>103</v>
      </c>
      <c r="X253" s="2" t="s">
        <v>98</v>
      </c>
      <c r="Y253" s="2" t="s">
        <v>1476</v>
      </c>
      <c r="Z253" s="4">
        <v>2</v>
      </c>
      <c r="AA253" s="4">
        <f>=ROUNDDOWN({0},0)</f>
      </c>
      <c r="AB253" s="5"/>
      <c r="AC253" s="2" t="s">
        <v>98</v>
      </c>
      <c r="AD253" s="4"/>
      <c r="AE253" s="4"/>
      <c r="AF253" s="6">
        <v>65</v>
      </c>
      <c r="AG253" s="6">
        <v>48</v>
      </c>
      <c r="AH253" s="7">
        <v>1</v>
      </c>
      <c r="AI253" s="4"/>
      <c r="AJ253" s="4">
        <f>=ROUNDDOWN({0},0)</f>
      </c>
      <c r="AK253" s="5"/>
      <c r="AL253" s="2" t="s">
        <v>98</v>
      </c>
      <c r="AM253" s="4"/>
      <c r="AN253" s="4"/>
      <c r="AO253" s="7">
        <v>0</v>
      </c>
      <c r="AP253" s="4"/>
      <c r="AQ253" s="8"/>
      <c r="AR253" s="4">
        <v>1</v>
      </c>
      <c r="AS253" s="8">
        <v>231.84</v>
      </c>
      <c r="AT253" s="7">
        <v>-1</v>
      </c>
      <c r="AU253" s="7">
        <v>-1</v>
      </c>
      <c r="AV253" s="4"/>
      <c r="AW253" s="8"/>
      <c r="AX253" s="4">
        <v>1</v>
      </c>
      <c r="AY253" s="8">
        <v>231.84</v>
      </c>
      <c r="AZ253" s="7">
        <v>-1</v>
      </c>
      <c r="BA253" s="7">
        <v>-1</v>
      </c>
      <c r="BB253" s="7"/>
      <c r="BC253" s="4"/>
      <c r="BD253" s="8"/>
      <c r="BE253" s="4">
        <v>1</v>
      </c>
      <c r="BF253" s="8">
        <v>231.84</v>
      </c>
      <c r="BG253" s="7">
        <v>-1</v>
      </c>
      <c r="BH253" s="7">
        <v>-1</v>
      </c>
      <c r="BI253" s="7"/>
      <c r="BJ253" s="4"/>
      <c r="BK253" s="8"/>
      <c r="BL253" s="2" t="s">
        <v>1387</v>
      </c>
      <c r="BM253" s="7"/>
      <c r="BN253" s="7"/>
      <c r="BO253" s="4"/>
      <c r="BP253" s="8"/>
      <c r="BQ253" s="4">
        <v>1</v>
      </c>
      <c r="BR253" s="8">
        <v>231.84</v>
      </c>
      <c r="BS253" s="7">
        <v>-1</v>
      </c>
      <c r="BT253" s="7">
        <v>-1</v>
      </c>
      <c r="BU253" s="2" t="s">
        <v>107</v>
      </c>
      <c r="BV253" s="2" t="s">
        <v>1355</v>
      </c>
      <c r="BW253" s="2" t="s">
        <v>707</v>
      </c>
      <c r="BX253" s="2" t="s">
        <v>1541</v>
      </c>
      <c r="BY253" s="2" t="s">
        <v>110</v>
      </c>
      <c r="BZ253" s="2" t="s">
        <v>98</v>
      </c>
    </row>
    <row r="254">
      <c r="A254" s="2" t="s">
        <v>1542</v>
      </c>
      <c r="B254" s="2" t="s">
        <v>1345</v>
      </c>
      <c r="C254" s="2" t="s">
        <v>88</v>
      </c>
      <c r="D254" s="2" t="s">
        <v>1346</v>
      </c>
      <c r="E254" s="2" t="s">
        <v>1347</v>
      </c>
      <c r="F254" s="2" t="s">
        <v>1543</v>
      </c>
      <c r="G254" s="2" t="s">
        <v>1544</v>
      </c>
      <c r="H254" s="2" t="s">
        <v>1545</v>
      </c>
      <c r="I254" s="2" t="s">
        <v>1432</v>
      </c>
      <c r="J254" s="2" t="s">
        <v>93</v>
      </c>
      <c r="K254" s="2" t="s">
        <v>133</v>
      </c>
      <c r="L254" s="3">
        <v>276</v>
      </c>
      <c r="M254" s="3">
        <v>289.8</v>
      </c>
      <c r="N254" s="3">
        <v>579</v>
      </c>
      <c r="O254" s="2" t="s">
        <v>95</v>
      </c>
      <c r="P254" s="2" t="s">
        <v>134</v>
      </c>
      <c r="Q254" s="2" t="s">
        <v>97</v>
      </c>
      <c r="R254" s="2" t="s">
        <v>98</v>
      </c>
      <c r="S254" s="2" t="s">
        <v>1546</v>
      </c>
      <c r="T254" s="2" t="s">
        <v>98</v>
      </c>
      <c r="U254" s="2" t="s">
        <v>117</v>
      </c>
      <c r="V254" s="2" t="s">
        <v>439</v>
      </c>
      <c r="W254" s="2" t="s">
        <v>103</v>
      </c>
      <c r="X254" s="2" t="s">
        <v>98</v>
      </c>
      <c r="Y254" s="2" t="s">
        <v>1547</v>
      </c>
      <c r="Z254" s="4">
        <v>94</v>
      </c>
      <c r="AA254" s="4">
        <f>=ROUNDDOWN(23.5,0)</f>
      </c>
      <c r="AB254" s="5">
        <v>4</v>
      </c>
      <c r="AC254" s="2" t="s">
        <v>1548</v>
      </c>
      <c r="AD254" s="4">
        <v>100</v>
      </c>
      <c r="AE254" s="4">
        <v>100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98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/>
      <c r="AW254" s="8"/>
      <c r="AX254" s="4"/>
      <c r="AY254" s="8"/>
      <c r="AZ254" s="7"/>
      <c r="BA254" s="7"/>
      <c r="BB254" s="7"/>
      <c r="BC254" s="4"/>
      <c r="BD254" s="8"/>
      <c r="BE254" s="4"/>
      <c r="BF254" s="8"/>
      <c r="BG254" s="7"/>
      <c r="BH254" s="7"/>
      <c r="BI254" s="7"/>
      <c r="BJ254" s="4"/>
      <c r="BK254" s="8"/>
      <c r="BL254" s="2" t="s">
        <v>1549</v>
      </c>
      <c r="BM254" s="7"/>
      <c r="BN254" s="7"/>
      <c r="BO254" s="4"/>
      <c r="BP254" s="8"/>
      <c r="BQ254" s="4"/>
      <c r="BR254" s="8"/>
      <c r="BS254" s="7"/>
      <c r="BT254" s="7"/>
      <c r="BU254" s="2" t="s">
        <v>107</v>
      </c>
      <c r="BV254" s="2" t="s">
        <v>1355</v>
      </c>
      <c r="BW254" s="2" t="s">
        <v>1550</v>
      </c>
      <c r="BX254" s="2" t="s">
        <v>1551</v>
      </c>
      <c r="BY254" s="2" t="s">
        <v>110</v>
      </c>
      <c r="BZ254" s="2" t="s">
        <v>98</v>
      </c>
    </row>
    <row r="255">
      <c r="A255" s="2" t="s">
        <v>1552</v>
      </c>
      <c r="B255" s="2" t="s">
        <v>1345</v>
      </c>
      <c r="C255" s="2" t="s">
        <v>88</v>
      </c>
      <c r="D255" s="2" t="s">
        <v>1346</v>
      </c>
      <c r="E255" s="2" t="s">
        <v>1347</v>
      </c>
      <c r="F255" s="2" t="s">
        <v>1553</v>
      </c>
      <c r="G255" s="2" t="s">
        <v>1554</v>
      </c>
      <c r="H255" s="2" t="s">
        <v>1555</v>
      </c>
      <c r="I255" s="2" t="s">
        <v>1556</v>
      </c>
      <c r="J255" s="2" t="s">
        <v>93</v>
      </c>
      <c r="K255" s="2" t="s">
        <v>514</v>
      </c>
      <c r="L255" s="3">
        <v>171</v>
      </c>
      <c r="M255" s="3">
        <v>179.55</v>
      </c>
      <c r="N255" s="3">
        <v>359</v>
      </c>
      <c r="O255" s="2" t="s">
        <v>95</v>
      </c>
      <c r="P255" s="2" t="s">
        <v>134</v>
      </c>
      <c r="Q255" s="2" t="s">
        <v>97</v>
      </c>
      <c r="R255" s="2" t="s">
        <v>98</v>
      </c>
      <c r="S255" s="2" t="s">
        <v>1557</v>
      </c>
      <c r="T255" s="2" t="s">
        <v>98</v>
      </c>
      <c r="U255" s="2" t="s">
        <v>98</v>
      </c>
      <c r="V255" s="2" t="s">
        <v>439</v>
      </c>
      <c r="W255" s="2" t="s">
        <v>103</v>
      </c>
      <c r="X255" s="2" t="s">
        <v>98</v>
      </c>
      <c r="Y255" s="2" t="s">
        <v>1558</v>
      </c>
      <c r="Z255" s="4">
        <v>71</v>
      </c>
      <c r="AA255" s="4">
        <f>=ROUNDDOWN(7.88888888888889,0)</f>
      </c>
      <c r="AB255" s="5">
        <v>9</v>
      </c>
      <c r="AC255" s="2" t="s">
        <v>323</v>
      </c>
      <c r="AD255" s="4">
        <v>98</v>
      </c>
      <c r="AE255" s="4">
        <v>200</v>
      </c>
      <c r="AF255" s="6">
        <v>65</v>
      </c>
      <c r="AG255" s="6">
        <v>48</v>
      </c>
      <c r="AH255" s="7">
        <v>1</v>
      </c>
      <c r="AI255" s="4"/>
      <c r="AJ255" s="4">
        <f>=ROUNDDOWN({0},0)</f>
      </c>
      <c r="AK255" s="5"/>
      <c r="AL255" s="2" t="s">
        <v>98</v>
      </c>
      <c r="AM255" s="4"/>
      <c r="AN255" s="4"/>
      <c r="AO255" s="7">
        <v>0</v>
      </c>
      <c r="AP255" s="4"/>
      <c r="AQ255" s="8"/>
      <c r="AR255" s="4">
        <v>1</v>
      </c>
      <c r="AS255" s="8">
        <v>172.03</v>
      </c>
      <c r="AT255" s="7">
        <v>-1</v>
      </c>
      <c r="AU255" s="7">
        <v>-1</v>
      </c>
      <c r="AV255" s="4"/>
      <c r="AW255" s="8"/>
      <c r="AX255" s="4">
        <v>1</v>
      </c>
      <c r="AY255" s="8">
        <v>172.03</v>
      </c>
      <c r="AZ255" s="7">
        <v>-1</v>
      </c>
      <c r="BA255" s="7">
        <v>-1</v>
      </c>
      <c r="BB255" s="7"/>
      <c r="BC255" s="4" t="s">
        <v>98</v>
      </c>
      <c r="BD255" s="8" t="s">
        <v>98</v>
      </c>
      <c r="BE255" s="4">
        <v>2</v>
      </c>
      <c r="BF255" s="8">
        <v>344.06</v>
      </c>
      <c r="BG255" s="7" t="s">
        <v>98</v>
      </c>
      <c r="BH255" s="7" t="s">
        <v>98</v>
      </c>
      <c r="BI255" s="7"/>
      <c r="BJ255" s="4">
        <v>6</v>
      </c>
      <c r="BK255" s="8">
        <v>1070.13</v>
      </c>
      <c r="BL255" s="2" t="s">
        <v>1559</v>
      </c>
      <c r="BM255" s="7"/>
      <c r="BN255" s="7"/>
      <c r="BO255" s="4"/>
      <c r="BP255" s="8"/>
      <c r="BQ255" s="4">
        <v>1</v>
      </c>
      <c r="BR255" s="8">
        <v>172.03</v>
      </c>
      <c r="BS255" s="7">
        <v>-1</v>
      </c>
      <c r="BT255" s="7">
        <v>-1</v>
      </c>
      <c r="BU255" s="2" t="s">
        <v>107</v>
      </c>
      <c r="BV255" s="2" t="s">
        <v>1355</v>
      </c>
      <c r="BW255" s="2" t="s">
        <v>1356</v>
      </c>
      <c r="BX255" s="2" t="s">
        <v>1417</v>
      </c>
      <c r="BY255" s="2" t="s">
        <v>110</v>
      </c>
      <c r="BZ255" s="2" t="s">
        <v>98</v>
      </c>
    </row>
    <row r="256">
      <c r="A256" s="2" t="s">
        <v>1560</v>
      </c>
      <c r="B256" s="2" t="s">
        <v>1345</v>
      </c>
      <c r="C256" s="2" t="s">
        <v>88</v>
      </c>
      <c r="D256" s="2" t="s">
        <v>1346</v>
      </c>
      <c r="E256" s="2" t="s">
        <v>1347</v>
      </c>
      <c r="F256" s="2" t="s">
        <v>1553</v>
      </c>
      <c r="G256" s="2" t="s">
        <v>1554</v>
      </c>
      <c r="H256" s="2" t="s">
        <v>1555</v>
      </c>
      <c r="I256" s="2" t="s">
        <v>1556</v>
      </c>
      <c r="J256" s="2" t="s">
        <v>93</v>
      </c>
      <c r="K256" s="2" t="s">
        <v>1364</v>
      </c>
      <c r="L256" s="3">
        <v>171</v>
      </c>
      <c r="M256" s="3">
        <v>179.55</v>
      </c>
      <c r="N256" s="3">
        <v>359</v>
      </c>
      <c r="O256" s="2" t="s">
        <v>95</v>
      </c>
      <c r="P256" s="2" t="s">
        <v>115</v>
      </c>
      <c r="Q256" s="2" t="s">
        <v>97</v>
      </c>
      <c r="R256" s="2" t="s">
        <v>98</v>
      </c>
      <c r="S256" s="2" t="s">
        <v>1561</v>
      </c>
      <c r="T256" s="2" t="s">
        <v>98</v>
      </c>
      <c r="U256" s="2" t="s">
        <v>98</v>
      </c>
      <c r="V256" s="2" t="s">
        <v>1360</v>
      </c>
      <c r="W256" s="2" t="s">
        <v>103</v>
      </c>
      <c r="X256" s="2" t="s">
        <v>98</v>
      </c>
      <c r="Y256" s="2" t="s">
        <v>366</v>
      </c>
      <c r="Z256" s="4">
        <v>75</v>
      </c>
      <c r="AA256" s="4">
        <f>=ROUNDDOWN(18.75,0)</f>
      </c>
      <c r="AB256" s="5">
        <v>4</v>
      </c>
      <c r="AC256" s="2" t="s">
        <v>1562</v>
      </c>
      <c r="AD256" s="4">
        <v>40</v>
      </c>
      <c r="AE256" s="4">
        <v>40</v>
      </c>
      <c r="AF256" s="6">
        <v>65</v>
      </c>
      <c r="AG256" s="6">
        <v>48</v>
      </c>
      <c r="AH256" s="7">
        <v>1</v>
      </c>
      <c r="AI256" s="4"/>
      <c r="AJ256" s="4">
        <f>=ROUNDDOWN({0},0)</f>
      </c>
      <c r="AK256" s="5"/>
      <c r="AL256" s="2" t="s">
        <v>98</v>
      </c>
      <c r="AM256" s="4"/>
      <c r="AN256" s="4"/>
      <c r="AO256" s="7">
        <v>0</v>
      </c>
      <c r="AP256" s="4"/>
      <c r="AQ256" s="8"/>
      <c r="AR256" s="4">
        <v>1</v>
      </c>
      <c r="AS256" s="8">
        <v>172.03</v>
      </c>
      <c r="AT256" s="7">
        <v>-1</v>
      </c>
      <c r="AU256" s="7">
        <v>-1</v>
      </c>
      <c r="AV256" s="4"/>
      <c r="AW256" s="8"/>
      <c r="AX256" s="4">
        <v>1</v>
      </c>
      <c r="AY256" s="8">
        <v>172.03</v>
      </c>
      <c r="AZ256" s="7">
        <v>-1</v>
      </c>
      <c r="BA256" s="7">
        <v>-1</v>
      </c>
      <c r="BB256" s="7"/>
      <c r="BC256" s="4" t="s">
        <v>98</v>
      </c>
      <c r="BD256" s="8" t="s">
        <v>98</v>
      </c>
      <c r="BE256" s="4" t="s">
        <v>98</v>
      </c>
      <c r="BF256" s="8" t="s">
        <v>98</v>
      </c>
      <c r="BG256" s="7" t="s">
        <v>98</v>
      </c>
      <c r="BH256" s="7" t="s">
        <v>98</v>
      </c>
      <c r="BI256" s="7"/>
      <c r="BJ256" s="4">
        <v>4</v>
      </c>
      <c r="BK256" s="8">
        <v>750.26</v>
      </c>
      <c r="BL256" s="2" t="s">
        <v>1563</v>
      </c>
      <c r="BM256" s="7"/>
      <c r="BN256" s="7"/>
      <c r="BO256" s="4"/>
      <c r="BP256" s="8"/>
      <c r="BQ256" s="4">
        <v>1</v>
      </c>
      <c r="BR256" s="8">
        <v>172.03</v>
      </c>
      <c r="BS256" s="7">
        <v>-1</v>
      </c>
      <c r="BT256" s="7">
        <v>-1</v>
      </c>
      <c r="BU256" s="2" t="s">
        <v>107</v>
      </c>
      <c r="BV256" s="2" t="s">
        <v>1355</v>
      </c>
      <c r="BW256" s="2" t="s">
        <v>1356</v>
      </c>
      <c r="BX256" s="2" t="s">
        <v>1564</v>
      </c>
      <c r="BY256" s="2" t="s">
        <v>110</v>
      </c>
      <c r="BZ256" s="2" t="s">
        <v>98</v>
      </c>
    </row>
    <row r="257">
      <c r="A257" s="2" t="s">
        <v>1565</v>
      </c>
      <c r="B257" s="2" t="s">
        <v>1345</v>
      </c>
      <c r="C257" s="2" t="s">
        <v>88</v>
      </c>
      <c r="D257" s="2" t="s">
        <v>1346</v>
      </c>
      <c r="E257" s="2" t="s">
        <v>1347</v>
      </c>
      <c r="F257" s="2" t="s">
        <v>1566</v>
      </c>
      <c r="G257" s="2" t="s">
        <v>1567</v>
      </c>
      <c r="H257" s="2" t="s">
        <v>1568</v>
      </c>
      <c r="I257" s="2" t="s">
        <v>1569</v>
      </c>
      <c r="J257" s="2" t="s">
        <v>93</v>
      </c>
      <c r="K257" s="2" t="s">
        <v>133</v>
      </c>
      <c r="L257" s="3">
        <v>162.45</v>
      </c>
      <c r="M257" s="3">
        <v>170.57</v>
      </c>
      <c r="N257" s="3">
        <v>339</v>
      </c>
      <c r="O257" s="2" t="s">
        <v>95</v>
      </c>
      <c r="P257" s="2" t="s">
        <v>134</v>
      </c>
      <c r="Q257" s="2" t="s">
        <v>97</v>
      </c>
      <c r="R257" s="2" t="s">
        <v>98</v>
      </c>
      <c r="S257" s="2" t="s">
        <v>1570</v>
      </c>
      <c r="T257" s="2" t="s">
        <v>98</v>
      </c>
      <c r="U257" s="2" t="s">
        <v>98</v>
      </c>
      <c r="V257" s="2" t="s">
        <v>1360</v>
      </c>
      <c r="W257" s="2" t="s">
        <v>102</v>
      </c>
      <c r="X257" s="2" t="s">
        <v>98</v>
      </c>
      <c r="Y257" s="2" t="s">
        <v>366</v>
      </c>
      <c r="Z257" s="4">
        <v>5</v>
      </c>
      <c r="AA257" s="4">
        <f>=ROUNDDOWN(0.833333333333333,0)</f>
      </c>
      <c r="AB257" s="5">
        <v>6</v>
      </c>
      <c r="AC257" s="2" t="s">
        <v>1353</v>
      </c>
      <c r="AD257" s="4">
        <v>68</v>
      </c>
      <c r="AE257" s="4">
        <v>194</v>
      </c>
      <c r="AF257" s="6">
        <v>74</v>
      </c>
      <c r="AG257" s="6"/>
      <c r="AH257" s="7">
        <v>0</v>
      </c>
      <c r="AI257" s="4"/>
      <c r="AJ257" s="4">
        <f>=ROUNDDOWN({0},0)</f>
      </c>
      <c r="AK257" s="5"/>
      <c r="AL257" s="2" t="s">
        <v>98</v>
      </c>
      <c r="AM257" s="4"/>
      <c r="AN257" s="4"/>
      <c r="AO257" s="7">
        <v>0</v>
      </c>
      <c r="AP257" s="4"/>
      <c r="AQ257" s="8"/>
      <c r="AR257" s="4">
        <v>2</v>
      </c>
      <c r="AS257" s="8">
        <v>385.98</v>
      </c>
      <c r="AT257" s="7">
        <v>-1</v>
      </c>
      <c r="AU257" s="7">
        <v>-1</v>
      </c>
      <c r="AV257" s="4"/>
      <c r="AW257" s="8"/>
      <c r="AX257" s="4">
        <v>2</v>
      </c>
      <c r="AY257" s="8">
        <v>385.98</v>
      </c>
      <c r="AZ257" s="7">
        <v>-1</v>
      </c>
      <c r="BA257" s="7">
        <v>-1</v>
      </c>
      <c r="BB257" s="7"/>
      <c r="BC257" s="4" t="s">
        <v>98</v>
      </c>
      <c r="BD257" s="8" t="s">
        <v>98</v>
      </c>
      <c r="BE257" s="4">
        <v>2</v>
      </c>
      <c r="BF257" s="8">
        <v>385.98</v>
      </c>
      <c r="BG257" s="7" t="s">
        <v>98</v>
      </c>
      <c r="BH257" s="7" t="s">
        <v>98</v>
      </c>
      <c r="BI257" s="7"/>
      <c r="BJ257" s="4"/>
      <c r="BK257" s="8"/>
      <c r="BL257" s="2" t="s">
        <v>1463</v>
      </c>
      <c r="BM257" s="7"/>
      <c r="BN257" s="7"/>
      <c r="BO257" s="4"/>
      <c r="BP257" s="8"/>
      <c r="BQ257" s="4">
        <v>2</v>
      </c>
      <c r="BR257" s="8">
        <v>385.98</v>
      </c>
      <c r="BS257" s="7">
        <v>-1</v>
      </c>
      <c r="BT257" s="7">
        <v>-1</v>
      </c>
      <c r="BU257" s="2" t="s">
        <v>107</v>
      </c>
      <c r="BV257" s="2" t="s">
        <v>1355</v>
      </c>
      <c r="BW257" s="2" t="s">
        <v>1356</v>
      </c>
      <c r="BX257" s="2" t="s">
        <v>1417</v>
      </c>
      <c r="BY257" s="2" t="s">
        <v>110</v>
      </c>
      <c r="BZ257" s="2" t="s">
        <v>98</v>
      </c>
    </row>
    <row r="258">
      <c r="A258" s="2" t="s">
        <v>1571</v>
      </c>
      <c r="B258" s="2" t="s">
        <v>1345</v>
      </c>
      <c r="C258" s="2" t="s">
        <v>88</v>
      </c>
      <c r="D258" s="2" t="s">
        <v>1346</v>
      </c>
      <c r="E258" s="2" t="s">
        <v>1347</v>
      </c>
      <c r="F258" s="2" t="s">
        <v>1566</v>
      </c>
      <c r="G258" s="2" t="s">
        <v>1567</v>
      </c>
      <c r="H258" s="2" t="s">
        <v>1568</v>
      </c>
      <c r="I258" s="2" t="s">
        <v>1569</v>
      </c>
      <c r="J258" s="2" t="s">
        <v>93</v>
      </c>
      <c r="K258" s="2" t="s">
        <v>127</v>
      </c>
      <c r="L258" s="3">
        <v>162.45</v>
      </c>
      <c r="M258" s="3">
        <v>170.57</v>
      </c>
      <c r="N258" s="3">
        <v>339</v>
      </c>
      <c r="O258" s="2" t="s">
        <v>95</v>
      </c>
      <c r="P258" s="2" t="s">
        <v>134</v>
      </c>
      <c r="Q258" s="2" t="s">
        <v>97</v>
      </c>
      <c r="R258" s="2" t="s">
        <v>98</v>
      </c>
      <c r="S258" s="2" t="s">
        <v>98</v>
      </c>
      <c r="T258" s="2" t="s">
        <v>98</v>
      </c>
      <c r="U258" s="2" t="s">
        <v>98</v>
      </c>
      <c r="V258" s="2" t="s">
        <v>118</v>
      </c>
      <c r="W258" s="2" t="s">
        <v>103</v>
      </c>
      <c r="X258" s="2" t="s">
        <v>98</v>
      </c>
      <c r="Y258" s="2" t="s">
        <v>1273</v>
      </c>
      <c r="Z258" s="4">
        <v>9</v>
      </c>
      <c r="AA258" s="4">
        <f>=ROUNDDOWN(1.8,0)</f>
      </c>
      <c r="AB258" s="5">
        <v>5</v>
      </c>
      <c r="AC258" s="2" t="s">
        <v>447</v>
      </c>
      <c r="AD258" s="4">
        <v>110</v>
      </c>
      <c r="AE258" s="4">
        <v>110</v>
      </c>
      <c r="AF258" s="6">
        <v>74</v>
      </c>
      <c r="AG258" s="6"/>
      <c r="AH258" s="7">
        <v>0.8571</v>
      </c>
      <c r="AI258" s="4"/>
      <c r="AJ258" s="4">
        <f>=ROUNDDOWN({0},0)</f>
      </c>
      <c r="AK258" s="5"/>
      <c r="AL258" s="2" t="s">
        <v>98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 t="s">
        <v>98</v>
      </c>
      <c r="BD258" s="8" t="s">
        <v>98</v>
      </c>
      <c r="BE258" s="4" t="s">
        <v>98</v>
      </c>
      <c r="BF258" s="8" t="s">
        <v>98</v>
      </c>
      <c r="BG258" s="7" t="s">
        <v>98</v>
      </c>
      <c r="BH258" s="7" t="s">
        <v>98</v>
      </c>
      <c r="BI258" s="7"/>
      <c r="BJ258" s="4">
        <v>48</v>
      </c>
      <c r="BK258" s="8">
        <v>7166.34</v>
      </c>
      <c r="BL258" s="2" t="s">
        <v>1572</v>
      </c>
      <c r="BM258" s="7"/>
      <c r="BN258" s="7"/>
      <c r="BO258" s="4"/>
      <c r="BP258" s="8"/>
      <c r="BQ258" s="4"/>
      <c r="BR258" s="8"/>
      <c r="BS258" s="7"/>
      <c r="BT258" s="7"/>
      <c r="BU258" s="2" t="s">
        <v>1376</v>
      </c>
      <c r="BV258" s="2" t="s">
        <v>95</v>
      </c>
      <c r="BW258" s="2" t="s">
        <v>98</v>
      </c>
      <c r="BX258" s="2" t="s">
        <v>98</v>
      </c>
      <c r="BY258" s="2" t="s">
        <v>110</v>
      </c>
      <c r="BZ258" s="2" t="s">
        <v>98</v>
      </c>
    </row>
    <row r="259">
      <c r="A259" s="2" t="s">
        <v>1573</v>
      </c>
      <c r="B259" s="2" t="s">
        <v>1345</v>
      </c>
      <c r="C259" s="2" t="s">
        <v>88</v>
      </c>
      <c r="D259" s="2" t="s">
        <v>1346</v>
      </c>
      <c r="E259" s="2" t="s">
        <v>1347</v>
      </c>
      <c r="F259" s="2" t="s">
        <v>1566</v>
      </c>
      <c r="G259" s="2" t="s">
        <v>1567</v>
      </c>
      <c r="H259" s="2" t="s">
        <v>1568</v>
      </c>
      <c r="I259" s="2" t="s">
        <v>1569</v>
      </c>
      <c r="J259" s="2" t="s">
        <v>93</v>
      </c>
      <c r="K259" s="2" t="s">
        <v>357</v>
      </c>
      <c r="L259" s="3">
        <v>162.45</v>
      </c>
      <c r="M259" s="3">
        <v>170.57</v>
      </c>
      <c r="N259" s="3">
        <v>339</v>
      </c>
      <c r="O259" s="2" t="s">
        <v>95</v>
      </c>
      <c r="P259" s="2" t="s">
        <v>134</v>
      </c>
      <c r="Q259" s="2" t="s">
        <v>97</v>
      </c>
      <c r="R259" s="2" t="s">
        <v>98</v>
      </c>
      <c r="S259" s="2" t="s">
        <v>1574</v>
      </c>
      <c r="T259" s="2" t="s">
        <v>98</v>
      </c>
      <c r="U259" s="2" t="s">
        <v>98</v>
      </c>
      <c r="V259" s="2" t="s">
        <v>1360</v>
      </c>
      <c r="W259" s="2" t="s">
        <v>102</v>
      </c>
      <c r="X259" s="2" t="s">
        <v>98</v>
      </c>
      <c r="Y259" s="2" t="s">
        <v>366</v>
      </c>
      <c r="Z259" s="4">
        <v>12</v>
      </c>
      <c r="AA259" s="4">
        <f>=ROUNDDOWN(2.06896551724138,0)</f>
      </c>
      <c r="AB259" s="5">
        <v>5.8</v>
      </c>
      <c r="AC259" s="2" t="s">
        <v>1353</v>
      </c>
      <c r="AD259" s="4">
        <v>94</v>
      </c>
      <c r="AE259" s="4">
        <v>362</v>
      </c>
      <c r="AF259" s="6">
        <v>74</v>
      </c>
      <c r="AG259" s="6">
        <v>60</v>
      </c>
      <c r="AH259" s="7">
        <v>1</v>
      </c>
      <c r="AI259" s="4"/>
      <c r="AJ259" s="4">
        <f>=ROUNDDOWN({0},0)</f>
      </c>
      <c r="AK259" s="5"/>
      <c r="AL259" s="2" t="s">
        <v>98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 t="s">
        <v>98</v>
      </c>
      <c r="BD259" s="8" t="s">
        <v>98</v>
      </c>
      <c r="BE259" s="4" t="s">
        <v>98</v>
      </c>
      <c r="BF259" s="8" t="s">
        <v>98</v>
      </c>
      <c r="BG259" s="7" t="s">
        <v>98</v>
      </c>
      <c r="BH259" s="7" t="s">
        <v>98</v>
      </c>
      <c r="BI259" s="7"/>
      <c r="BJ259" s="4">
        <v>2</v>
      </c>
      <c r="BK259" s="8">
        <v>375.26</v>
      </c>
      <c r="BL259" s="2" t="s">
        <v>1575</v>
      </c>
      <c r="BM259" s="7"/>
      <c r="BN259" s="7"/>
      <c r="BO259" s="4"/>
      <c r="BP259" s="8"/>
      <c r="BQ259" s="4"/>
      <c r="BR259" s="8"/>
      <c r="BS259" s="7"/>
      <c r="BT259" s="7"/>
      <c r="BU259" s="2" t="s">
        <v>107</v>
      </c>
      <c r="BV259" s="2" t="s">
        <v>1355</v>
      </c>
      <c r="BW259" s="2" t="s">
        <v>1356</v>
      </c>
      <c r="BX259" s="2" t="s">
        <v>1576</v>
      </c>
      <c r="BY259" s="2" t="s">
        <v>110</v>
      </c>
      <c r="BZ259" s="2" t="s">
        <v>98</v>
      </c>
    </row>
    <row r="260">
      <c r="A260" s="2" t="s">
        <v>1577</v>
      </c>
      <c r="B260" s="2" t="s">
        <v>1345</v>
      </c>
      <c r="C260" s="2" t="s">
        <v>88</v>
      </c>
      <c r="D260" s="2" t="s">
        <v>1346</v>
      </c>
      <c r="E260" s="2" t="s">
        <v>1347</v>
      </c>
      <c r="F260" s="2" t="s">
        <v>1578</v>
      </c>
      <c r="G260" s="2" t="s">
        <v>1579</v>
      </c>
      <c r="H260" s="2" t="s">
        <v>1580</v>
      </c>
      <c r="I260" s="2" t="s">
        <v>1581</v>
      </c>
      <c r="J260" s="2" t="s">
        <v>93</v>
      </c>
      <c r="K260" s="2" t="s">
        <v>357</v>
      </c>
      <c r="L260" s="3">
        <v>235.6</v>
      </c>
      <c r="M260" s="3">
        <v>247.38</v>
      </c>
      <c r="N260" s="3">
        <v>499</v>
      </c>
      <c r="O260" s="2" t="s">
        <v>95</v>
      </c>
      <c r="P260" s="2" t="s">
        <v>115</v>
      </c>
      <c r="Q260" s="2" t="s">
        <v>97</v>
      </c>
      <c r="R260" s="2" t="s">
        <v>98</v>
      </c>
      <c r="S260" s="2" t="s">
        <v>98</v>
      </c>
      <c r="T260" s="2" t="s">
        <v>98</v>
      </c>
      <c r="U260" s="2" t="s">
        <v>117</v>
      </c>
      <c r="V260" s="2" t="s">
        <v>439</v>
      </c>
      <c r="W260" s="2" t="s">
        <v>103</v>
      </c>
      <c r="X260" s="2" t="s">
        <v>98</v>
      </c>
      <c r="Y260" s="2" t="s">
        <v>1582</v>
      </c>
      <c r="Z260" s="4">
        <v>31</v>
      </c>
      <c r="AA260" s="4">
        <f>=ROUNDDOWN(13.4782608695652,0)</f>
      </c>
      <c r="AB260" s="5">
        <v>2.3</v>
      </c>
      <c r="AC260" s="2" t="s">
        <v>98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98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>
        <v>2</v>
      </c>
      <c r="BK260" s="8">
        <v>289.72</v>
      </c>
      <c r="BL260" s="2" t="s">
        <v>1583</v>
      </c>
      <c r="BM260" s="7"/>
      <c r="BN260" s="7"/>
      <c r="BO260" s="4"/>
      <c r="BP260" s="8"/>
      <c r="BQ260" s="4"/>
      <c r="BR260" s="8"/>
      <c r="BS260" s="7"/>
      <c r="BT260" s="7"/>
      <c r="BU260" s="2" t="s">
        <v>107</v>
      </c>
      <c r="BV260" s="2" t="s">
        <v>1355</v>
      </c>
      <c r="BW260" s="2" t="s">
        <v>1584</v>
      </c>
      <c r="BX260" s="2" t="s">
        <v>98</v>
      </c>
      <c r="BY260" s="2" t="s">
        <v>110</v>
      </c>
      <c r="BZ260" s="2" t="s">
        <v>98</v>
      </c>
    </row>
    <row r="261">
      <c r="A261" s="2" t="s">
        <v>1585</v>
      </c>
      <c r="B261" s="2" t="s">
        <v>1345</v>
      </c>
      <c r="C261" s="2" t="s">
        <v>88</v>
      </c>
      <c r="D261" s="2" t="s">
        <v>1346</v>
      </c>
      <c r="E261" s="2" t="s">
        <v>1347</v>
      </c>
      <c r="F261" s="2" t="s">
        <v>1586</v>
      </c>
      <c r="G261" s="2" t="s">
        <v>1587</v>
      </c>
      <c r="H261" s="2" t="s">
        <v>1588</v>
      </c>
      <c r="I261" s="2" t="s">
        <v>1589</v>
      </c>
      <c r="J261" s="2" t="s">
        <v>93</v>
      </c>
      <c r="K261" s="2" t="s">
        <v>236</v>
      </c>
      <c r="L261" s="3">
        <v>192.28</v>
      </c>
      <c r="M261" s="3">
        <v>201.89</v>
      </c>
      <c r="N261" s="3">
        <v>399</v>
      </c>
      <c r="O261" s="2" t="s">
        <v>95</v>
      </c>
      <c r="P261" s="2" t="s">
        <v>142</v>
      </c>
      <c r="Q261" s="2" t="s">
        <v>97</v>
      </c>
      <c r="R261" s="2" t="s">
        <v>98</v>
      </c>
      <c r="S261" s="2" t="s">
        <v>1590</v>
      </c>
      <c r="T261" s="2" t="s">
        <v>98</v>
      </c>
      <c r="U261" s="2" t="s">
        <v>98</v>
      </c>
      <c r="V261" s="2" t="s">
        <v>339</v>
      </c>
      <c r="W261" s="2" t="s">
        <v>102</v>
      </c>
      <c r="X261" s="2" t="s">
        <v>98</v>
      </c>
      <c r="Y261" s="2" t="s">
        <v>366</v>
      </c>
      <c r="Z261" s="4">
        <v>63</v>
      </c>
      <c r="AA261" s="4">
        <f>=ROUNDDOWN(15.75,0)</f>
      </c>
      <c r="AB261" s="5">
        <v>4</v>
      </c>
      <c r="AC261" s="2" t="s">
        <v>194</v>
      </c>
      <c r="AD261" s="4">
        <v>92</v>
      </c>
      <c r="AE261" s="4">
        <v>92</v>
      </c>
      <c r="AF261" s="6">
        <v>65</v>
      </c>
      <c r="AG261" s="6">
        <v>48</v>
      </c>
      <c r="AH261" s="7">
        <v>1</v>
      </c>
      <c r="AI261" s="4"/>
      <c r="AJ261" s="4">
        <f>=ROUNDDOWN({0},0)</f>
      </c>
      <c r="AK261" s="5"/>
      <c r="AL261" s="2" t="s">
        <v>98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>
        <v>1</v>
      </c>
      <c r="BK261" s="8">
        <v>216.28</v>
      </c>
      <c r="BL261" s="2" t="s">
        <v>1187</v>
      </c>
      <c r="BM261" s="7"/>
      <c r="BN261" s="7"/>
      <c r="BO261" s="4"/>
      <c r="BP261" s="8"/>
      <c r="BQ261" s="4"/>
      <c r="BR261" s="8"/>
      <c r="BS261" s="7"/>
      <c r="BT261" s="7"/>
      <c r="BU261" s="2" t="s">
        <v>107</v>
      </c>
      <c r="BV261" s="2" t="s">
        <v>1355</v>
      </c>
      <c r="BW261" s="2" t="s">
        <v>1356</v>
      </c>
      <c r="BX261" s="2" t="s">
        <v>1591</v>
      </c>
      <c r="BY261" s="2" t="s">
        <v>110</v>
      </c>
      <c r="BZ261" s="2" t="s">
        <v>98</v>
      </c>
    </row>
    <row r="262">
      <c r="A262" s="2" t="s">
        <v>1592</v>
      </c>
      <c r="B262" s="2" t="s">
        <v>1345</v>
      </c>
      <c r="C262" s="2" t="s">
        <v>88</v>
      </c>
      <c r="D262" s="2" t="s">
        <v>1346</v>
      </c>
      <c r="E262" s="2" t="s">
        <v>1347</v>
      </c>
      <c r="F262" s="2" t="s">
        <v>1593</v>
      </c>
      <c r="G262" s="2" t="s">
        <v>1594</v>
      </c>
      <c r="H262" s="2" t="s">
        <v>1595</v>
      </c>
      <c r="I262" s="2" t="s">
        <v>1596</v>
      </c>
      <c r="J262" s="2" t="s">
        <v>93</v>
      </c>
      <c r="K262" s="2" t="s">
        <v>1597</v>
      </c>
      <c r="L262" s="3">
        <v>207</v>
      </c>
      <c r="M262" s="3">
        <v>217.35</v>
      </c>
      <c r="N262" s="3">
        <v>439</v>
      </c>
      <c r="O262" s="2" t="s">
        <v>95</v>
      </c>
      <c r="P262" s="2" t="s">
        <v>142</v>
      </c>
      <c r="Q262" s="2" t="s">
        <v>97</v>
      </c>
      <c r="R262" s="2" t="s">
        <v>98</v>
      </c>
      <c r="S262" s="2" t="s">
        <v>1598</v>
      </c>
      <c r="T262" s="2" t="s">
        <v>98</v>
      </c>
      <c r="U262" s="2" t="s">
        <v>98</v>
      </c>
      <c r="V262" s="2" t="s">
        <v>439</v>
      </c>
      <c r="W262" s="2" t="s">
        <v>963</v>
      </c>
      <c r="X262" s="2" t="s">
        <v>98</v>
      </c>
      <c r="Y262" s="2" t="s">
        <v>366</v>
      </c>
      <c r="Z262" s="4">
        <v>98</v>
      </c>
      <c r="AA262" s="4">
        <f>=ROUNDDOWN(19.6,0)</f>
      </c>
      <c r="AB262" s="5">
        <v>5</v>
      </c>
      <c r="AC262" s="2" t="s">
        <v>194</v>
      </c>
      <c r="AD262" s="4">
        <v>32</v>
      </c>
      <c r="AE262" s="4">
        <v>32</v>
      </c>
      <c r="AF262" s="6">
        <v>65</v>
      </c>
      <c r="AG262" s="6">
        <v>48</v>
      </c>
      <c r="AH262" s="7">
        <v>1</v>
      </c>
      <c r="AI262" s="4"/>
      <c r="AJ262" s="4">
        <f>=ROUNDDOWN({0},0)</f>
      </c>
      <c r="AK262" s="5"/>
      <c r="AL262" s="2" t="s">
        <v>98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>
        <v>3</v>
      </c>
      <c r="BK262" s="8">
        <v>637.18</v>
      </c>
      <c r="BL262" s="2" t="s">
        <v>1599</v>
      </c>
      <c r="BM262" s="7"/>
      <c r="BN262" s="7"/>
      <c r="BO262" s="4"/>
      <c r="BP262" s="8"/>
      <c r="BQ262" s="4"/>
      <c r="BR262" s="8"/>
      <c r="BS262" s="7"/>
      <c r="BT262" s="7"/>
      <c r="BU262" s="2" t="s">
        <v>107</v>
      </c>
      <c r="BV262" s="2" t="s">
        <v>1355</v>
      </c>
      <c r="BW262" s="2" t="s">
        <v>1600</v>
      </c>
      <c r="BX262" s="2" t="s">
        <v>1601</v>
      </c>
      <c r="BY262" s="2" t="s">
        <v>110</v>
      </c>
      <c r="BZ262" s="2" t="s">
        <v>98</v>
      </c>
    </row>
    <row r="263">
      <c r="A263" s="2" t="s">
        <v>1602</v>
      </c>
      <c r="B263" s="2" t="s">
        <v>1345</v>
      </c>
      <c r="C263" s="2" t="s">
        <v>88</v>
      </c>
      <c r="D263" s="2" t="s">
        <v>1346</v>
      </c>
      <c r="E263" s="2" t="s">
        <v>1347</v>
      </c>
      <c r="F263" s="2" t="s">
        <v>1603</v>
      </c>
      <c r="G263" s="2" t="s">
        <v>1604</v>
      </c>
      <c r="H263" s="2" t="s">
        <v>1605</v>
      </c>
      <c r="I263" s="2" t="s">
        <v>1606</v>
      </c>
      <c r="J263" s="2" t="s">
        <v>93</v>
      </c>
      <c r="K263" s="2" t="s">
        <v>236</v>
      </c>
      <c r="L263" s="3">
        <v>202.5</v>
      </c>
      <c r="M263" s="3">
        <v>212.62</v>
      </c>
      <c r="N263" s="3">
        <v>429</v>
      </c>
      <c r="O263" s="2" t="s">
        <v>95</v>
      </c>
      <c r="P263" s="2" t="s">
        <v>134</v>
      </c>
      <c r="Q263" s="2" t="s">
        <v>97</v>
      </c>
      <c r="R263" s="2" t="s">
        <v>98</v>
      </c>
      <c r="S263" s="2" t="s">
        <v>1607</v>
      </c>
      <c r="T263" s="2" t="s">
        <v>98</v>
      </c>
      <c r="U263" s="2" t="s">
        <v>98</v>
      </c>
      <c r="V263" s="2" t="s">
        <v>1360</v>
      </c>
      <c r="W263" s="2" t="s">
        <v>102</v>
      </c>
      <c r="X263" s="2" t="s">
        <v>98</v>
      </c>
      <c r="Y263" s="2" t="s">
        <v>366</v>
      </c>
      <c r="Z263" s="4">
        <v>105</v>
      </c>
      <c r="AA263" s="4">
        <f>=ROUNDDOWN(26.25,0)</f>
      </c>
      <c r="AB263" s="5">
        <v>4</v>
      </c>
      <c r="AC263" s="2" t="s">
        <v>214</v>
      </c>
      <c r="AD263" s="4">
        <v>100</v>
      </c>
      <c r="AE263" s="4">
        <v>100</v>
      </c>
      <c r="AF263" s="6">
        <v>65</v>
      </c>
      <c r="AG263" s="6">
        <v>48</v>
      </c>
      <c r="AH263" s="7">
        <v>1</v>
      </c>
      <c r="AI263" s="4"/>
      <c r="AJ263" s="4">
        <f>=ROUNDDOWN({0},0)</f>
      </c>
      <c r="AK263" s="5"/>
      <c r="AL263" s="2" t="s">
        <v>98</v>
      </c>
      <c r="AM263" s="4"/>
      <c r="AN263" s="4"/>
      <c r="AO263" s="7">
        <v>0</v>
      </c>
      <c r="AP263" s="4"/>
      <c r="AQ263" s="8"/>
      <c r="AR263" s="4">
        <v>1</v>
      </c>
      <c r="AS263" s="8">
        <v>191.06</v>
      </c>
      <c r="AT263" s="7">
        <v>-1</v>
      </c>
      <c r="AU263" s="7">
        <v>-1</v>
      </c>
      <c r="AV263" s="4"/>
      <c r="AW263" s="8"/>
      <c r="AX263" s="4">
        <v>1</v>
      </c>
      <c r="AY263" s="8">
        <v>191.06</v>
      </c>
      <c r="AZ263" s="7">
        <v>-1</v>
      </c>
      <c r="BA263" s="7">
        <v>-1</v>
      </c>
      <c r="BB263" s="7"/>
      <c r="BC263" s="4"/>
      <c r="BD263" s="8"/>
      <c r="BE263" s="4">
        <v>1</v>
      </c>
      <c r="BF263" s="8">
        <v>191.06</v>
      </c>
      <c r="BG263" s="7">
        <v>-1</v>
      </c>
      <c r="BH263" s="7">
        <v>-1</v>
      </c>
      <c r="BI263" s="7"/>
      <c r="BJ263" s="4">
        <v>3</v>
      </c>
      <c r="BK263" s="8">
        <v>633.23</v>
      </c>
      <c r="BL263" s="2" t="s">
        <v>1608</v>
      </c>
      <c r="BM263" s="7"/>
      <c r="BN263" s="7"/>
      <c r="BO263" s="4"/>
      <c r="BP263" s="8"/>
      <c r="BQ263" s="4">
        <v>1</v>
      </c>
      <c r="BR263" s="8">
        <v>191.06</v>
      </c>
      <c r="BS263" s="7">
        <v>-1</v>
      </c>
      <c r="BT263" s="7">
        <v>-1</v>
      </c>
      <c r="BU263" s="2" t="s">
        <v>107</v>
      </c>
      <c r="BV263" s="2" t="s">
        <v>1355</v>
      </c>
      <c r="BW263" s="2" t="s">
        <v>1356</v>
      </c>
      <c r="BX263" s="2" t="s">
        <v>1609</v>
      </c>
      <c r="BY263" s="2" t="s">
        <v>110</v>
      </c>
      <c r="BZ263" s="2" t="s">
        <v>98</v>
      </c>
    </row>
    <row r="264">
      <c r="A264" s="2" t="s">
        <v>1610</v>
      </c>
      <c r="B264" s="2" t="s">
        <v>1345</v>
      </c>
      <c r="C264" s="2" t="s">
        <v>88</v>
      </c>
      <c r="D264" s="2" t="s">
        <v>1346</v>
      </c>
      <c r="E264" s="2" t="s">
        <v>1347</v>
      </c>
      <c r="F264" s="2" t="s">
        <v>1611</v>
      </c>
      <c r="G264" s="2" t="s">
        <v>1612</v>
      </c>
      <c r="H264" s="2" t="s">
        <v>1613</v>
      </c>
      <c r="I264" s="2" t="s">
        <v>1432</v>
      </c>
      <c r="J264" s="2" t="s">
        <v>93</v>
      </c>
      <c r="K264" s="2" t="s">
        <v>473</v>
      </c>
      <c r="L264" s="3">
        <v>285.94</v>
      </c>
      <c r="M264" s="3">
        <v>300.24</v>
      </c>
      <c r="N264" s="3">
        <v>599</v>
      </c>
      <c r="O264" s="2" t="s">
        <v>95</v>
      </c>
      <c r="P264" s="2" t="s">
        <v>142</v>
      </c>
      <c r="Q264" s="2" t="s">
        <v>97</v>
      </c>
      <c r="R264" s="2" t="s">
        <v>98</v>
      </c>
      <c r="S264" s="2" t="s">
        <v>98</v>
      </c>
      <c r="T264" s="2" t="s">
        <v>98</v>
      </c>
      <c r="U264" s="2" t="s">
        <v>117</v>
      </c>
      <c r="V264" s="2" t="s">
        <v>439</v>
      </c>
      <c r="W264" s="2" t="s">
        <v>103</v>
      </c>
      <c r="X264" s="2" t="s">
        <v>102</v>
      </c>
      <c r="Y264" s="2" t="s">
        <v>1614</v>
      </c>
      <c r="Z264" s="4">
        <v>77</v>
      </c>
      <c r="AA264" s="4">
        <f>=ROUNDDOWN(19.25,0)</f>
      </c>
      <c r="AB264" s="5">
        <v>4</v>
      </c>
      <c r="AC264" s="2" t="s">
        <v>1562</v>
      </c>
      <c r="AD264" s="4">
        <v>100</v>
      </c>
      <c r="AE264" s="4">
        <v>100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98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 t="s">
        <v>98</v>
      </c>
      <c r="BD264" s="8" t="s">
        <v>98</v>
      </c>
      <c r="BE264" s="4" t="s">
        <v>98</v>
      </c>
      <c r="BF264" s="8" t="s">
        <v>98</v>
      </c>
      <c r="BG264" s="7" t="s">
        <v>98</v>
      </c>
      <c r="BH264" s="7" t="s">
        <v>98</v>
      </c>
      <c r="BI264" s="7"/>
      <c r="BJ264" s="4">
        <v>1</v>
      </c>
      <c r="BK264" s="8">
        <v>273.18</v>
      </c>
      <c r="BL264" s="2" t="s">
        <v>333</v>
      </c>
      <c r="BM264" s="7"/>
      <c r="BN264" s="7"/>
      <c r="BO264" s="4"/>
      <c r="BP264" s="8"/>
      <c r="BQ264" s="4"/>
      <c r="BR264" s="8"/>
      <c r="BS264" s="7"/>
      <c r="BT264" s="7"/>
      <c r="BU264" s="2" t="s">
        <v>1376</v>
      </c>
      <c r="BV264" s="2" t="s">
        <v>95</v>
      </c>
      <c r="BW264" s="2" t="s">
        <v>98</v>
      </c>
      <c r="BX264" s="2" t="s">
        <v>98</v>
      </c>
      <c r="BY264" s="2" t="s">
        <v>110</v>
      </c>
      <c r="BZ264" s="2" t="s">
        <v>98</v>
      </c>
    </row>
    <row r="265">
      <c r="A265" s="2" t="s">
        <v>1615</v>
      </c>
      <c r="B265" s="2" t="s">
        <v>1345</v>
      </c>
      <c r="C265" s="2" t="s">
        <v>88</v>
      </c>
      <c r="D265" s="2" t="s">
        <v>1346</v>
      </c>
      <c r="E265" s="2" t="s">
        <v>1347</v>
      </c>
      <c r="F265" s="2" t="s">
        <v>1611</v>
      </c>
      <c r="G265" s="2" t="s">
        <v>1612</v>
      </c>
      <c r="H265" s="2" t="s">
        <v>1613</v>
      </c>
      <c r="I265" s="2" t="s">
        <v>1616</v>
      </c>
      <c r="J265" s="2" t="s">
        <v>93</v>
      </c>
      <c r="K265" s="2" t="s">
        <v>1617</v>
      </c>
      <c r="L265" s="3">
        <v>285.94</v>
      </c>
      <c r="M265" s="3">
        <v>300.24</v>
      </c>
      <c r="N265" s="3">
        <v>599</v>
      </c>
      <c r="O265" s="2" t="s">
        <v>95</v>
      </c>
      <c r="P265" s="2" t="s">
        <v>134</v>
      </c>
      <c r="Q265" s="2" t="s">
        <v>97</v>
      </c>
      <c r="R265" s="2" t="s">
        <v>98</v>
      </c>
      <c r="S265" s="2" t="s">
        <v>1618</v>
      </c>
      <c r="T265" s="2" t="s">
        <v>98</v>
      </c>
      <c r="U265" s="2" t="s">
        <v>98</v>
      </c>
      <c r="V265" s="2" t="s">
        <v>439</v>
      </c>
      <c r="W265" s="2" t="s">
        <v>103</v>
      </c>
      <c r="X265" s="2" t="s">
        <v>102</v>
      </c>
      <c r="Y265" s="2" t="s">
        <v>427</v>
      </c>
      <c r="Z265" s="4">
        <v>178</v>
      </c>
      <c r="AA265" s="4">
        <f>=ROUNDDOWN(13.6923076923077,0)</f>
      </c>
      <c r="AB265" s="5">
        <v>13</v>
      </c>
      <c r="AC265" s="2" t="s">
        <v>1562</v>
      </c>
      <c r="AD265" s="4">
        <v>110</v>
      </c>
      <c r="AE265" s="4">
        <v>110</v>
      </c>
      <c r="AF265" s="6">
        <v>65</v>
      </c>
      <c r="AG265" s="6">
        <v>48</v>
      </c>
      <c r="AH265" s="7">
        <v>1</v>
      </c>
      <c r="AI265" s="4"/>
      <c r="AJ265" s="4">
        <f>=ROUNDDOWN({0},0)</f>
      </c>
      <c r="AK265" s="5"/>
      <c r="AL265" s="2" t="s">
        <v>98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 t="s">
        <v>98</v>
      </c>
      <c r="BD265" s="8" t="s">
        <v>98</v>
      </c>
      <c r="BE265" s="4" t="s">
        <v>98</v>
      </c>
      <c r="BF265" s="8" t="s">
        <v>98</v>
      </c>
      <c r="BG265" s="7" t="s">
        <v>98</v>
      </c>
      <c r="BH265" s="7" t="s">
        <v>98</v>
      </c>
      <c r="BI265" s="7"/>
      <c r="BJ265" s="4">
        <v>6</v>
      </c>
      <c r="BK265" s="8">
        <v>1919.09</v>
      </c>
      <c r="BL265" s="2" t="s">
        <v>1619</v>
      </c>
      <c r="BM265" s="7"/>
      <c r="BN265" s="7"/>
      <c r="BO265" s="4"/>
      <c r="BP265" s="8"/>
      <c r="BQ265" s="4"/>
      <c r="BR265" s="8"/>
      <c r="BS265" s="7"/>
      <c r="BT265" s="7"/>
      <c r="BU265" s="2" t="s">
        <v>107</v>
      </c>
      <c r="BV265" s="2" t="s">
        <v>1355</v>
      </c>
      <c r="BW265" s="2" t="s">
        <v>1620</v>
      </c>
      <c r="BX265" s="2" t="s">
        <v>1621</v>
      </c>
      <c r="BY265" s="2" t="s">
        <v>110</v>
      </c>
      <c r="BZ265" s="2" t="s">
        <v>98</v>
      </c>
    </row>
    <row r="266">
      <c r="A266" s="2" t="s">
        <v>1622</v>
      </c>
      <c r="B266" s="2" t="s">
        <v>1345</v>
      </c>
      <c r="C266" s="2" t="s">
        <v>88</v>
      </c>
      <c r="D266" s="2" t="s">
        <v>1346</v>
      </c>
      <c r="E266" s="2" t="s">
        <v>1347</v>
      </c>
      <c r="F266" s="2" t="s">
        <v>1611</v>
      </c>
      <c r="G266" s="2" t="s">
        <v>1612</v>
      </c>
      <c r="H266" s="2" t="s">
        <v>1613</v>
      </c>
      <c r="I266" s="2" t="s">
        <v>1616</v>
      </c>
      <c r="J266" s="2" t="s">
        <v>93</v>
      </c>
      <c r="K266" s="2" t="s">
        <v>1623</v>
      </c>
      <c r="L266" s="3">
        <v>285.94</v>
      </c>
      <c r="M266" s="3">
        <v>300.24</v>
      </c>
      <c r="N266" s="3">
        <v>599</v>
      </c>
      <c r="O266" s="2" t="s">
        <v>95</v>
      </c>
      <c r="P266" s="2" t="s">
        <v>142</v>
      </c>
      <c r="Q266" s="2" t="s">
        <v>97</v>
      </c>
      <c r="R266" s="2" t="s">
        <v>98</v>
      </c>
      <c r="S266" s="2" t="s">
        <v>98</v>
      </c>
      <c r="T266" s="2" t="s">
        <v>98</v>
      </c>
      <c r="U266" s="2" t="s">
        <v>117</v>
      </c>
      <c r="V266" s="2" t="s">
        <v>439</v>
      </c>
      <c r="W266" s="2" t="s">
        <v>103</v>
      </c>
      <c r="X266" s="2" t="s">
        <v>102</v>
      </c>
      <c r="Y266" s="2" t="s">
        <v>1624</v>
      </c>
      <c r="Z266" s="4">
        <v>88</v>
      </c>
      <c r="AA266" s="4">
        <f>=ROUNDDOWN(29.3333333333333,0)</f>
      </c>
      <c r="AB266" s="5">
        <v>3</v>
      </c>
      <c r="AC266" s="2" t="s">
        <v>98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98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98</v>
      </c>
      <c r="BD266" s="8" t="s">
        <v>98</v>
      </c>
      <c r="BE266" s="4" t="s">
        <v>98</v>
      </c>
      <c r="BF266" s="8" t="s">
        <v>98</v>
      </c>
      <c r="BG266" s="7" t="s">
        <v>98</v>
      </c>
      <c r="BH266" s="7" t="s">
        <v>98</v>
      </c>
      <c r="BI266" s="7"/>
      <c r="BJ266" s="4">
        <v>2</v>
      </c>
      <c r="BK266" s="8">
        <v>628.59</v>
      </c>
      <c r="BL266" s="2" t="s">
        <v>1625</v>
      </c>
      <c r="BM266" s="7"/>
      <c r="BN266" s="7"/>
      <c r="BO266" s="4"/>
      <c r="BP266" s="8"/>
      <c r="BQ266" s="4"/>
      <c r="BR266" s="8"/>
      <c r="BS266" s="7"/>
      <c r="BT266" s="7"/>
      <c r="BU266" s="2" t="s">
        <v>1376</v>
      </c>
      <c r="BV266" s="2" t="s">
        <v>95</v>
      </c>
      <c r="BW266" s="2" t="s">
        <v>98</v>
      </c>
      <c r="BX266" s="2" t="s">
        <v>98</v>
      </c>
      <c r="BY266" s="2" t="s">
        <v>110</v>
      </c>
      <c r="BZ266" s="2" t="s">
        <v>98</v>
      </c>
    </row>
    <row r="267">
      <c r="A267" s="2" t="s">
        <v>1626</v>
      </c>
      <c r="B267" s="2" t="s">
        <v>1345</v>
      </c>
      <c r="C267" s="2" t="s">
        <v>88</v>
      </c>
      <c r="D267" s="2" t="s">
        <v>1346</v>
      </c>
      <c r="E267" s="2" t="s">
        <v>1347</v>
      </c>
      <c r="F267" s="2" t="s">
        <v>1627</v>
      </c>
      <c r="G267" s="2" t="s">
        <v>1628</v>
      </c>
      <c r="H267" s="2" t="s">
        <v>1629</v>
      </c>
      <c r="I267" s="2" t="s">
        <v>1630</v>
      </c>
      <c r="J267" s="2" t="s">
        <v>93</v>
      </c>
      <c r="K267" s="2" t="s">
        <v>1631</v>
      </c>
      <c r="L267" s="3">
        <v>251.08</v>
      </c>
      <c r="M267" s="3">
        <v>263.63</v>
      </c>
      <c r="N267" s="3">
        <v>529</v>
      </c>
      <c r="O267" s="2" t="s">
        <v>95</v>
      </c>
      <c r="P267" s="2" t="s">
        <v>295</v>
      </c>
      <c r="Q267" s="2" t="s">
        <v>97</v>
      </c>
      <c r="R267" s="2" t="s">
        <v>98</v>
      </c>
      <c r="S267" s="2" t="s">
        <v>98</v>
      </c>
      <c r="T267" s="2" t="s">
        <v>98</v>
      </c>
      <c r="U267" s="2" t="s">
        <v>117</v>
      </c>
      <c r="V267" s="2" t="s">
        <v>439</v>
      </c>
      <c r="W267" s="2" t="s">
        <v>314</v>
      </c>
      <c r="X267" s="2" t="s">
        <v>165</v>
      </c>
      <c r="Y267" s="2" t="s">
        <v>1632</v>
      </c>
      <c r="Z267" s="4">
        <v>350</v>
      </c>
      <c r="AA267" s="4">
        <f>=ROUNDDOWN({0},0)</f>
      </c>
      <c r="AB267" s="5"/>
      <c r="AC267" s="2" t="s">
        <v>98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98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 t="s">
        <v>98</v>
      </c>
      <c r="BD267" s="8" t="s">
        <v>98</v>
      </c>
      <c r="BE267" s="4" t="s">
        <v>98</v>
      </c>
      <c r="BF267" s="8" t="s">
        <v>98</v>
      </c>
      <c r="BG267" s="7" t="s">
        <v>98</v>
      </c>
      <c r="BH267" s="7" t="s">
        <v>98</v>
      </c>
      <c r="BI267" s="7"/>
      <c r="BJ267" s="4"/>
      <c r="BK267" s="8"/>
      <c r="BL267" s="2" t="s">
        <v>98</v>
      </c>
      <c r="BM267" s="7"/>
      <c r="BN267" s="7"/>
      <c r="BO267" s="4"/>
      <c r="BP267" s="8"/>
      <c r="BQ267" s="4"/>
      <c r="BR267" s="8"/>
      <c r="BS267" s="7"/>
      <c r="BT267" s="7"/>
      <c r="BU267" s="2" t="s">
        <v>1376</v>
      </c>
      <c r="BV267" s="2" t="s">
        <v>95</v>
      </c>
      <c r="BW267" s="2" t="s">
        <v>98</v>
      </c>
      <c r="BX267" s="2" t="s">
        <v>98</v>
      </c>
      <c r="BY267" s="2" t="s">
        <v>110</v>
      </c>
      <c r="BZ267" s="2" t="s">
        <v>98</v>
      </c>
    </row>
    <row r="268">
      <c r="A268" s="2" t="s">
        <v>1633</v>
      </c>
      <c r="B268" s="2" t="s">
        <v>1345</v>
      </c>
      <c r="C268" s="2" t="s">
        <v>88</v>
      </c>
      <c r="D268" s="2" t="s">
        <v>1346</v>
      </c>
      <c r="E268" s="2" t="s">
        <v>1347</v>
      </c>
      <c r="F268" s="2" t="s">
        <v>1627</v>
      </c>
      <c r="G268" s="2" t="s">
        <v>1628</v>
      </c>
      <c r="H268" s="2" t="s">
        <v>1629</v>
      </c>
      <c r="I268" s="2" t="s">
        <v>1630</v>
      </c>
      <c r="J268" s="2" t="s">
        <v>93</v>
      </c>
      <c r="K268" s="2" t="s">
        <v>1634</v>
      </c>
      <c r="L268" s="3">
        <v>251.08</v>
      </c>
      <c r="M268" s="3">
        <v>263.63</v>
      </c>
      <c r="N268" s="3">
        <v>529</v>
      </c>
      <c r="O268" s="2" t="s">
        <v>95</v>
      </c>
      <c r="P268" s="2" t="s">
        <v>163</v>
      </c>
      <c r="Q268" s="2" t="s">
        <v>97</v>
      </c>
      <c r="R268" s="2" t="s">
        <v>98</v>
      </c>
      <c r="S268" s="2" t="s">
        <v>98</v>
      </c>
      <c r="T268" s="2" t="s">
        <v>98</v>
      </c>
      <c r="U268" s="2" t="s">
        <v>117</v>
      </c>
      <c r="V268" s="2" t="s">
        <v>439</v>
      </c>
      <c r="W268" s="2" t="s">
        <v>314</v>
      </c>
      <c r="X268" s="2" t="s">
        <v>98</v>
      </c>
      <c r="Y268" s="2" t="s">
        <v>1635</v>
      </c>
      <c r="Z268" s="4">
        <v>541</v>
      </c>
      <c r="AA268" s="4">
        <f>=ROUNDDOWN(24.5909090909091,0)</f>
      </c>
      <c r="AB268" s="5">
        <v>22</v>
      </c>
      <c r="AC268" s="2" t="s">
        <v>1525</v>
      </c>
      <c r="AD268" s="4">
        <v>165</v>
      </c>
      <c r="AE268" s="4">
        <v>165</v>
      </c>
      <c r="AF268" s="6">
        <v>65</v>
      </c>
      <c r="AG268" s="6">
        <v>48</v>
      </c>
      <c r="AH268" s="7">
        <v>1</v>
      </c>
      <c r="AI268" s="4"/>
      <c r="AJ268" s="4">
        <f>=ROUNDDOWN({0},0)</f>
      </c>
      <c r="AK268" s="5"/>
      <c r="AL268" s="2" t="s">
        <v>98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98</v>
      </c>
      <c r="BD268" s="8" t="s">
        <v>98</v>
      </c>
      <c r="BE268" s="4" t="s">
        <v>98</v>
      </c>
      <c r="BF268" s="8" t="s">
        <v>98</v>
      </c>
      <c r="BG268" s="7" t="s">
        <v>98</v>
      </c>
      <c r="BH268" s="7" t="s">
        <v>98</v>
      </c>
      <c r="BI268" s="7"/>
      <c r="BJ268" s="4">
        <v>8</v>
      </c>
      <c r="BK268" s="8">
        <v>2244.34</v>
      </c>
      <c r="BL268" s="2" t="s">
        <v>1636</v>
      </c>
      <c r="BM268" s="7"/>
      <c r="BN268" s="7"/>
      <c r="BO268" s="4"/>
      <c r="BP268" s="8"/>
      <c r="BQ268" s="4"/>
      <c r="BR268" s="8"/>
      <c r="BS268" s="7"/>
      <c r="BT268" s="7"/>
      <c r="BU268" s="2" t="s">
        <v>1376</v>
      </c>
      <c r="BV268" s="2" t="s">
        <v>95</v>
      </c>
      <c r="BW268" s="2" t="s">
        <v>98</v>
      </c>
      <c r="BX268" s="2" t="s">
        <v>98</v>
      </c>
      <c r="BY268" s="2" t="s">
        <v>110</v>
      </c>
      <c r="BZ268" s="2" t="s">
        <v>98</v>
      </c>
    </row>
    <row r="269">
      <c r="A269" s="2" t="s">
        <v>1637</v>
      </c>
      <c r="B269" s="2" t="s">
        <v>1345</v>
      </c>
      <c r="C269" s="2" t="s">
        <v>88</v>
      </c>
      <c r="D269" s="2" t="s">
        <v>1346</v>
      </c>
      <c r="E269" s="2" t="s">
        <v>1347</v>
      </c>
      <c r="F269" s="2" t="s">
        <v>1627</v>
      </c>
      <c r="G269" s="2" t="s">
        <v>1628</v>
      </c>
      <c r="H269" s="2" t="s">
        <v>1629</v>
      </c>
      <c r="I269" s="2" t="s">
        <v>1630</v>
      </c>
      <c r="J269" s="2" t="s">
        <v>93</v>
      </c>
      <c r="K269" s="2" t="s">
        <v>1638</v>
      </c>
      <c r="L269" s="3">
        <v>251.08</v>
      </c>
      <c r="M269" s="3">
        <v>263.63</v>
      </c>
      <c r="N269" s="3">
        <v>529</v>
      </c>
      <c r="O269" s="2" t="s">
        <v>95</v>
      </c>
      <c r="P269" s="2" t="s">
        <v>295</v>
      </c>
      <c r="Q269" s="2" t="s">
        <v>97</v>
      </c>
      <c r="R269" s="2" t="s">
        <v>98</v>
      </c>
      <c r="S269" s="2" t="s">
        <v>98</v>
      </c>
      <c r="T269" s="2" t="s">
        <v>98</v>
      </c>
      <c r="U269" s="2" t="s">
        <v>117</v>
      </c>
      <c r="V269" s="2" t="s">
        <v>439</v>
      </c>
      <c r="W269" s="2" t="s">
        <v>314</v>
      </c>
      <c r="X269" s="2" t="s">
        <v>165</v>
      </c>
      <c r="Y269" s="2" t="s">
        <v>1639</v>
      </c>
      <c r="Z269" s="4">
        <v>200</v>
      </c>
      <c r="AA269" s="4">
        <f>=ROUNDDOWN({0},0)</f>
      </c>
      <c r="AB269" s="5"/>
      <c r="AC269" s="2" t="s">
        <v>98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98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98</v>
      </c>
      <c r="BD269" s="8" t="s">
        <v>98</v>
      </c>
      <c r="BE269" s="4" t="s">
        <v>98</v>
      </c>
      <c r="BF269" s="8" t="s">
        <v>98</v>
      </c>
      <c r="BG269" s="7" t="s">
        <v>98</v>
      </c>
      <c r="BH269" s="7" t="s">
        <v>98</v>
      </c>
      <c r="BI269" s="7"/>
      <c r="BJ269" s="4"/>
      <c r="BK269" s="8"/>
      <c r="BL269" s="2" t="s">
        <v>98</v>
      </c>
      <c r="BM269" s="7"/>
      <c r="BN269" s="7"/>
      <c r="BO269" s="4"/>
      <c r="BP269" s="8"/>
      <c r="BQ269" s="4"/>
      <c r="BR269" s="8"/>
      <c r="BS269" s="7"/>
      <c r="BT269" s="7"/>
      <c r="BU269" s="2" t="s">
        <v>1376</v>
      </c>
      <c r="BV269" s="2" t="s">
        <v>95</v>
      </c>
      <c r="BW269" s="2" t="s">
        <v>98</v>
      </c>
      <c r="BX269" s="2" t="s">
        <v>98</v>
      </c>
      <c r="BY269" s="2" t="s">
        <v>110</v>
      </c>
      <c r="BZ269" s="2" t="s">
        <v>98</v>
      </c>
    </row>
    <row r="270">
      <c r="A270" s="2" t="s">
        <v>1640</v>
      </c>
      <c r="B270" s="2" t="s">
        <v>1345</v>
      </c>
      <c r="C270" s="2" t="s">
        <v>88</v>
      </c>
      <c r="D270" s="2" t="s">
        <v>1346</v>
      </c>
      <c r="E270" s="2" t="s">
        <v>1347</v>
      </c>
      <c r="F270" s="2" t="s">
        <v>1627</v>
      </c>
      <c r="G270" s="2" t="s">
        <v>1628</v>
      </c>
      <c r="H270" s="2" t="s">
        <v>1629</v>
      </c>
      <c r="I270" s="2" t="s">
        <v>1630</v>
      </c>
      <c r="J270" s="2" t="s">
        <v>93</v>
      </c>
      <c r="K270" s="2" t="s">
        <v>1641</v>
      </c>
      <c r="L270" s="3">
        <v>251.08</v>
      </c>
      <c r="M270" s="3">
        <v>263.63</v>
      </c>
      <c r="N270" s="3">
        <v>529</v>
      </c>
      <c r="O270" s="2" t="s">
        <v>95</v>
      </c>
      <c r="P270" s="2" t="s">
        <v>163</v>
      </c>
      <c r="Q270" s="2" t="s">
        <v>97</v>
      </c>
      <c r="R270" s="2" t="s">
        <v>98</v>
      </c>
      <c r="S270" s="2" t="s">
        <v>98</v>
      </c>
      <c r="T270" s="2" t="s">
        <v>98</v>
      </c>
      <c r="U270" s="2" t="s">
        <v>117</v>
      </c>
      <c r="V270" s="2" t="s">
        <v>439</v>
      </c>
      <c r="W270" s="2" t="s">
        <v>314</v>
      </c>
      <c r="X270" s="2" t="s">
        <v>98</v>
      </c>
      <c r="Y270" s="2" t="s">
        <v>1642</v>
      </c>
      <c r="Z270" s="4">
        <v>79</v>
      </c>
      <c r="AA270" s="4">
        <f>=ROUNDDOWN(4.9375,0)</f>
      </c>
      <c r="AB270" s="5">
        <v>16</v>
      </c>
      <c r="AC270" s="2" t="s">
        <v>1643</v>
      </c>
      <c r="AD270" s="4">
        <v>300</v>
      </c>
      <c r="AE270" s="4">
        <v>400</v>
      </c>
      <c r="AF270" s="6">
        <v>65</v>
      </c>
      <c r="AG270" s="6">
        <v>48</v>
      </c>
      <c r="AH270" s="7">
        <v>1</v>
      </c>
      <c r="AI270" s="4"/>
      <c r="AJ270" s="4">
        <f>=ROUNDDOWN({0},0)</f>
      </c>
      <c r="AK270" s="5"/>
      <c r="AL270" s="2" t="s">
        <v>98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98</v>
      </c>
      <c r="BD270" s="8" t="s">
        <v>98</v>
      </c>
      <c r="BE270" s="4" t="s">
        <v>98</v>
      </c>
      <c r="BF270" s="8" t="s">
        <v>98</v>
      </c>
      <c r="BG270" s="7" t="s">
        <v>98</v>
      </c>
      <c r="BH270" s="7" t="s">
        <v>98</v>
      </c>
      <c r="BI270" s="7"/>
      <c r="BJ270" s="4">
        <v>7</v>
      </c>
      <c r="BK270" s="8">
        <v>2097.9</v>
      </c>
      <c r="BL270" s="2" t="s">
        <v>1644</v>
      </c>
      <c r="BM270" s="7"/>
      <c r="BN270" s="7"/>
      <c r="BO270" s="4"/>
      <c r="BP270" s="8"/>
      <c r="BQ270" s="4"/>
      <c r="BR270" s="8"/>
      <c r="BS270" s="7"/>
      <c r="BT270" s="7"/>
      <c r="BU270" s="2" t="s">
        <v>107</v>
      </c>
      <c r="BV270" s="2" t="s">
        <v>1355</v>
      </c>
      <c r="BW270" s="2" t="s">
        <v>1512</v>
      </c>
      <c r="BX270" s="2" t="s">
        <v>1645</v>
      </c>
      <c r="BY270" s="2" t="s">
        <v>110</v>
      </c>
      <c r="BZ270" s="2" t="s">
        <v>98</v>
      </c>
    </row>
    <row r="271">
      <c r="A271" s="2" t="s">
        <v>1646</v>
      </c>
      <c r="B271" s="2" t="s">
        <v>1345</v>
      </c>
      <c r="C271" s="2" t="s">
        <v>88</v>
      </c>
      <c r="D271" s="2" t="s">
        <v>1346</v>
      </c>
      <c r="E271" s="2" t="s">
        <v>1347</v>
      </c>
      <c r="F271" s="2" t="s">
        <v>1647</v>
      </c>
      <c r="G271" s="2" t="s">
        <v>1648</v>
      </c>
      <c r="H271" s="2" t="s">
        <v>1649</v>
      </c>
      <c r="I271" s="2" t="s">
        <v>1432</v>
      </c>
      <c r="J271" s="2" t="s">
        <v>93</v>
      </c>
      <c r="K271" s="2" t="s">
        <v>236</v>
      </c>
      <c r="L271" s="3">
        <v>156.75</v>
      </c>
      <c r="M271" s="3">
        <v>164.59</v>
      </c>
      <c r="N271" s="3">
        <v>329</v>
      </c>
      <c r="O271" s="2" t="s">
        <v>95</v>
      </c>
      <c r="P271" s="2" t="s">
        <v>134</v>
      </c>
      <c r="Q271" s="2" t="s">
        <v>97</v>
      </c>
      <c r="R271" s="2" t="s">
        <v>98</v>
      </c>
      <c r="S271" s="2" t="s">
        <v>1650</v>
      </c>
      <c r="T271" s="2" t="s">
        <v>98</v>
      </c>
      <c r="U271" s="2" t="s">
        <v>98</v>
      </c>
      <c r="V271" s="2" t="s">
        <v>1360</v>
      </c>
      <c r="W271" s="2" t="s">
        <v>102</v>
      </c>
      <c r="X271" s="2" t="s">
        <v>98</v>
      </c>
      <c r="Y271" s="2" t="s">
        <v>366</v>
      </c>
      <c r="Z271" s="4">
        <v>113</v>
      </c>
      <c r="AA271" s="4">
        <f>=ROUNDDOWN(9.41666666666667,0)</f>
      </c>
      <c r="AB271" s="5">
        <v>12</v>
      </c>
      <c r="AC271" s="2" t="s">
        <v>1651</v>
      </c>
      <c r="AD271" s="4">
        <v>90</v>
      </c>
      <c r="AE271" s="4">
        <v>310</v>
      </c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98</v>
      </c>
      <c r="AM271" s="4"/>
      <c r="AN271" s="4"/>
      <c r="AO271" s="7">
        <v>0</v>
      </c>
      <c r="AP271" s="4"/>
      <c r="AQ271" s="8"/>
      <c r="AR271" s="4">
        <v>4</v>
      </c>
      <c r="AS271" s="8">
        <v>635.24</v>
      </c>
      <c r="AT271" s="7">
        <v>-1</v>
      </c>
      <c r="AU271" s="7">
        <v>-1</v>
      </c>
      <c r="AV271" s="4"/>
      <c r="AW271" s="8"/>
      <c r="AX271" s="4">
        <v>4</v>
      </c>
      <c r="AY271" s="8">
        <v>635.24</v>
      </c>
      <c r="AZ271" s="7">
        <v>-1</v>
      </c>
      <c r="BA271" s="7">
        <v>-1</v>
      </c>
      <c r="BB271" s="7"/>
      <c r="BC271" s="4" t="s">
        <v>98</v>
      </c>
      <c r="BD271" s="8" t="s">
        <v>98</v>
      </c>
      <c r="BE271" s="4">
        <v>4</v>
      </c>
      <c r="BF271" s="8">
        <v>635.24</v>
      </c>
      <c r="BG271" s="7" t="s">
        <v>98</v>
      </c>
      <c r="BH271" s="7" t="s">
        <v>98</v>
      </c>
      <c r="BI271" s="7"/>
      <c r="BJ271" s="4">
        <v>9</v>
      </c>
      <c r="BK271" s="8">
        <v>1463.8</v>
      </c>
      <c r="BL271" s="2" t="s">
        <v>1652</v>
      </c>
      <c r="BM271" s="7"/>
      <c r="BN271" s="7"/>
      <c r="BO271" s="4"/>
      <c r="BP271" s="8"/>
      <c r="BQ271" s="4">
        <v>4</v>
      </c>
      <c r="BR271" s="8">
        <v>635.24</v>
      </c>
      <c r="BS271" s="7">
        <v>-1</v>
      </c>
      <c r="BT271" s="7">
        <v>-1</v>
      </c>
      <c r="BU271" s="2" t="s">
        <v>107</v>
      </c>
      <c r="BV271" s="2" t="s">
        <v>1355</v>
      </c>
      <c r="BW271" s="2" t="s">
        <v>1356</v>
      </c>
      <c r="BX271" s="2" t="s">
        <v>1653</v>
      </c>
      <c r="BY271" s="2" t="s">
        <v>110</v>
      </c>
      <c r="BZ271" s="2" t="s">
        <v>98</v>
      </c>
    </row>
    <row r="272">
      <c r="A272" s="2" t="s">
        <v>1654</v>
      </c>
      <c r="B272" s="2" t="s">
        <v>1345</v>
      </c>
      <c r="C272" s="2" t="s">
        <v>88</v>
      </c>
      <c r="D272" s="2" t="s">
        <v>1346</v>
      </c>
      <c r="E272" s="2" t="s">
        <v>1347</v>
      </c>
      <c r="F272" s="2" t="s">
        <v>1647</v>
      </c>
      <c r="G272" s="2" t="s">
        <v>1648</v>
      </c>
      <c r="H272" s="2" t="s">
        <v>1649</v>
      </c>
      <c r="I272" s="2" t="s">
        <v>1432</v>
      </c>
      <c r="J272" s="2" t="s">
        <v>93</v>
      </c>
      <c r="K272" s="2" t="s">
        <v>1655</v>
      </c>
      <c r="L272" s="3">
        <v>156.75</v>
      </c>
      <c r="M272" s="3">
        <v>164.59</v>
      </c>
      <c r="N272" s="3">
        <v>329</v>
      </c>
      <c r="O272" s="2" t="s">
        <v>95</v>
      </c>
      <c r="P272" s="2" t="s">
        <v>142</v>
      </c>
      <c r="Q272" s="2" t="s">
        <v>97</v>
      </c>
      <c r="R272" s="2" t="s">
        <v>98</v>
      </c>
      <c r="S272" s="2" t="s">
        <v>98</v>
      </c>
      <c r="T272" s="2" t="s">
        <v>98</v>
      </c>
      <c r="U272" s="2" t="s">
        <v>117</v>
      </c>
      <c r="V272" s="2" t="s">
        <v>339</v>
      </c>
      <c r="W272" s="2" t="s">
        <v>102</v>
      </c>
      <c r="X272" s="2" t="s">
        <v>98</v>
      </c>
      <c r="Y272" s="2" t="s">
        <v>1656</v>
      </c>
      <c r="Z272" s="4">
        <v>86</v>
      </c>
      <c r="AA272" s="4">
        <f>=ROUNDDOWN(28.6666666666667,0)</f>
      </c>
      <c r="AB272" s="5">
        <v>3</v>
      </c>
      <c r="AC272" s="2" t="s">
        <v>1657</v>
      </c>
      <c r="AD272" s="4">
        <v>80</v>
      </c>
      <c r="AE272" s="4">
        <v>80</v>
      </c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98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 t="s">
        <v>98</v>
      </c>
      <c r="BD272" s="8" t="s">
        <v>98</v>
      </c>
      <c r="BE272" s="4" t="s">
        <v>98</v>
      </c>
      <c r="BF272" s="8" t="s">
        <v>98</v>
      </c>
      <c r="BG272" s="7" t="s">
        <v>98</v>
      </c>
      <c r="BH272" s="7" t="s">
        <v>98</v>
      </c>
      <c r="BI272" s="7"/>
      <c r="BJ272" s="4">
        <v>2</v>
      </c>
      <c r="BK272" s="8">
        <v>294</v>
      </c>
      <c r="BL272" s="2" t="s">
        <v>988</v>
      </c>
      <c r="BM272" s="7"/>
      <c r="BN272" s="7"/>
      <c r="BO272" s="4"/>
      <c r="BP272" s="8"/>
      <c r="BQ272" s="4"/>
      <c r="BR272" s="8"/>
      <c r="BS272" s="7"/>
      <c r="BT272" s="7"/>
      <c r="BU272" s="2" t="s">
        <v>1376</v>
      </c>
      <c r="BV272" s="2" t="s">
        <v>95</v>
      </c>
      <c r="BW272" s="2" t="s">
        <v>98</v>
      </c>
      <c r="BX272" s="2" t="s">
        <v>98</v>
      </c>
      <c r="BY272" s="2" t="s">
        <v>110</v>
      </c>
      <c r="BZ272" s="2" t="s">
        <v>98</v>
      </c>
    </row>
    <row r="273">
      <c r="A273" s="2" t="s">
        <v>1658</v>
      </c>
      <c r="B273" s="2" t="s">
        <v>1345</v>
      </c>
      <c r="C273" s="2" t="s">
        <v>88</v>
      </c>
      <c r="D273" s="2" t="s">
        <v>1346</v>
      </c>
      <c r="E273" s="2" t="s">
        <v>1347</v>
      </c>
      <c r="F273" s="2" t="s">
        <v>1659</v>
      </c>
      <c r="G273" s="2" t="s">
        <v>1660</v>
      </c>
      <c r="H273" s="2" t="s">
        <v>1661</v>
      </c>
      <c r="I273" s="2" t="s">
        <v>1432</v>
      </c>
      <c r="J273" s="2" t="s">
        <v>93</v>
      </c>
      <c r="K273" s="2" t="s">
        <v>928</v>
      </c>
      <c r="L273" s="3">
        <v>125</v>
      </c>
      <c r="M273" s="3">
        <v>131.25</v>
      </c>
      <c r="N273" s="3">
        <v>259</v>
      </c>
      <c r="O273" s="2" t="s">
        <v>155</v>
      </c>
      <c r="P273" s="2" t="s">
        <v>115</v>
      </c>
      <c r="Q273" s="2" t="s">
        <v>97</v>
      </c>
      <c r="R273" s="2" t="s">
        <v>98</v>
      </c>
      <c r="S273" s="2" t="s">
        <v>98</v>
      </c>
      <c r="T273" s="2" t="s">
        <v>98</v>
      </c>
      <c r="U273" s="2" t="s">
        <v>117</v>
      </c>
      <c r="V273" s="2" t="s">
        <v>439</v>
      </c>
      <c r="W273" s="2" t="s">
        <v>102</v>
      </c>
      <c r="X273" s="2" t="s">
        <v>963</v>
      </c>
      <c r="Y273" s="2" t="s">
        <v>643</v>
      </c>
      <c r="Z273" s="4">
        <v>149</v>
      </c>
      <c r="AA273" s="4">
        <f>=ROUNDDOWN(78.4210526315789,0)</f>
      </c>
      <c r="AB273" s="5">
        <v>1.9</v>
      </c>
      <c r="AC273" s="2" t="s">
        <v>98</v>
      </c>
      <c r="AD273" s="4"/>
      <c r="AE273" s="4"/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98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>
        <v>4</v>
      </c>
      <c r="BK273" s="8">
        <v>498.76</v>
      </c>
      <c r="BL273" s="2" t="s">
        <v>1662</v>
      </c>
      <c r="BM273" s="7"/>
      <c r="BN273" s="7"/>
      <c r="BO273" s="4"/>
      <c r="BP273" s="8"/>
      <c r="BQ273" s="4"/>
      <c r="BR273" s="8"/>
      <c r="BS273" s="7"/>
      <c r="BT273" s="7"/>
      <c r="BU273" s="2" t="s">
        <v>1376</v>
      </c>
      <c r="BV273" s="2" t="s">
        <v>95</v>
      </c>
      <c r="BW273" s="2" t="s">
        <v>98</v>
      </c>
      <c r="BX273" s="2" t="s">
        <v>98</v>
      </c>
      <c r="BY273" s="2" t="s">
        <v>110</v>
      </c>
      <c r="BZ273" s="2" t="s">
        <v>98</v>
      </c>
    </row>
    <row r="274">
      <c r="A274" s="2" t="s">
        <v>1663</v>
      </c>
      <c r="B274" s="2" t="s">
        <v>1345</v>
      </c>
      <c r="C274" s="2" t="s">
        <v>88</v>
      </c>
      <c r="D274" s="2" t="s">
        <v>1346</v>
      </c>
      <c r="E274" s="2" t="s">
        <v>1347</v>
      </c>
      <c r="F274" s="2" t="s">
        <v>1664</v>
      </c>
      <c r="G274" s="2" t="s">
        <v>1665</v>
      </c>
      <c r="H274" s="2" t="s">
        <v>1666</v>
      </c>
      <c r="I274" s="2" t="s">
        <v>1667</v>
      </c>
      <c r="J274" s="2" t="s">
        <v>93</v>
      </c>
      <c r="K274" s="2" t="s">
        <v>277</v>
      </c>
      <c r="L274" s="3">
        <v>190</v>
      </c>
      <c r="M274" s="3">
        <v>199.5</v>
      </c>
      <c r="N274" s="3">
        <v>399</v>
      </c>
      <c r="O274" s="2" t="s">
        <v>155</v>
      </c>
      <c r="P274" s="2" t="s">
        <v>115</v>
      </c>
      <c r="Q274" s="2" t="s">
        <v>97</v>
      </c>
      <c r="R274" s="2" t="s">
        <v>98</v>
      </c>
      <c r="S274" s="2" t="s">
        <v>1668</v>
      </c>
      <c r="T274" s="2" t="s">
        <v>98</v>
      </c>
      <c r="U274" s="2" t="s">
        <v>98</v>
      </c>
      <c r="V274" s="2" t="s">
        <v>439</v>
      </c>
      <c r="W274" s="2" t="s">
        <v>102</v>
      </c>
      <c r="X274" s="2" t="s">
        <v>98</v>
      </c>
      <c r="Y274" s="2" t="s">
        <v>366</v>
      </c>
      <c r="Z274" s="4"/>
      <c r="AA274" s="4">
        <f>=ROUNDDOWN({0},0)</f>
      </c>
      <c r="AB274" s="5">
        <v>1.1</v>
      </c>
      <c r="AC274" s="2" t="s">
        <v>98</v>
      </c>
      <c r="AD274" s="4"/>
      <c r="AE274" s="4"/>
      <c r="AF274" s="6">
        <v>67</v>
      </c>
      <c r="AG274" s="6">
        <v>50</v>
      </c>
      <c r="AH274" s="7">
        <v>0</v>
      </c>
      <c r="AI274" s="4"/>
      <c r="AJ274" s="4">
        <f>=ROUNDDOWN({0},0)</f>
      </c>
      <c r="AK274" s="5"/>
      <c r="AL274" s="2" t="s">
        <v>98</v>
      </c>
      <c r="AM274" s="4"/>
      <c r="AN274" s="4"/>
      <c r="AO274" s="7">
        <v>0</v>
      </c>
      <c r="AP274" s="4"/>
      <c r="AQ274" s="8"/>
      <c r="AR274" s="4">
        <v>1</v>
      </c>
      <c r="AS274" s="8">
        <v>176.68</v>
      </c>
      <c r="AT274" s="7">
        <v>-1</v>
      </c>
      <c r="AU274" s="7">
        <v>-1</v>
      </c>
      <c r="AV274" s="4"/>
      <c r="AW274" s="8"/>
      <c r="AX274" s="4">
        <v>1</v>
      </c>
      <c r="AY274" s="8">
        <v>176.68</v>
      </c>
      <c r="AZ274" s="7">
        <v>-1</v>
      </c>
      <c r="BA274" s="7">
        <v>-1</v>
      </c>
      <c r="BB274" s="7"/>
      <c r="BC274" s="4" t="s">
        <v>98</v>
      </c>
      <c r="BD274" s="8" t="s">
        <v>98</v>
      </c>
      <c r="BE274" s="4">
        <v>4</v>
      </c>
      <c r="BF274" s="8">
        <v>706.72</v>
      </c>
      <c r="BG274" s="7" t="s">
        <v>98</v>
      </c>
      <c r="BH274" s="7" t="s">
        <v>98</v>
      </c>
      <c r="BI274" s="7"/>
      <c r="BJ274" s="4"/>
      <c r="BK274" s="8"/>
      <c r="BL274" s="2" t="s">
        <v>1669</v>
      </c>
      <c r="BM274" s="7"/>
      <c r="BN274" s="7"/>
      <c r="BO274" s="4"/>
      <c r="BP274" s="8"/>
      <c r="BQ274" s="4">
        <v>1</v>
      </c>
      <c r="BR274" s="8">
        <v>176.68</v>
      </c>
      <c r="BS274" s="7">
        <v>-1</v>
      </c>
      <c r="BT274" s="7">
        <v>-1</v>
      </c>
      <c r="BU274" s="2" t="s">
        <v>107</v>
      </c>
      <c r="BV274" s="2" t="s">
        <v>1355</v>
      </c>
      <c r="BW274" s="2" t="s">
        <v>1356</v>
      </c>
      <c r="BX274" s="2" t="s">
        <v>1417</v>
      </c>
      <c r="BY274" s="2" t="s">
        <v>110</v>
      </c>
      <c r="BZ274" s="2" t="s">
        <v>98</v>
      </c>
    </row>
    <row r="275">
      <c r="A275" s="2" t="s">
        <v>1670</v>
      </c>
      <c r="B275" s="2" t="s">
        <v>1345</v>
      </c>
      <c r="C275" s="2" t="s">
        <v>88</v>
      </c>
      <c r="D275" s="2" t="s">
        <v>1346</v>
      </c>
      <c r="E275" s="2" t="s">
        <v>1347</v>
      </c>
      <c r="F275" s="2" t="s">
        <v>1664</v>
      </c>
      <c r="G275" s="2" t="s">
        <v>1665</v>
      </c>
      <c r="H275" s="2" t="s">
        <v>1666</v>
      </c>
      <c r="I275" s="2" t="s">
        <v>1667</v>
      </c>
      <c r="J275" s="2" t="s">
        <v>93</v>
      </c>
      <c r="K275" s="2" t="s">
        <v>1439</v>
      </c>
      <c r="L275" s="3">
        <v>180.5</v>
      </c>
      <c r="M275" s="3">
        <v>189.52</v>
      </c>
      <c r="N275" s="3">
        <v>379</v>
      </c>
      <c r="O275" s="2" t="s">
        <v>95</v>
      </c>
      <c r="P275" s="2" t="s">
        <v>134</v>
      </c>
      <c r="Q275" s="2" t="s">
        <v>97</v>
      </c>
      <c r="R275" s="2" t="s">
        <v>98</v>
      </c>
      <c r="S275" s="2" t="s">
        <v>1671</v>
      </c>
      <c r="T275" s="2" t="s">
        <v>98</v>
      </c>
      <c r="U275" s="2" t="s">
        <v>98</v>
      </c>
      <c r="V275" s="2" t="s">
        <v>439</v>
      </c>
      <c r="W275" s="2" t="s">
        <v>102</v>
      </c>
      <c r="X275" s="2" t="s">
        <v>98</v>
      </c>
      <c r="Y275" s="2" t="s">
        <v>366</v>
      </c>
      <c r="Z275" s="4">
        <v>98</v>
      </c>
      <c r="AA275" s="4">
        <f>=ROUNDDOWN(51.578947368421,0)</f>
      </c>
      <c r="AB275" s="5">
        <v>1.9</v>
      </c>
      <c r="AC275" s="2" t="s">
        <v>98</v>
      </c>
      <c r="AD275" s="4"/>
      <c r="AE275" s="4"/>
      <c r="AF275" s="6">
        <v>65</v>
      </c>
      <c r="AG275" s="6">
        <v>48</v>
      </c>
      <c r="AH275" s="7">
        <v>1</v>
      </c>
      <c r="AI275" s="4"/>
      <c r="AJ275" s="4">
        <f>=ROUNDDOWN({0},0)</f>
      </c>
      <c r="AK275" s="5"/>
      <c r="AL275" s="2" t="s">
        <v>98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98</v>
      </c>
      <c r="BD275" s="8" t="s">
        <v>98</v>
      </c>
      <c r="BE275" s="4" t="s">
        <v>98</v>
      </c>
      <c r="BF275" s="8" t="s">
        <v>98</v>
      </c>
      <c r="BG275" s="7" t="s">
        <v>98</v>
      </c>
      <c r="BH275" s="7" t="s">
        <v>98</v>
      </c>
      <c r="BI275" s="7"/>
      <c r="BJ275" s="4">
        <v>2</v>
      </c>
      <c r="BK275" s="8">
        <v>385.76</v>
      </c>
      <c r="BL275" s="2" t="s">
        <v>1500</v>
      </c>
      <c r="BM275" s="7"/>
      <c r="BN275" s="7"/>
      <c r="BO275" s="4"/>
      <c r="BP275" s="8"/>
      <c r="BQ275" s="4"/>
      <c r="BR275" s="8"/>
      <c r="BS275" s="7"/>
      <c r="BT275" s="7"/>
      <c r="BU275" s="2" t="s">
        <v>107</v>
      </c>
      <c r="BV275" s="2" t="s">
        <v>1355</v>
      </c>
      <c r="BW275" s="2" t="s">
        <v>1356</v>
      </c>
      <c r="BX275" s="2" t="s">
        <v>1672</v>
      </c>
      <c r="BY275" s="2" t="s">
        <v>110</v>
      </c>
      <c r="BZ275" s="2" t="s">
        <v>98</v>
      </c>
    </row>
    <row r="276">
      <c r="A276" s="2" t="s">
        <v>1673</v>
      </c>
      <c r="B276" s="2" t="s">
        <v>1345</v>
      </c>
      <c r="C276" s="2" t="s">
        <v>88</v>
      </c>
      <c r="D276" s="2" t="s">
        <v>1346</v>
      </c>
      <c r="E276" s="2" t="s">
        <v>1347</v>
      </c>
      <c r="F276" s="2" t="s">
        <v>1664</v>
      </c>
      <c r="G276" s="2" t="s">
        <v>1665</v>
      </c>
      <c r="H276" s="2" t="s">
        <v>1666</v>
      </c>
      <c r="I276" s="2" t="s">
        <v>1667</v>
      </c>
      <c r="J276" s="2" t="s">
        <v>93</v>
      </c>
      <c r="K276" s="2" t="s">
        <v>1674</v>
      </c>
      <c r="L276" s="3">
        <v>180.5</v>
      </c>
      <c r="M276" s="3">
        <v>189.52</v>
      </c>
      <c r="N276" s="3">
        <v>379</v>
      </c>
      <c r="O276" s="2" t="s">
        <v>95</v>
      </c>
      <c r="P276" s="2" t="s">
        <v>134</v>
      </c>
      <c r="Q276" s="2" t="s">
        <v>97</v>
      </c>
      <c r="R276" s="2" t="s">
        <v>98</v>
      </c>
      <c r="S276" s="2" t="s">
        <v>1675</v>
      </c>
      <c r="T276" s="2" t="s">
        <v>98</v>
      </c>
      <c r="U276" s="2" t="s">
        <v>98</v>
      </c>
      <c r="V276" s="2" t="s">
        <v>439</v>
      </c>
      <c r="W276" s="2" t="s">
        <v>102</v>
      </c>
      <c r="X276" s="2" t="s">
        <v>98</v>
      </c>
      <c r="Y276" s="2" t="s">
        <v>366</v>
      </c>
      <c r="Z276" s="4">
        <v>147</v>
      </c>
      <c r="AA276" s="4">
        <f>=ROUNDDOWN(26.25,0)</f>
      </c>
      <c r="AB276" s="5">
        <v>5.6</v>
      </c>
      <c r="AC276" s="2" t="s">
        <v>1457</v>
      </c>
      <c r="AD276" s="4">
        <v>60</v>
      </c>
      <c r="AE276" s="4">
        <v>120</v>
      </c>
      <c r="AF276" s="6">
        <v>65</v>
      </c>
      <c r="AG276" s="6">
        <v>48</v>
      </c>
      <c r="AH276" s="7">
        <v>1</v>
      </c>
      <c r="AI276" s="4"/>
      <c r="AJ276" s="4">
        <f>=ROUNDDOWN({0},0)</f>
      </c>
      <c r="AK276" s="5"/>
      <c r="AL276" s="2" t="s">
        <v>98</v>
      </c>
      <c r="AM276" s="4"/>
      <c r="AN276" s="4"/>
      <c r="AO276" s="7">
        <v>0</v>
      </c>
      <c r="AP276" s="4"/>
      <c r="AQ276" s="8"/>
      <c r="AR276" s="4">
        <v>3</v>
      </c>
      <c r="AS276" s="8">
        <v>530.04</v>
      </c>
      <c r="AT276" s="7">
        <v>-1</v>
      </c>
      <c r="AU276" s="7">
        <v>-1</v>
      </c>
      <c r="AV276" s="4"/>
      <c r="AW276" s="8"/>
      <c r="AX276" s="4">
        <v>3</v>
      </c>
      <c r="AY276" s="8">
        <v>530.04</v>
      </c>
      <c r="AZ276" s="7">
        <v>-1</v>
      </c>
      <c r="BA276" s="7">
        <v>-1</v>
      </c>
      <c r="BB276" s="7"/>
      <c r="BC276" s="4" t="s">
        <v>98</v>
      </c>
      <c r="BD276" s="8" t="s">
        <v>98</v>
      </c>
      <c r="BE276" s="4" t="s">
        <v>98</v>
      </c>
      <c r="BF276" s="8" t="s">
        <v>98</v>
      </c>
      <c r="BG276" s="7" t="s">
        <v>98</v>
      </c>
      <c r="BH276" s="7" t="s">
        <v>98</v>
      </c>
      <c r="BI276" s="7"/>
      <c r="BJ276" s="4">
        <v>2</v>
      </c>
      <c r="BK276" s="8">
        <v>362.88</v>
      </c>
      <c r="BL276" s="2" t="s">
        <v>1676</v>
      </c>
      <c r="BM276" s="7"/>
      <c r="BN276" s="7"/>
      <c r="BO276" s="4"/>
      <c r="BP276" s="8"/>
      <c r="BQ276" s="4">
        <v>3</v>
      </c>
      <c r="BR276" s="8">
        <v>530.04</v>
      </c>
      <c r="BS276" s="7">
        <v>-1</v>
      </c>
      <c r="BT276" s="7">
        <v>-1</v>
      </c>
      <c r="BU276" s="2" t="s">
        <v>107</v>
      </c>
      <c r="BV276" s="2" t="s">
        <v>1355</v>
      </c>
      <c r="BW276" s="2" t="s">
        <v>1356</v>
      </c>
      <c r="BX276" s="2" t="s">
        <v>1677</v>
      </c>
      <c r="BY276" s="2" t="s">
        <v>110</v>
      </c>
      <c r="BZ276" s="2" t="s">
        <v>98</v>
      </c>
    </row>
    <row r="277">
      <c r="A277" s="2" t="s">
        <v>1678</v>
      </c>
      <c r="B277" s="2" t="s">
        <v>1345</v>
      </c>
      <c r="C277" s="2" t="s">
        <v>88</v>
      </c>
      <c r="D277" s="2" t="s">
        <v>1346</v>
      </c>
      <c r="E277" s="2" t="s">
        <v>1347</v>
      </c>
      <c r="F277" s="2" t="s">
        <v>1679</v>
      </c>
      <c r="G277" s="2" t="s">
        <v>1680</v>
      </c>
      <c r="H277" s="2" t="s">
        <v>1681</v>
      </c>
      <c r="I277" s="2" t="s">
        <v>1682</v>
      </c>
      <c r="J277" s="2" t="s">
        <v>93</v>
      </c>
      <c r="K277" s="2" t="s">
        <v>133</v>
      </c>
      <c r="L277" s="3">
        <v>218.5</v>
      </c>
      <c r="M277" s="3">
        <v>229.42</v>
      </c>
      <c r="N277" s="3">
        <v>459</v>
      </c>
      <c r="O277" s="2" t="s">
        <v>155</v>
      </c>
      <c r="P277" s="2" t="s">
        <v>115</v>
      </c>
      <c r="Q277" s="2" t="s">
        <v>97</v>
      </c>
      <c r="R277" s="2" t="s">
        <v>98</v>
      </c>
      <c r="S277" s="2" t="s">
        <v>1683</v>
      </c>
      <c r="T277" s="2" t="s">
        <v>98</v>
      </c>
      <c r="U277" s="2" t="s">
        <v>98</v>
      </c>
      <c r="V277" s="2" t="s">
        <v>296</v>
      </c>
      <c r="W277" s="2" t="s">
        <v>963</v>
      </c>
      <c r="X277" s="2" t="s">
        <v>98</v>
      </c>
      <c r="Y277" s="2" t="s">
        <v>366</v>
      </c>
      <c r="Z277" s="4"/>
      <c r="AA277" s="4">
        <f>=ROUNDDOWN({0},0)</f>
      </c>
      <c r="AB277" s="5"/>
      <c r="AC277" s="2" t="s">
        <v>98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98</v>
      </c>
      <c r="AM277" s="4"/>
      <c r="AN277" s="4"/>
      <c r="AO277" s="7">
        <v>0</v>
      </c>
      <c r="AP277" s="4"/>
      <c r="AQ277" s="8"/>
      <c r="AR277" s="4">
        <v>1</v>
      </c>
      <c r="AS277" s="8">
        <v>191</v>
      </c>
      <c r="AT277" s="7">
        <v>-1</v>
      </c>
      <c r="AU277" s="7">
        <v>-1</v>
      </c>
      <c r="AV277" s="4"/>
      <c r="AW277" s="8"/>
      <c r="AX277" s="4">
        <v>1</v>
      </c>
      <c r="AY277" s="8">
        <v>191</v>
      </c>
      <c r="AZ277" s="7">
        <v>-1</v>
      </c>
      <c r="BA277" s="7">
        <v>-1</v>
      </c>
      <c r="BB277" s="7"/>
      <c r="BC277" s="4"/>
      <c r="BD277" s="8"/>
      <c r="BE277" s="4">
        <v>1</v>
      </c>
      <c r="BF277" s="8">
        <v>191</v>
      </c>
      <c r="BG277" s="7">
        <v>-1</v>
      </c>
      <c r="BH277" s="7">
        <v>-1</v>
      </c>
      <c r="BI277" s="7"/>
      <c r="BJ277" s="4"/>
      <c r="BK277" s="8"/>
      <c r="BL277" s="2" t="s">
        <v>1684</v>
      </c>
      <c r="BM277" s="7"/>
      <c r="BN277" s="7"/>
      <c r="BO277" s="4"/>
      <c r="BP277" s="8"/>
      <c r="BQ277" s="4">
        <v>1</v>
      </c>
      <c r="BR277" s="8">
        <v>191</v>
      </c>
      <c r="BS277" s="7">
        <v>-1</v>
      </c>
      <c r="BT277" s="7">
        <v>-1</v>
      </c>
      <c r="BU277" s="2" t="s">
        <v>107</v>
      </c>
      <c r="BV277" s="2" t="s">
        <v>1355</v>
      </c>
      <c r="BW277" s="2" t="s">
        <v>1356</v>
      </c>
      <c r="BX277" s="2" t="s">
        <v>1685</v>
      </c>
      <c r="BY277" s="2" t="s">
        <v>110</v>
      </c>
      <c r="BZ277" s="2" t="s">
        <v>98</v>
      </c>
    </row>
    <row r="278">
      <c r="A278" s="2" t="s">
        <v>1686</v>
      </c>
      <c r="B278" s="2" t="s">
        <v>1345</v>
      </c>
      <c r="C278" s="2" t="s">
        <v>88</v>
      </c>
      <c r="D278" s="2" t="s">
        <v>1346</v>
      </c>
      <c r="E278" s="2" t="s">
        <v>1347</v>
      </c>
      <c r="F278" s="2" t="s">
        <v>1687</v>
      </c>
      <c r="G278" s="2" t="s">
        <v>1688</v>
      </c>
      <c r="H278" s="2" t="s">
        <v>1689</v>
      </c>
      <c r="I278" s="2" t="s">
        <v>1690</v>
      </c>
      <c r="J278" s="2" t="s">
        <v>93</v>
      </c>
      <c r="K278" s="2" t="s">
        <v>1052</v>
      </c>
      <c r="L278" s="3">
        <v>204.25</v>
      </c>
      <c r="M278" s="3">
        <v>214.46</v>
      </c>
      <c r="N278" s="3">
        <v>429</v>
      </c>
      <c r="O278" s="2" t="s">
        <v>155</v>
      </c>
      <c r="P278" s="2" t="s">
        <v>1691</v>
      </c>
      <c r="Q278" s="2" t="s">
        <v>97</v>
      </c>
      <c r="R278" s="2" t="s">
        <v>98</v>
      </c>
      <c r="S278" s="2" t="s">
        <v>1692</v>
      </c>
      <c r="T278" s="2" t="s">
        <v>98</v>
      </c>
      <c r="U278" s="2" t="s">
        <v>98</v>
      </c>
      <c r="V278" s="2" t="s">
        <v>439</v>
      </c>
      <c r="W278" s="2" t="s">
        <v>103</v>
      </c>
      <c r="X278" s="2" t="s">
        <v>98</v>
      </c>
      <c r="Y278" s="2" t="s">
        <v>366</v>
      </c>
      <c r="Z278" s="4"/>
      <c r="AA278" s="4">
        <f>=ROUNDDOWN({0},0)</f>
      </c>
      <c r="AB278" s="5"/>
      <c r="AC278" s="2" t="s">
        <v>98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98</v>
      </c>
      <c r="AM278" s="4"/>
      <c r="AN278" s="4"/>
      <c r="AO278" s="7">
        <v>0</v>
      </c>
      <c r="AP278" s="4"/>
      <c r="AQ278" s="8"/>
      <c r="AR278" s="4">
        <v>1</v>
      </c>
      <c r="AS278" s="8">
        <v>231.01</v>
      </c>
      <c r="AT278" s="7">
        <v>-1</v>
      </c>
      <c r="AU278" s="7">
        <v>-1</v>
      </c>
      <c r="AV278" s="4"/>
      <c r="AW278" s="8"/>
      <c r="AX278" s="4">
        <v>1</v>
      </c>
      <c r="AY278" s="8">
        <v>231.01</v>
      </c>
      <c r="AZ278" s="7">
        <v>-1</v>
      </c>
      <c r="BA278" s="7">
        <v>-1</v>
      </c>
      <c r="BB278" s="7"/>
      <c r="BC278" s="4" t="s">
        <v>98</v>
      </c>
      <c r="BD278" s="8" t="s">
        <v>98</v>
      </c>
      <c r="BE278" s="4">
        <v>2</v>
      </c>
      <c r="BF278" s="8">
        <v>462.02</v>
      </c>
      <c r="BG278" s="7" t="s">
        <v>98</v>
      </c>
      <c r="BH278" s="7" t="s">
        <v>98</v>
      </c>
      <c r="BI278" s="7"/>
      <c r="BJ278" s="4"/>
      <c r="BK278" s="8"/>
      <c r="BL278" s="2" t="s">
        <v>1445</v>
      </c>
      <c r="BM278" s="7"/>
      <c r="BN278" s="7"/>
      <c r="BO278" s="4"/>
      <c r="BP278" s="8"/>
      <c r="BQ278" s="4">
        <v>1</v>
      </c>
      <c r="BR278" s="8">
        <v>231.01</v>
      </c>
      <c r="BS278" s="7">
        <v>-1</v>
      </c>
      <c r="BT278" s="7">
        <v>-1</v>
      </c>
      <c r="BU278" s="2" t="s">
        <v>107</v>
      </c>
      <c r="BV278" s="2" t="s">
        <v>1355</v>
      </c>
      <c r="BW278" s="2" t="s">
        <v>1356</v>
      </c>
      <c r="BX278" s="2" t="s">
        <v>1693</v>
      </c>
      <c r="BY278" s="2" t="s">
        <v>110</v>
      </c>
      <c r="BZ278" s="2" t="s">
        <v>98</v>
      </c>
    </row>
    <row r="279">
      <c r="A279" s="2" t="s">
        <v>1694</v>
      </c>
      <c r="B279" s="2" t="s">
        <v>1345</v>
      </c>
      <c r="C279" s="2" t="s">
        <v>88</v>
      </c>
      <c r="D279" s="2" t="s">
        <v>1346</v>
      </c>
      <c r="E279" s="2" t="s">
        <v>1347</v>
      </c>
      <c r="F279" s="2" t="s">
        <v>1687</v>
      </c>
      <c r="G279" s="2" t="s">
        <v>1688</v>
      </c>
      <c r="H279" s="2" t="s">
        <v>1689</v>
      </c>
      <c r="I279" s="2" t="s">
        <v>1690</v>
      </c>
      <c r="J279" s="2" t="s">
        <v>93</v>
      </c>
      <c r="K279" s="2" t="s">
        <v>133</v>
      </c>
      <c r="L279" s="3">
        <v>215</v>
      </c>
      <c r="M279" s="3">
        <v>225.75</v>
      </c>
      <c r="N279" s="3">
        <v>449</v>
      </c>
      <c r="O279" s="2" t="s">
        <v>1278</v>
      </c>
      <c r="P279" s="2" t="s">
        <v>115</v>
      </c>
      <c r="Q279" s="2" t="s">
        <v>97</v>
      </c>
      <c r="R279" s="2" t="s">
        <v>98</v>
      </c>
      <c r="S279" s="2" t="s">
        <v>1695</v>
      </c>
      <c r="T279" s="2" t="s">
        <v>98</v>
      </c>
      <c r="U279" s="2" t="s">
        <v>98</v>
      </c>
      <c r="V279" s="2" t="s">
        <v>439</v>
      </c>
      <c r="W279" s="2" t="s">
        <v>103</v>
      </c>
      <c r="X279" s="2" t="s">
        <v>98</v>
      </c>
      <c r="Y279" s="2" t="s">
        <v>1696</v>
      </c>
      <c r="Z279" s="4">
        <v>1</v>
      </c>
      <c r="AA279" s="4">
        <f>=ROUNDDOWN({0},0)</f>
      </c>
      <c r="AB279" s="5"/>
      <c r="AC279" s="2" t="s">
        <v>98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98</v>
      </c>
      <c r="AM279" s="4"/>
      <c r="AN279" s="4"/>
      <c r="AO279" s="7">
        <v>0</v>
      </c>
      <c r="AP279" s="4"/>
      <c r="AQ279" s="8"/>
      <c r="AR279" s="4">
        <v>1</v>
      </c>
      <c r="AS279" s="8">
        <v>231.01</v>
      </c>
      <c r="AT279" s="7">
        <v>-1</v>
      </c>
      <c r="AU279" s="7">
        <v>-1</v>
      </c>
      <c r="AV279" s="4"/>
      <c r="AW279" s="8"/>
      <c r="AX279" s="4">
        <v>1</v>
      </c>
      <c r="AY279" s="8">
        <v>231.01</v>
      </c>
      <c r="AZ279" s="7">
        <v>-1</v>
      </c>
      <c r="BA279" s="7">
        <v>-1</v>
      </c>
      <c r="BB279" s="7"/>
      <c r="BC279" s="4" t="s">
        <v>98</v>
      </c>
      <c r="BD279" s="8" t="s">
        <v>98</v>
      </c>
      <c r="BE279" s="4" t="s">
        <v>98</v>
      </c>
      <c r="BF279" s="8" t="s">
        <v>98</v>
      </c>
      <c r="BG279" s="7" t="s">
        <v>98</v>
      </c>
      <c r="BH279" s="7" t="s">
        <v>98</v>
      </c>
      <c r="BI279" s="7"/>
      <c r="BJ279" s="4"/>
      <c r="BK279" s="8"/>
      <c r="BL279" s="2" t="s">
        <v>1697</v>
      </c>
      <c r="BM279" s="7"/>
      <c r="BN279" s="7"/>
      <c r="BO279" s="4"/>
      <c r="BP279" s="8"/>
      <c r="BQ279" s="4">
        <v>1</v>
      </c>
      <c r="BR279" s="8">
        <v>231.01</v>
      </c>
      <c r="BS279" s="7">
        <v>-1</v>
      </c>
      <c r="BT279" s="7">
        <v>-1</v>
      </c>
      <c r="BU279" s="2" t="s">
        <v>107</v>
      </c>
      <c r="BV279" s="2" t="s">
        <v>1355</v>
      </c>
      <c r="BW279" s="2" t="s">
        <v>497</v>
      </c>
      <c r="BX279" s="2" t="s">
        <v>368</v>
      </c>
      <c r="BY279" s="2" t="s">
        <v>110</v>
      </c>
      <c r="BZ279" s="2" t="s">
        <v>98</v>
      </c>
    </row>
    <row r="280">
      <c r="A280" s="2" t="s">
        <v>1698</v>
      </c>
      <c r="B280" s="2" t="s">
        <v>1345</v>
      </c>
      <c r="C280" s="2" t="s">
        <v>88</v>
      </c>
      <c r="D280" s="2" t="s">
        <v>1346</v>
      </c>
      <c r="E280" s="2" t="s">
        <v>1347</v>
      </c>
      <c r="F280" s="2" t="s">
        <v>1687</v>
      </c>
      <c r="G280" s="2" t="s">
        <v>1688</v>
      </c>
      <c r="H280" s="2" t="s">
        <v>1689</v>
      </c>
      <c r="I280" s="2" t="s">
        <v>1690</v>
      </c>
      <c r="J280" s="2" t="s">
        <v>93</v>
      </c>
      <c r="K280" s="2" t="s">
        <v>967</v>
      </c>
      <c r="L280" s="3">
        <v>204.25</v>
      </c>
      <c r="M280" s="3">
        <v>214.46</v>
      </c>
      <c r="N280" s="3">
        <v>429</v>
      </c>
      <c r="O280" s="2" t="s">
        <v>95</v>
      </c>
      <c r="P280" s="2" t="s">
        <v>134</v>
      </c>
      <c r="Q280" s="2" t="s">
        <v>97</v>
      </c>
      <c r="R280" s="2" t="s">
        <v>98</v>
      </c>
      <c r="S280" s="2" t="s">
        <v>1699</v>
      </c>
      <c r="T280" s="2" t="s">
        <v>98</v>
      </c>
      <c r="U280" s="2" t="s">
        <v>98</v>
      </c>
      <c r="V280" s="2" t="s">
        <v>439</v>
      </c>
      <c r="W280" s="2" t="s">
        <v>103</v>
      </c>
      <c r="X280" s="2" t="s">
        <v>98</v>
      </c>
      <c r="Y280" s="2" t="s">
        <v>366</v>
      </c>
      <c r="Z280" s="4">
        <v>131</v>
      </c>
      <c r="AA280" s="4">
        <f>=ROUNDDOWN(43.6666666666667,0)</f>
      </c>
      <c r="AB280" s="5">
        <v>3</v>
      </c>
      <c r="AC280" s="2" t="s">
        <v>1700</v>
      </c>
      <c r="AD280" s="4">
        <v>82</v>
      </c>
      <c r="AE280" s="4">
        <v>288</v>
      </c>
      <c r="AF280" s="6">
        <v>74</v>
      </c>
      <c r="AG280" s="6">
        <v>60</v>
      </c>
      <c r="AH280" s="7">
        <v>1</v>
      </c>
      <c r="AI280" s="4"/>
      <c r="AJ280" s="4">
        <f>=ROUNDDOWN({0},0)</f>
      </c>
      <c r="AK280" s="5"/>
      <c r="AL280" s="2" t="s">
        <v>98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98</v>
      </c>
      <c r="BD280" s="8" t="s">
        <v>98</v>
      </c>
      <c r="BE280" s="4" t="s">
        <v>98</v>
      </c>
      <c r="BF280" s="8" t="s">
        <v>98</v>
      </c>
      <c r="BG280" s="7" t="s">
        <v>98</v>
      </c>
      <c r="BH280" s="7" t="s">
        <v>98</v>
      </c>
      <c r="BI280" s="7"/>
      <c r="BJ280" s="4">
        <v>8</v>
      </c>
      <c r="BK280" s="8">
        <v>1690.91</v>
      </c>
      <c r="BL280" s="2" t="s">
        <v>1701</v>
      </c>
      <c r="BM280" s="7"/>
      <c r="BN280" s="7"/>
      <c r="BO280" s="4"/>
      <c r="BP280" s="8"/>
      <c r="BQ280" s="4"/>
      <c r="BR280" s="8"/>
      <c r="BS280" s="7"/>
      <c r="BT280" s="7"/>
      <c r="BU280" s="2" t="s">
        <v>107</v>
      </c>
      <c r="BV280" s="2" t="s">
        <v>1355</v>
      </c>
      <c r="BW280" s="2" t="s">
        <v>1356</v>
      </c>
      <c r="BX280" s="2" t="s">
        <v>1702</v>
      </c>
      <c r="BY280" s="2" t="s">
        <v>110</v>
      </c>
      <c r="BZ280" s="2" t="s">
        <v>98</v>
      </c>
    </row>
    <row r="281">
      <c r="A281" s="2" t="s">
        <v>1703</v>
      </c>
      <c r="B281" s="2" t="s">
        <v>1345</v>
      </c>
      <c r="C281" s="2" t="s">
        <v>88</v>
      </c>
      <c r="D281" s="2" t="s">
        <v>1346</v>
      </c>
      <c r="E281" s="2" t="s">
        <v>1347</v>
      </c>
      <c r="F281" s="2" t="s">
        <v>1687</v>
      </c>
      <c r="G281" s="2" t="s">
        <v>1688</v>
      </c>
      <c r="H281" s="2" t="s">
        <v>1689</v>
      </c>
      <c r="I281" s="2" t="s">
        <v>1690</v>
      </c>
      <c r="J281" s="2" t="s">
        <v>93</v>
      </c>
      <c r="K281" s="2" t="s">
        <v>622</v>
      </c>
      <c r="L281" s="3">
        <v>204.25</v>
      </c>
      <c r="M281" s="3">
        <v>214.46</v>
      </c>
      <c r="N281" s="3">
        <v>429</v>
      </c>
      <c r="O281" s="2" t="s">
        <v>95</v>
      </c>
      <c r="P281" s="2" t="s">
        <v>134</v>
      </c>
      <c r="Q281" s="2" t="s">
        <v>97</v>
      </c>
      <c r="R281" s="2" t="s">
        <v>98</v>
      </c>
      <c r="S281" s="2" t="s">
        <v>1704</v>
      </c>
      <c r="T281" s="2" t="s">
        <v>98</v>
      </c>
      <c r="U281" s="2" t="s">
        <v>98</v>
      </c>
      <c r="V281" s="2" t="s">
        <v>439</v>
      </c>
      <c r="W281" s="2" t="s">
        <v>103</v>
      </c>
      <c r="X281" s="2" t="s">
        <v>98</v>
      </c>
      <c r="Y281" s="2" t="s">
        <v>366</v>
      </c>
      <c r="Z281" s="4">
        <v>61</v>
      </c>
      <c r="AA281" s="4">
        <f>=ROUNDDOWN(12.2,0)</f>
      </c>
      <c r="AB281" s="5">
        <v>5</v>
      </c>
      <c r="AC281" s="2" t="s">
        <v>1651</v>
      </c>
      <c r="AD281" s="4">
        <v>100</v>
      </c>
      <c r="AE281" s="4">
        <v>182</v>
      </c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98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 t="s">
        <v>98</v>
      </c>
      <c r="BD281" s="8" t="s">
        <v>98</v>
      </c>
      <c r="BE281" s="4" t="s">
        <v>98</v>
      </c>
      <c r="BF281" s="8" t="s">
        <v>98</v>
      </c>
      <c r="BG281" s="7" t="s">
        <v>98</v>
      </c>
      <c r="BH281" s="7" t="s">
        <v>98</v>
      </c>
      <c r="BI281" s="7"/>
      <c r="BJ281" s="4">
        <v>1</v>
      </c>
      <c r="BK281" s="8">
        <v>208.58</v>
      </c>
      <c r="BL281" s="2" t="s">
        <v>1500</v>
      </c>
      <c r="BM281" s="7"/>
      <c r="BN281" s="7"/>
      <c r="BO281" s="4"/>
      <c r="BP281" s="8"/>
      <c r="BQ281" s="4"/>
      <c r="BR281" s="8"/>
      <c r="BS281" s="7"/>
      <c r="BT281" s="7"/>
      <c r="BU281" s="2" t="s">
        <v>107</v>
      </c>
      <c r="BV281" s="2" t="s">
        <v>1355</v>
      </c>
      <c r="BW281" s="2" t="s">
        <v>1356</v>
      </c>
      <c r="BX281" s="2" t="s">
        <v>1705</v>
      </c>
      <c r="BY281" s="2" t="s">
        <v>110</v>
      </c>
      <c r="BZ281" s="2" t="s">
        <v>98</v>
      </c>
    </row>
    <row r="282">
      <c r="A282" s="2" t="s">
        <v>1706</v>
      </c>
      <c r="B282" s="2" t="s">
        <v>1345</v>
      </c>
      <c r="C282" s="2" t="s">
        <v>88</v>
      </c>
      <c r="D282" s="2" t="s">
        <v>1346</v>
      </c>
      <c r="E282" s="2" t="s">
        <v>1347</v>
      </c>
      <c r="F282" s="2" t="s">
        <v>1707</v>
      </c>
      <c r="G282" s="2" t="s">
        <v>1708</v>
      </c>
      <c r="H282" s="2" t="s">
        <v>1709</v>
      </c>
      <c r="I282" s="2" t="s">
        <v>1710</v>
      </c>
      <c r="J282" s="2" t="s">
        <v>93</v>
      </c>
      <c r="K282" s="2" t="s">
        <v>236</v>
      </c>
      <c r="L282" s="3">
        <v>135</v>
      </c>
      <c r="M282" s="3">
        <v>141.75</v>
      </c>
      <c r="N282" s="3">
        <v>289</v>
      </c>
      <c r="O282" s="2" t="s">
        <v>95</v>
      </c>
      <c r="P282" s="2" t="s">
        <v>142</v>
      </c>
      <c r="Q282" s="2" t="s">
        <v>97</v>
      </c>
      <c r="R282" s="2" t="s">
        <v>98</v>
      </c>
      <c r="S282" s="2" t="s">
        <v>1711</v>
      </c>
      <c r="T282" s="2" t="s">
        <v>98</v>
      </c>
      <c r="U282" s="2" t="s">
        <v>98</v>
      </c>
      <c r="V282" s="2" t="s">
        <v>1360</v>
      </c>
      <c r="W282" s="2" t="s">
        <v>102</v>
      </c>
      <c r="X282" s="2" t="s">
        <v>98</v>
      </c>
      <c r="Y282" s="2" t="s">
        <v>366</v>
      </c>
      <c r="Z282" s="4">
        <v>160</v>
      </c>
      <c r="AA282" s="4">
        <f>=ROUNDDOWN(17.7777777777778,0)</f>
      </c>
      <c r="AB282" s="5">
        <v>9</v>
      </c>
      <c r="AC282" s="2" t="s">
        <v>98</v>
      </c>
      <c r="AD282" s="4"/>
      <c r="AE282" s="4"/>
      <c r="AF282" s="6">
        <v>74</v>
      </c>
      <c r="AG282" s="6">
        <v>60</v>
      </c>
      <c r="AH282" s="7">
        <v>1</v>
      </c>
      <c r="AI282" s="4"/>
      <c r="AJ282" s="4">
        <f>=ROUNDDOWN({0},0)</f>
      </c>
      <c r="AK282" s="5"/>
      <c r="AL282" s="2" t="s">
        <v>98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>
        <v>6</v>
      </c>
      <c r="BK282" s="8">
        <v>1005.32</v>
      </c>
      <c r="BL282" s="2" t="s">
        <v>1712</v>
      </c>
      <c r="BM282" s="7"/>
      <c r="BN282" s="7"/>
      <c r="BO282" s="4"/>
      <c r="BP282" s="8"/>
      <c r="BQ282" s="4"/>
      <c r="BR282" s="8"/>
      <c r="BS282" s="7"/>
      <c r="BT282" s="7"/>
      <c r="BU282" s="2" t="s">
        <v>107</v>
      </c>
      <c r="BV282" s="2" t="s">
        <v>1355</v>
      </c>
      <c r="BW282" s="2" t="s">
        <v>1356</v>
      </c>
      <c r="BX282" s="2" t="s">
        <v>1417</v>
      </c>
      <c r="BY282" s="2" t="s">
        <v>110</v>
      </c>
      <c r="BZ282" s="2" t="s">
        <v>98</v>
      </c>
    </row>
    <row r="283">
      <c r="A283" s="2" t="s">
        <v>1713</v>
      </c>
      <c r="B283" s="2" t="s">
        <v>1345</v>
      </c>
      <c r="C283" s="2" t="s">
        <v>88</v>
      </c>
      <c r="D283" s="2" t="s">
        <v>1346</v>
      </c>
      <c r="E283" s="2" t="s">
        <v>1347</v>
      </c>
      <c r="F283" s="2" t="s">
        <v>1714</v>
      </c>
      <c r="G283" s="2" t="s">
        <v>1715</v>
      </c>
      <c r="H283" s="2" t="s">
        <v>1716</v>
      </c>
      <c r="I283" s="2" t="s">
        <v>1717</v>
      </c>
      <c r="J283" s="2" t="s">
        <v>93</v>
      </c>
      <c r="K283" s="2" t="s">
        <v>277</v>
      </c>
      <c r="L283" s="3">
        <v>158.36</v>
      </c>
      <c r="M283" s="3">
        <v>166.28</v>
      </c>
      <c r="N283" s="3">
        <v>329</v>
      </c>
      <c r="O283" s="2" t="s">
        <v>95</v>
      </c>
      <c r="P283" s="2" t="s">
        <v>134</v>
      </c>
      <c r="Q283" s="2" t="s">
        <v>97</v>
      </c>
      <c r="R283" s="2" t="s">
        <v>98</v>
      </c>
      <c r="S283" s="2" t="s">
        <v>1718</v>
      </c>
      <c r="T283" s="2" t="s">
        <v>98</v>
      </c>
      <c r="U283" s="2" t="s">
        <v>98</v>
      </c>
      <c r="V283" s="2" t="s">
        <v>439</v>
      </c>
      <c r="W283" s="2" t="s">
        <v>102</v>
      </c>
      <c r="X283" s="2" t="s">
        <v>98</v>
      </c>
      <c r="Y283" s="2" t="s">
        <v>366</v>
      </c>
      <c r="Z283" s="4">
        <v>279</v>
      </c>
      <c r="AA283" s="4">
        <f>=ROUNDDOWN(56.9387755102041,0)</f>
      </c>
      <c r="AB283" s="5">
        <v>4.9</v>
      </c>
      <c r="AC283" s="2" t="s">
        <v>98</v>
      </c>
      <c r="AD283" s="4"/>
      <c r="AE283" s="4"/>
      <c r="AF283" s="6">
        <v>65</v>
      </c>
      <c r="AG283" s="6">
        <v>48</v>
      </c>
      <c r="AH283" s="7">
        <v>1</v>
      </c>
      <c r="AI283" s="4"/>
      <c r="AJ283" s="4">
        <f>=ROUNDDOWN({0},0)</f>
      </c>
      <c r="AK283" s="5"/>
      <c r="AL283" s="2" t="s">
        <v>98</v>
      </c>
      <c r="AM283" s="4"/>
      <c r="AN283" s="4"/>
      <c r="AO283" s="7">
        <v>0</v>
      </c>
      <c r="AP283" s="4"/>
      <c r="AQ283" s="8"/>
      <c r="AR283" s="4">
        <v>2</v>
      </c>
      <c r="AS283" s="8">
        <v>300.66</v>
      </c>
      <c r="AT283" s="7">
        <v>-1</v>
      </c>
      <c r="AU283" s="7">
        <v>-1</v>
      </c>
      <c r="AV283" s="4"/>
      <c r="AW283" s="8"/>
      <c r="AX283" s="4">
        <v>2</v>
      </c>
      <c r="AY283" s="8">
        <v>300.66</v>
      </c>
      <c r="AZ283" s="7">
        <v>-1</v>
      </c>
      <c r="BA283" s="7">
        <v>-1</v>
      </c>
      <c r="BB283" s="7"/>
      <c r="BC283" s="4" t="s">
        <v>98</v>
      </c>
      <c r="BD283" s="8" t="s">
        <v>98</v>
      </c>
      <c r="BE283" s="4">
        <v>6</v>
      </c>
      <c r="BF283" s="8">
        <v>901.98</v>
      </c>
      <c r="BG283" s="7" t="s">
        <v>98</v>
      </c>
      <c r="BH283" s="7" t="s">
        <v>98</v>
      </c>
      <c r="BI283" s="7"/>
      <c r="BJ283" s="4">
        <v>11</v>
      </c>
      <c r="BK283" s="8">
        <v>1798.57</v>
      </c>
      <c r="BL283" s="2" t="s">
        <v>1719</v>
      </c>
      <c r="BM283" s="7"/>
      <c r="BN283" s="7"/>
      <c r="BO283" s="4"/>
      <c r="BP283" s="8"/>
      <c r="BQ283" s="4">
        <v>2</v>
      </c>
      <c r="BR283" s="8">
        <v>300.66</v>
      </c>
      <c r="BS283" s="7">
        <v>-1</v>
      </c>
      <c r="BT283" s="7">
        <v>-1</v>
      </c>
      <c r="BU283" s="2" t="s">
        <v>107</v>
      </c>
      <c r="BV283" s="2" t="s">
        <v>1355</v>
      </c>
      <c r="BW283" s="2" t="s">
        <v>1356</v>
      </c>
      <c r="BX283" s="2" t="s">
        <v>1484</v>
      </c>
      <c r="BY283" s="2" t="s">
        <v>110</v>
      </c>
      <c r="BZ283" s="2" t="s">
        <v>98</v>
      </c>
    </row>
    <row r="284">
      <c r="A284" s="2" t="s">
        <v>1720</v>
      </c>
      <c r="B284" s="2" t="s">
        <v>1345</v>
      </c>
      <c r="C284" s="2" t="s">
        <v>88</v>
      </c>
      <c r="D284" s="2" t="s">
        <v>1346</v>
      </c>
      <c r="E284" s="2" t="s">
        <v>1347</v>
      </c>
      <c r="F284" s="2" t="s">
        <v>1714</v>
      </c>
      <c r="G284" s="2" t="s">
        <v>1715</v>
      </c>
      <c r="H284" s="2" t="s">
        <v>1716</v>
      </c>
      <c r="I284" s="2" t="s">
        <v>1717</v>
      </c>
      <c r="J284" s="2" t="s">
        <v>93</v>
      </c>
      <c r="K284" s="2" t="s">
        <v>133</v>
      </c>
      <c r="L284" s="3">
        <v>158.36</v>
      </c>
      <c r="M284" s="3">
        <v>166.28</v>
      </c>
      <c r="N284" s="3">
        <v>329</v>
      </c>
      <c r="O284" s="2" t="s">
        <v>95</v>
      </c>
      <c r="P284" s="2" t="s">
        <v>134</v>
      </c>
      <c r="Q284" s="2" t="s">
        <v>97</v>
      </c>
      <c r="R284" s="2" t="s">
        <v>98</v>
      </c>
      <c r="S284" s="2" t="s">
        <v>1721</v>
      </c>
      <c r="T284" s="2" t="s">
        <v>98</v>
      </c>
      <c r="U284" s="2" t="s">
        <v>98</v>
      </c>
      <c r="V284" s="2" t="s">
        <v>439</v>
      </c>
      <c r="W284" s="2" t="s">
        <v>102</v>
      </c>
      <c r="X284" s="2" t="s">
        <v>98</v>
      </c>
      <c r="Y284" s="2" t="s">
        <v>366</v>
      </c>
      <c r="Z284" s="4">
        <v>191</v>
      </c>
      <c r="AA284" s="4">
        <f>=ROUNDDOWN(86.8181818181818,0)</f>
      </c>
      <c r="AB284" s="5">
        <v>2.2</v>
      </c>
      <c r="AC284" s="2" t="s">
        <v>98</v>
      </c>
      <c r="AD284" s="4"/>
      <c r="AE284" s="4"/>
      <c r="AF284" s="6">
        <v>65</v>
      </c>
      <c r="AG284" s="6">
        <v>48</v>
      </c>
      <c r="AH284" s="7">
        <v>1</v>
      </c>
      <c r="AI284" s="4"/>
      <c r="AJ284" s="4">
        <f>=ROUNDDOWN({0},0)</f>
      </c>
      <c r="AK284" s="5"/>
      <c r="AL284" s="2" t="s">
        <v>98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98</v>
      </c>
      <c r="BD284" s="8" t="s">
        <v>98</v>
      </c>
      <c r="BE284" s="4" t="s">
        <v>98</v>
      </c>
      <c r="BF284" s="8" t="s">
        <v>98</v>
      </c>
      <c r="BG284" s="7" t="s">
        <v>98</v>
      </c>
      <c r="BH284" s="7" t="s">
        <v>98</v>
      </c>
      <c r="BI284" s="7"/>
      <c r="BJ284" s="4">
        <v>3</v>
      </c>
      <c r="BK284" s="8">
        <v>470.96</v>
      </c>
      <c r="BL284" s="2" t="s">
        <v>1722</v>
      </c>
      <c r="BM284" s="7"/>
      <c r="BN284" s="7"/>
      <c r="BO284" s="4"/>
      <c r="BP284" s="8"/>
      <c r="BQ284" s="4"/>
      <c r="BR284" s="8"/>
      <c r="BS284" s="7"/>
      <c r="BT284" s="7"/>
      <c r="BU284" s="2" t="s">
        <v>107</v>
      </c>
      <c r="BV284" s="2" t="s">
        <v>1355</v>
      </c>
      <c r="BW284" s="2" t="s">
        <v>1356</v>
      </c>
      <c r="BX284" s="2" t="s">
        <v>1609</v>
      </c>
      <c r="BY284" s="2" t="s">
        <v>110</v>
      </c>
      <c r="BZ284" s="2" t="s">
        <v>98</v>
      </c>
    </row>
    <row r="285">
      <c r="A285" s="2" t="s">
        <v>1723</v>
      </c>
      <c r="B285" s="2" t="s">
        <v>1345</v>
      </c>
      <c r="C285" s="2" t="s">
        <v>88</v>
      </c>
      <c r="D285" s="2" t="s">
        <v>1346</v>
      </c>
      <c r="E285" s="2" t="s">
        <v>1347</v>
      </c>
      <c r="F285" s="2" t="s">
        <v>1714</v>
      </c>
      <c r="G285" s="2" t="s">
        <v>1715</v>
      </c>
      <c r="H285" s="2" t="s">
        <v>1716</v>
      </c>
      <c r="I285" s="2" t="s">
        <v>1717</v>
      </c>
      <c r="J285" s="2" t="s">
        <v>93</v>
      </c>
      <c r="K285" s="2" t="s">
        <v>967</v>
      </c>
      <c r="L285" s="3">
        <v>158.36</v>
      </c>
      <c r="M285" s="3">
        <v>166.28</v>
      </c>
      <c r="N285" s="3">
        <v>329</v>
      </c>
      <c r="O285" s="2" t="s">
        <v>155</v>
      </c>
      <c r="P285" s="2" t="s">
        <v>115</v>
      </c>
      <c r="Q285" s="2" t="s">
        <v>97</v>
      </c>
      <c r="R285" s="2" t="s">
        <v>98</v>
      </c>
      <c r="S285" s="2" t="s">
        <v>1724</v>
      </c>
      <c r="T285" s="2" t="s">
        <v>98</v>
      </c>
      <c r="U285" s="2" t="s">
        <v>98</v>
      </c>
      <c r="V285" s="2" t="s">
        <v>439</v>
      </c>
      <c r="W285" s="2" t="s">
        <v>102</v>
      </c>
      <c r="X285" s="2" t="s">
        <v>98</v>
      </c>
      <c r="Y285" s="2" t="s">
        <v>366</v>
      </c>
      <c r="Z285" s="4"/>
      <c r="AA285" s="4">
        <f>=ROUNDDOWN({0},0)</f>
      </c>
      <c r="AB285" s="5"/>
      <c r="AC285" s="2" t="s">
        <v>98</v>
      </c>
      <c r="AD285" s="4"/>
      <c r="AE285" s="4"/>
      <c r="AF285" s="6">
        <v>67</v>
      </c>
      <c r="AG285" s="6">
        <v>50</v>
      </c>
      <c r="AH285" s="7">
        <v>0</v>
      </c>
      <c r="AI285" s="4"/>
      <c r="AJ285" s="4">
        <f>=ROUNDDOWN({0},0)</f>
      </c>
      <c r="AK285" s="5"/>
      <c r="AL285" s="2" t="s">
        <v>98</v>
      </c>
      <c r="AM285" s="4"/>
      <c r="AN285" s="4"/>
      <c r="AO285" s="7">
        <v>0</v>
      </c>
      <c r="AP285" s="4"/>
      <c r="AQ285" s="8"/>
      <c r="AR285" s="4">
        <v>2</v>
      </c>
      <c r="AS285" s="8">
        <v>300.66</v>
      </c>
      <c r="AT285" s="7">
        <v>-1</v>
      </c>
      <c r="AU285" s="7">
        <v>-1</v>
      </c>
      <c r="AV285" s="4"/>
      <c r="AW285" s="8"/>
      <c r="AX285" s="4">
        <v>2</v>
      </c>
      <c r="AY285" s="8">
        <v>300.66</v>
      </c>
      <c r="AZ285" s="7">
        <v>-1</v>
      </c>
      <c r="BA285" s="7">
        <v>-1</v>
      </c>
      <c r="BB285" s="7"/>
      <c r="BC285" s="4" t="s">
        <v>98</v>
      </c>
      <c r="BD285" s="8" t="s">
        <v>98</v>
      </c>
      <c r="BE285" s="4" t="s">
        <v>98</v>
      </c>
      <c r="BF285" s="8" t="s">
        <v>98</v>
      </c>
      <c r="BG285" s="7" t="s">
        <v>98</v>
      </c>
      <c r="BH285" s="7" t="s">
        <v>98</v>
      </c>
      <c r="BI285" s="7"/>
      <c r="BJ285" s="4"/>
      <c r="BK285" s="8"/>
      <c r="BL285" s="2" t="s">
        <v>1725</v>
      </c>
      <c r="BM285" s="7"/>
      <c r="BN285" s="7"/>
      <c r="BO285" s="4"/>
      <c r="BP285" s="8"/>
      <c r="BQ285" s="4">
        <v>2</v>
      </c>
      <c r="BR285" s="8">
        <v>300.66</v>
      </c>
      <c r="BS285" s="7">
        <v>-1</v>
      </c>
      <c r="BT285" s="7">
        <v>-1</v>
      </c>
      <c r="BU285" s="2" t="s">
        <v>107</v>
      </c>
      <c r="BV285" s="2" t="s">
        <v>1355</v>
      </c>
      <c r="BW285" s="2" t="s">
        <v>1356</v>
      </c>
      <c r="BX285" s="2" t="s">
        <v>1417</v>
      </c>
      <c r="BY285" s="2" t="s">
        <v>110</v>
      </c>
      <c r="BZ285" s="2" t="s">
        <v>98</v>
      </c>
    </row>
    <row r="286">
      <c r="A286" s="2" t="s">
        <v>1726</v>
      </c>
      <c r="B286" s="2" t="s">
        <v>1345</v>
      </c>
      <c r="C286" s="2" t="s">
        <v>88</v>
      </c>
      <c r="D286" s="2" t="s">
        <v>1346</v>
      </c>
      <c r="E286" s="2" t="s">
        <v>1347</v>
      </c>
      <c r="F286" s="2" t="s">
        <v>1714</v>
      </c>
      <c r="G286" s="2" t="s">
        <v>1715</v>
      </c>
      <c r="H286" s="2" t="s">
        <v>1716</v>
      </c>
      <c r="I286" s="2" t="s">
        <v>1717</v>
      </c>
      <c r="J286" s="2" t="s">
        <v>93</v>
      </c>
      <c r="K286" s="2" t="s">
        <v>1727</v>
      </c>
      <c r="L286" s="3">
        <v>158.36</v>
      </c>
      <c r="M286" s="3">
        <v>166.28</v>
      </c>
      <c r="N286" s="3">
        <v>329</v>
      </c>
      <c r="O286" s="2" t="s">
        <v>95</v>
      </c>
      <c r="P286" s="2" t="s">
        <v>134</v>
      </c>
      <c r="Q286" s="2" t="s">
        <v>97</v>
      </c>
      <c r="R286" s="2" t="s">
        <v>98</v>
      </c>
      <c r="S286" s="2" t="s">
        <v>1728</v>
      </c>
      <c r="T286" s="2" t="s">
        <v>98</v>
      </c>
      <c r="U286" s="2" t="s">
        <v>98</v>
      </c>
      <c r="V286" s="2" t="s">
        <v>439</v>
      </c>
      <c r="W286" s="2" t="s">
        <v>102</v>
      </c>
      <c r="X286" s="2" t="s">
        <v>98</v>
      </c>
      <c r="Y286" s="2" t="s">
        <v>366</v>
      </c>
      <c r="Z286" s="4">
        <v>105</v>
      </c>
      <c r="AA286" s="4">
        <f>=ROUNDDOWN(30.8823529411765,0)</f>
      </c>
      <c r="AB286" s="5">
        <v>3.4</v>
      </c>
      <c r="AC286" s="2" t="s">
        <v>1729</v>
      </c>
      <c r="AD286" s="4">
        <v>48</v>
      </c>
      <c r="AE286" s="4">
        <v>138</v>
      </c>
      <c r="AF286" s="6">
        <v>65</v>
      </c>
      <c r="AG286" s="6">
        <v>48</v>
      </c>
      <c r="AH286" s="7">
        <v>1</v>
      </c>
      <c r="AI286" s="4"/>
      <c r="AJ286" s="4">
        <f>=ROUNDDOWN({0},0)</f>
      </c>
      <c r="AK286" s="5"/>
      <c r="AL286" s="2" t="s">
        <v>98</v>
      </c>
      <c r="AM286" s="4"/>
      <c r="AN286" s="4"/>
      <c r="AO286" s="7">
        <v>0</v>
      </c>
      <c r="AP286" s="4"/>
      <c r="AQ286" s="8"/>
      <c r="AR286" s="4">
        <v>2</v>
      </c>
      <c r="AS286" s="8">
        <v>300.66</v>
      </c>
      <c r="AT286" s="7">
        <v>-1</v>
      </c>
      <c r="AU286" s="7">
        <v>-1</v>
      </c>
      <c r="AV286" s="4"/>
      <c r="AW286" s="8"/>
      <c r="AX286" s="4">
        <v>2</v>
      </c>
      <c r="AY286" s="8">
        <v>300.66</v>
      </c>
      <c r="AZ286" s="7">
        <v>-1</v>
      </c>
      <c r="BA286" s="7">
        <v>-1</v>
      </c>
      <c r="BB286" s="7"/>
      <c r="BC286" s="4" t="s">
        <v>98</v>
      </c>
      <c r="BD286" s="8" t="s">
        <v>98</v>
      </c>
      <c r="BE286" s="4" t="s">
        <v>98</v>
      </c>
      <c r="BF286" s="8" t="s">
        <v>98</v>
      </c>
      <c r="BG286" s="7" t="s">
        <v>98</v>
      </c>
      <c r="BH286" s="7" t="s">
        <v>98</v>
      </c>
      <c r="BI286" s="7"/>
      <c r="BJ286" s="4">
        <v>1</v>
      </c>
      <c r="BK286" s="8">
        <v>149.63</v>
      </c>
      <c r="BL286" s="2" t="s">
        <v>1730</v>
      </c>
      <c r="BM286" s="7"/>
      <c r="BN286" s="7"/>
      <c r="BO286" s="4"/>
      <c r="BP286" s="8"/>
      <c r="BQ286" s="4">
        <v>2</v>
      </c>
      <c r="BR286" s="8">
        <v>300.66</v>
      </c>
      <c r="BS286" s="7">
        <v>-1</v>
      </c>
      <c r="BT286" s="7">
        <v>-1</v>
      </c>
      <c r="BU286" s="2" t="s">
        <v>107</v>
      </c>
      <c r="BV286" s="2" t="s">
        <v>1355</v>
      </c>
      <c r="BW286" s="2" t="s">
        <v>1356</v>
      </c>
      <c r="BX286" s="2" t="s">
        <v>1731</v>
      </c>
      <c r="BY286" s="2" t="s">
        <v>110</v>
      </c>
      <c r="BZ286" s="2" t="s">
        <v>98</v>
      </c>
    </row>
    <row r="287">
      <c r="A287" s="2" t="s">
        <v>1732</v>
      </c>
      <c r="B287" s="2" t="s">
        <v>1345</v>
      </c>
      <c r="C287" s="2" t="s">
        <v>88</v>
      </c>
      <c r="D287" s="2" t="s">
        <v>1346</v>
      </c>
      <c r="E287" s="2" t="s">
        <v>1347</v>
      </c>
      <c r="F287" s="2" t="s">
        <v>1714</v>
      </c>
      <c r="G287" s="2" t="s">
        <v>1715</v>
      </c>
      <c r="H287" s="2" t="s">
        <v>1716</v>
      </c>
      <c r="I287" s="2" t="s">
        <v>1717</v>
      </c>
      <c r="J287" s="2" t="s">
        <v>93</v>
      </c>
      <c r="K287" s="2" t="s">
        <v>1733</v>
      </c>
      <c r="L287" s="3">
        <v>158.36</v>
      </c>
      <c r="M287" s="3">
        <v>166.28</v>
      </c>
      <c r="N287" s="3">
        <v>329</v>
      </c>
      <c r="O287" s="2" t="s">
        <v>95</v>
      </c>
      <c r="P287" s="2" t="s">
        <v>134</v>
      </c>
      <c r="Q287" s="2" t="s">
        <v>97</v>
      </c>
      <c r="R287" s="2" t="s">
        <v>98</v>
      </c>
      <c r="S287" s="2" t="s">
        <v>1734</v>
      </c>
      <c r="T287" s="2" t="s">
        <v>98</v>
      </c>
      <c r="U287" s="2" t="s">
        <v>98</v>
      </c>
      <c r="V287" s="2" t="s">
        <v>439</v>
      </c>
      <c r="W287" s="2" t="s">
        <v>102</v>
      </c>
      <c r="X287" s="2" t="s">
        <v>98</v>
      </c>
      <c r="Y287" s="2" t="s">
        <v>366</v>
      </c>
      <c r="Z287" s="4">
        <v>31</v>
      </c>
      <c r="AA287" s="4">
        <f>=ROUNDDOWN(6.2,0)</f>
      </c>
      <c r="AB287" s="5">
        <v>5</v>
      </c>
      <c r="AC287" s="2" t="s">
        <v>1729</v>
      </c>
      <c r="AD287" s="4">
        <v>21</v>
      </c>
      <c r="AE287" s="4">
        <v>149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98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 t="s">
        <v>98</v>
      </c>
      <c r="BD287" s="8" t="s">
        <v>98</v>
      </c>
      <c r="BE287" s="4" t="s">
        <v>98</v>
      </c>
      <c r="BF287" s="8" t="s">
        <v>98</v>
      </c>
      <c r="BG287" s="7" t="s">
        <v>98</v>
      </c>
      <c r="BH287" s="7" t="s">
        <v>98</v>
      </c>
      <c r="BI287" s="7"/>
      <c r="BJ287" s="4">
        <v>3</v>
      </c>
      <c r="BK287" s="8">
        <v>453.15</v>
      </c>
      <c r="BL287" s="2" t="s">
        <v>1379</v>
      </c>
      <c r="BM287" s="7"/>
      <c r="BN287" s="7"/>
      <c r="BO287" s="4"/>
      <c r="BP287" s="8"/>
      <c r="BQ287" s="4"/>
      <c r="BR287" s="8"/>
      <c r="BS287" s="7"/>
      <c r="BT287" s="7"/>
      <c r="BU287" s="2" t="s">
        <v>107</v>
      </c>
      <c r="BV287" s="2" t="s">
        <v>1355</v>
      </c>
      <c r="BW287" s="2" t="s">
        <v>1356</v>
      </c>
      <c r="BX287" s="2" t="s">
        <v>1735</v>
      </c>
      <c r="BY287" s="2" t="s">
        <v>110</v>
      </c>
      <c r="BZ287" s="2" t="s">
        <v>98</v>
      </c>
    </row>
    <row r="288">
      <c r="A288" s="2" t="s">
        <v>1736</v>
      </c>
      <c r="B288" s="2" t="s">
        <v>1345</v>
      </c>
      <c r="C288" s="2" t="s">
        <v>88</v>
      </c>
      <c r="D288" s="2" t="s">
        <v>1346</v>
      </c>
      <c r="E288" s="2" t="s">
        <v>1347</v>
      </c>
      <c r="F288" s="2" t="s">
        <v>1737</v>
      </c>
      <c r="G288" s="2" t="s">
        <v>1738</v>
      </c>
      <c r="H288" s="2" t="s">
        <v>1739</v>
      </c>
      <c r="I288" s="2" t="s">
        <v>1522</v>
      </c>
      <c r="J288" s="2" t="s">
        <v>93</v>
      </c>
      <c r="K288" s="2" t="s">
        <v>133</v>
      </c>
      <c r="L288" s="3">
        <v>220</v>
      </c>
      <c r="M288" s="3">
        <v>231</v>
      </c>
      <c r="N288" s="3">
        <v>459</v>
      </c>
      <c r="O288" s="2" t="s">
        <v>155</v>
      </c>
      <c r="P288" s="2" t="s">
        <v>115</v>
      </c>
      <c r="Q288" s="2" t="s">
        <v>97</v>
      </c>
      <c r="R288" s="2" t="s">
        <v>98</v>
      </c>
      <c r="S288" s="2" t="s">
        <v>1740</v>
      </c>
      <c r="T288" s="2" t="s">
        <v>98</v>
      </c>
      <c r="U288" s="2" t="s">
        <v>98</v>
      </c>
      <c r="V288" s="2" t="s">
        <v>296</v>
      </c>
      <c r="W288" s="2" t="s">
        <v>314</v>
      </c>
      <c r="X288" s="2" t="s">
        <v>98</v>
      </c>
      <c r="Y288" s="2" t="s">
        <v>366</v>
      </c>
      <c r="Z288" s="4"/>
      <c r="AA288" s="4">
        <f>=ROUNDDOWN({0},0)</f>
      </c>
      <c r="AB288" s="5"/>
      <c r="AC288" s="2" t="s">
        <v>98</v>
      </c>
      <c r="AD288" s="4"/>
      <c r="AE288" s="4"/>
      <c r="AF288" s="6">
        <v>67</v>
      </c>
      <c r="AG288" s="6"/>
      <c r="AH288" s="7">
        <v>0</v>
      </c>
      <c r="AI288" s="4"/>
      <c r="AJ288" s="4">
        <f>=ROUNDDOWN({0},0)</f>
      </c>
      <c r="AK288" s="5"/>
      <c r="AL288" s="2" t="s">
        <v>98</v>
      </c>
      <c r="AM288" s="4"/>
      <c r="AN288" s="4"/>
      <c r="AO288" s="7">
        <v>0</v>
      </c>
      <c r="AP288" s="4"/>
      <c r="AQ288" s="8"/>
      <c r="AR288" s="4">
        <v>2</v>
      </c>
      <c r="AS288" s="8">
        <v>400.38</v>
      </c>
      <c r="AT288" s="7">
        <v>-1</v>
      </c>
      <c r="AU288" s="7">
        <v>-1</v>
      </c>
      <c r="AV288" s="4"/>
      <c r="AW288" s="8"/>
      <c r="AX288" s="4">
        <v>2</v>
      </c>
      <c r="AY288" s="8">
        <v>400.38</v>
      </c>
      <c r="AZ288" s="7">
        <v>-1</v>
      </c>
      <c r="BA288" s="7">
        <v>-1</v>
      </c>
      <c r="BB288" s="7"/>
      <c r="BC288" s="4"/>
      <c r="BD288" s="8"/>
      <c r="BE288" s="4">
        <v>2</v>
      </c>
      <c r="BF288" s="8">
        <v>400.38</v>
      </c>
      <c r="BG288" s="7">
        <v>-1</v>
      </c>
      <c r="BH288" s="7">
        <v>-1</v>
      </c>
      <c r="BI288" s="7"/>
      <c r="BJ288" s="4"/>
      <c r="BK288" s="8"/>
      <c r="BL288" s="2" t="s">
        <v>1741</v>
      </c>
      <c r="BM288" s="7"/>
      <c r="BN288" s="7"/>
      <c r="BO288" s="4"/>
      <c r="BP288" s="8"/>
      <c r="BQ288" s="4">
        <v>2</v>
      </c>
      <c r="BR288" s="8">
        <v>400.38</v>
      </c>
      <c r="BS288" s="7">
        <v>-1</v>
      </c>
      <c r="BT288" s="7">
        <v>-1</v>
      </c>
      <c r="BU288" s="2" t="s">
        <v>107</v>
      </c>
      <c r="BV288" s="2" t="s">
        <v>1355</v>
      </c>
      <c r="BW288" s="2" t="s">
        <v>497</v>
      </c>
      <c r="BX288" s="2" t="s">
        <v>842</v>
      </c>
      <c r="BY288" s="2" t="s">
        <v>110</v>
      </c>
      <c r="BZ288" s="2" t="s">
        <v>98</v>
      </c>
    </row>
    <row r="289">
      <c r="A289" s="2" t="s">
        <v>1742</v>
      </c>
      <c r="B289" s="2" t="s">
        <v>1345</v>
      </c>
      <c r="C289" s="2" t="s">
        <v>88</v>
      </c>
      <c r="D289" s="2" t="s">
        <v>1346</v>
      </c>
      <c r="E289" s="2" t="s">
        <v>1347</v>
      </c>
      <c r="F289" s="2" t="s">
        <v>1743</v>
      </c>
      <c r="G289" s="2" t="s">
        <v>1744</v>
      </c>
      <c r="H289" s="2" t="s">
        <v>1745</v>
      </c>
      <c r="I289" s="2" t="s">
        <v>1746</v>
      </c>
      <c r="J289" s="2" t="s">
        <v>93</v>
      </c>
      <c r="K289" s="2" t="s">
        <v>236</v>
      </c>
      <c r="L289" s="3">
        <v>147.25</v>
      </c>
      <c r="M289" s="3">
        <v>154.61</v>
      </c>
      <c r="N289" s="3">
        <v>309</v>
      </c>
      <c r="O289" s="2" t="s">
        <v>95</v>
      </c>
      <c r="P289" s="2" t="s">
        <v>134</v>
      </c>
      <c r="Q289" s="2" t="s">
        <v>97</v>
      </c>
      <c r="R289" s="2" t="s">
        <v>98</v>
      </c>
      <c r="S289" s="2" t="s">
        <v>1747</v>
      </c>
      <c r="T289" s="2" t="s">
        <v>98</v>
      </c>
      <c r="U289" s="2" t="s">
        <v>98</v>
      </c>
      <c r="V289" s="2" t="s">
        <v>339</v>
      </c>
      <c r="W289" s="2" t="s">
        <v>103</v>
      </c>
      <c r="X289" s="2" t="s">
        <v>98</v>
      </c>
      <c r="Y289" s="2" t="s">
        <v>366</v>
      </c>
      <c r="Z289" s="4">
        <v>16</v>
      </c>
      <c r="AA289" s="4">
        <f>=ROUNDDOWN(2.66666666666667,0)</f>
      </c>
      <c r="AB289" s="5">
        <v>6</v>
      </c>
      <c r="AC289" s="2" t="s">
        <v>1748</v>
      </c>
      <c r="AD289" s="4">
        <v>174</v>
      </c>
      <c r="AE289" s="4">
        <v>226</v>
      </c>
      <c r="AF289" s="6">
        <v>74</v>
      </c>
      <c r="AG289" s="6">
        <v>60</v>
      </c>
      <c r="AH289" s="7">
        <v>1</v>
      </c>
      <c r="AI289" s="4"/>
      <c r="AJ289" s="4">
        <f>=ROUNDDOWN({0},0)</f>
      </c>
      <c r="AK289" s="5"/>
      <c r="AL289" s="2" t="s">
        <v>98</v>
      </c>
      <c r="AM289" s="4"/>
      <c r="AN289" s="4"/>
      <c r="AO289" s="7">
        <v>0</v>
      </c>
      <c r="AP289" s="4"/>
      <c r="AQ289" s="8"/>
      <c r="AR289" s="4">
        <v>2</v>
      </c>
      <c r="AS289" s="8">
        <v>301.76</v>
      </c>
      <c r="AT289" s="7">
        <v>-1</v>
      </c>
      <c r="AU289" s="7">
        <v>-1</v>
      </c>
      <c r="AV289" s="4"/>
      <c r="AW289" s="8"/>
      <c r="AX289" s="4">
        <v>2</v>
      </c>
      <c r="AY289" s="8">
        <v>301.76</v>
      </c>
      <c r="AZ289" s="7">
        <v>-1</v>
      </c>
      <c r="BA289" s="7">
        <v>-1</v>
      </c>
      <c r="BB289" s="7"/>
      <c r="BC289" s="4"/>
      <c r="BD289" s="8"/>
      <c r="BE289" s="4">
        <v>2</v>
      </c>
      <c r="BF289" s="8">
        <v>301.76</v>
      </c>
      <c r="BG289" s="7">
        <v>-1</v>
      </c>
      <c r="BH289" s="7">
        <v>-1</v>
      </c>
      <c r="BI289" s="7"/>
      <c r="BJ289" s="4">
        <v>4</v>
      </c>
      <c r="BK289" s="8">
        <v>654.83</v>
      </c>
      <c r="BL289" s="2" t="s">
        <v>1749</v>
      </c>
      <c r="BM289" s="7"/>
      <c r="BN289" s="7"/>
      <c r="BO289" s="4"/>
      <c r="BP289" s="8"/>
      <c r="BQ289" s="4">
        <v>2</v>
      </c>
      <c r="BR289" s="8">
        <v>301.76</v>
      </c>
      <c r="BS289" s="7">
        <v>-1</v>
      </c>
      <c r="BT289" s="7">
        <v>-1</v>
      </c>
      <c r="BU289" s="2" t="s">
        <v>107</v>
      </c>
      <c r="BV289" s="2" t="s">
        <v>1355</v>
      </c>
      <c r="BW289" s="2" t="s">
        <v>1356</v>
      </c>
      <c r="BX289" s="2" t="s">
        <v>1750</v>
      </c>
      <c r="BY289" s="2" t="s">
        <v>110</v>
      </c>
      <c r="BZ289" s="2" t="s">
        <v>98</v>
      </c>
    </row>
    <row r="290">
      <c r="A290" s="2" t="s">
        <v>1751</v>
      </c>
      <c r="B290" s="2" t="s">
        <v>1345</v>
      </c>
      <c r="C290" s="2" t="s">
        <v>88</v>
      </c>
      <c r="D290" s="2" t="s">
        <v>1346</v>
      </c>
      <c r="E290" s="2" t="s">
        <v>1347</v>
      </c>
      <c r="F290" s="2" t="s">
        <v>1752</v>
      </c>
      <c r="G290" s="2" t="s">
        <v>1753</v>
      </c>
      <c r="H290" s="2" t="s">
        <v>1754</v>
      </c>
      <c r="I290" s="2" t="s">
        <v>1755</v>
      </c>
      <c r="J290" s="2" t="s">
        <v>93</v>
      </c>
      <c r="K290" s="2" t="s">
        <v>514</v>
      </c>
      <c r="L290" s="3">
        <v>106.2</v>
      </c>
      <c r="M290" s="3">
        <v>111.51</v>
      </c>
      <c r="N290" s="3">
        <v>229</v>
      </c>
      <c r="O290" s="2" t="s">
        <v>95</v>
      </c>
      <c r="P290" s="2" t="s">
        <v>142</v>
      </c>
      <c r="Q290" s="2" t="s">
        <v>97</v>
      </c>
      <c r="R290" s="2" t="s">
        <v>98</v>
      </c>
      <c r="S290" s="2" t="s">
        <v>1756</v>
      </c>
      <c r="T290" s="2" t="s">
        <v>98</v>
      </c>
      <c r="U290" s="2" t="s">
        <v>98</v>
      </c>
      <c r="V290" s="2" t="s">
        <v>439</v>
      </c>
      <c r="W290" s="2" t="s">
        <v>103</v>
      </c>
      <c r="X290" s="2" t="s">
        <v>98</v>
      </c>
      <c r="Y290" s="2" t="s">
        <v>366</v>
      </c>
      <c r="Z290" s="4">
        <v>55</v>
      </c>
      <c r="AA290" s="4">
        <f>=ROUNDDOWN(39.2857142857143,0)</f>
      </c>
      <c r="AB290" s="5">
        <v>1.4</v>
      </c>
      <c r="AC290" s="2" t="s">
        <v>1757</v>
      </c>
      <c r="AD290" s="4">
        <v>120</v>
      </c>
      <c r="AE290" s="4">
        <v>220</v>
      </c>
      <c r="AF290" s="6">
        <v>76</v>
      </c>
      <c r="AG290" s="6">
        <v>67</v>
      </c>
      <c r="AH290" s="7">
        <v>1</v>
      </c>
      <c r="AI290" s="4"/>
      <c r="AJ290" s="4">
        <f>=ROUNDDOWN({0},0)</f>
      </c>
      <c r="AK290" s="5"/>
      <c r="AL290" s="2" t="s">
        <v>98</v>
      </c>
      <c r="AM290" s="4"/>
      <c r="AN290" s="4"/>
      <c r="AO290" s="7">
        <v>0</v>
      </c>
      <c r="AP290" s="4"/>
      <c r="AQ290" s="8"/>
      <c r="AR290" s="4">
        <v>1</v>
      </c>
      <c r="AS290" s="8">
        <v>110.28</v>
      </c>
      <c r="AT290" s="7">
        <v>-1</v>
      </c>
      <c r="AU290" s="7">
        <v>-1</v>
      </c>
      <c r="AV290" s="4"/>
      <c r="AW290" s="8"/>
      <c r="AX290" s="4">
        <v>1</v>
      </c>
      <c r="AY290" s="8">
        <v>110.28</v>
      </c>
      <c r="AZ290" s="7">
        <v>-1</v>
      </c>
      <c r="BA290" s="7">
        <v>-1</v>
      </c>
      <c r="BB290" s="7"/>
      <c r="BC290" s="4" t="s">
        <v>98</v>
      </c>
      <c r="BD290" s="8" t="s">
        <v>98</v>
      </c>
      <c r="BE290" s="4">
        <v>2</v>
      </c>
      <c r="BF290" s="8">
        <v>220.56</v>
      </c>
      <c r="BG290" s="7" t="s">
        <v>98</v>
      </c>
      <c r="BH290" s="7" t="s">
        <v>98</v>
      </c>
      <c r="BI290" s="7"/>
      <c r="BJ290" s="4"/>
      <c r="BK290" s="8"/>
      <c r="BL290" s="2" t="s">
        <v>1758</v>
      </c>
      <c r="BM290" s="7"/>
      <c r="BN290" s="7"/>
      <c r="BO290" s="4"/>
      <c r="BP290" s="8"/>
      <c r="BQ290" s="4">
        <v>1</v>
      </c>
      <c r="BR290" s="8">
        <v>110.28</v>
      </c>
      <c r="BS290" s="7">
        <v>-1</v>
      </c>
      <c r="BT290" s="7">
        <v>-1</v>
      </c>
      <c r="BU290" s="2" t="s">
        <v>107</v>
      </c>
      <c r="BV290" s="2" t="s">
        <v>1355</v>
      </c>
      <c r="BW290" s="2" t="s">
        <v>1356</v>
      </c>
      <c r="BX290" s="2" t="s">
        <v>1759</v>
      </c>
      <c r="BY290" s="2" t="s">
        <v>110</v>
      </c>
      <c r="BZ290" s="2" t="s">
        <v>98</v>
      </c>
    </row>
    <row r="291">
      <c r="A291" s="2" t="s">
        <v>1760</v>
      </c>
      <c r="B291" s="2" t="s">
        <v>1345</v>
      </c>
      <c r="C291" s="2" t="s">
        <v>88</v>
      </c>
      <c r="D291" s="2" t="s">
        <v>1346</v>
      </c>
      <c r="E291" s="2" t="s">
        <v>1347</v>
      </c>
      <c r="F291" s="2" t="s">
        <v>1752</v>
      </c>
      <c r="G291" s="2" t="s">
        <v>1753</v>
      </c>
      <c r="H291" s="2" t="s">
        <v>1754</v>
      </c>
      <c r="I291" s="2" t="s">
        <v>1755</v>
      </c>
      <c r="J291" s="2" t="s">
        <v>93</v>
      </c>
      <c r="K291" s="2" t="s">
        <v>616</v>
      </c>
      <c r="L291" s="3">
        <v>106.2</v>
      </c>
      <c r="M291" s="3">
        <v>111.51</v>
      </c>
      <c r="N291" s="3">
        <v>229</v>
      </c>
      <c r="O291" s="2" t="s">
        <v>95</v>
      </c>
      <c r="P291" s="2" t="s">
        <v>142</v>
      </c>
      <c r="Q291" s="2" t="s">
        <v>97</v>
      </c>
      <c r="R291" s="2" t="s">
        <v>98</v>
      </c>
      <c r="S291" s="2" t="s">
        <v>1761</v>
      </c>
      <c r="T291" s="2" t="s">
        <v>98</v>
      </c>
      <c r="U291" s="2" t="s">
        <v>98</v>
      </c>
      <c r="V291" s="2" t="s">
        <v>1360</v>
      </c>
      <c r="W291" s="2" t="s">
        <v>103</v>
      </c>
      <c r="X291" s="2" t="s">
        <v>98</v>
      </c>
      <c r="Y291" s="2" t="s">
        <v>366</v>
      </c>
      <c r="Z291" s="4">
        <v>50</v>
      </c>
      <c r="AA291" s="4">
        <f>=ROUNDDOWN(10,0)</f>
      </c>
      <c r="AB291" s="5">
        <v>5</v>
      </c>
      <c r="AC291" s="2" t="s">
        <v>1757</v>
      </c>
      <c r="AD291" s="4">
        <v>110</v>
      </c>
      <c r="AE291" s="4">
        <v>210</v>
      </c>
      <c r="AF291" s="6">
        <v>76</v>
      </c>
      <c r="AG291" s="6"/>
      <c r="AH291" s="7">
        <v>1</v>
      </c>
      <c r="AI291" s="4"/>
      <c r="AJ291" s="4">
        <f>=ROUNDDOWN({0},0)</f>
      </c>
      <c r="AK291" s="5"/>
      <c r="AL291" s="2" t="s">
        <v>98</v>
      </c>
      <c r="AM291" s="4"/>
      <c r="AN291" s="4"/>
      <c r="AO291" s="7">
        <v>0</v>
      </c>
      <c r="AP291" s="4"/>
      <c r="AQ291" s="8"/>
      <c r="AR291" s="4">
        <v>1</v>
      </c>
      <c r="AS291" s="8">
        <v>110.28</v>
      </c>
      <c r="AT291" s="7">
        <v>-1</v>
      </c>
      <c r="AU291" s="7">
        <v>-1</v>
      </c>
      <c r="AV291" s="4"/>
      <c r="AW291" s="8"/>
      <c r="AX291" s="4">
        <v>1</v>
      </c>
      <c r="AY291" s="8">
        <v>110.28</v>
      </c>
      <c r="AZ291" s="7">
        <v>-1</v>
      </c>
      <c r="BA291" s="7">
        <v>-1</v>
      </c>
      <c r="BB291" s="7"/>
      <c r="BC291" s="4" t="s">
        <v>98</v>
      </c>
      <c r="BD291" s="8" t="s">
        <v>98</v>
      </c>
      <c r="BE291" s="4" t="s">
        <v>98</v>
      </c>
      <c r="BF291" s="8" t="s">
        <v>98</v>
      </c>
      <c r="BG291" s="7" t="s">
        <v>98</v>
      </c>
      <c r="BH291" s="7" t="s">
        <v>98</v>
      </c>
      <c r="BI291" s="7"/>
      <c r="BJ291" s="4"/>
      <c r="BK291" s="8"/>
      <c r="BL291" s="2" t="s">
        <v>1762</v>
      </c>
      <c r="BM291" s="7"/>
      <c r="BN291" s="7"/>
      <c r="BO291" s="4"/>
      <c r="BP291" s="8"/>
      <c r="BQ291" s="4">
        <v>1</v>
      </c>
      <c r="BR291" s="8">
        <v>110.28</v>
      </c>
      <c r="BS291" s="7">
        <v>-1</v>
      </c>
      <c r="BT291" s="7">
        <v>-1</v>
      </c>
      <c r="BU291" s="2" t="s">
        <v>107</v>
      </c>
      <c r="BV291" s="2" t="s">
        <v>1355</v>
      </c>
      <c r="BW291" s="2" t="s">
        <v>1356</v>
      </c>
      <c r="BX291" s="2" t="s">
        <v>1763</v>
      </c>
      <c r="BY291" s="2" t="s">
        <v>110</v>
      </c>
      <c r="BZ291" s="2" t="s">
        <v>98</v>
      </c>
    </row>
    <row r="292">
      <c r="A292" s="2" t="s">
        <v>1764</v>
      </c>
      <c r="B292" s="2" t="s">
        <v>1345</v>
      </c>
      <c r="C292" s="2" t="s">
        <v>88</v>
      </c>
      <c r="D292" s="2" t="s">
        <v>1346</v>
      </c>
      <c r="E292" s="2" t="s">
        <v>1347</v>
      </c>
      <c r="F292" s="2" t="s">
        <v>1765</v>
      </c>
      <c r="G292" s="2" t="s">
        <v>1766</v>
      </c>
      <c r="H292" s="2" t="s">
        <v>1767</v>
      </c>
      <c r="I292" s="2" t="s">
        <v>1768</v>
      </c>
      <c r="J292" s="2" t="s">
        <v>93</v>
      </c>
      <c r="K292" s="2" t="s">
        <v>1439</v>
      </c>
      <c r="L292" s="3">
        <v>207.9</v>
      </c>
      <c r="M292" s="3">
        <v>218.3</v>
      </c>
      <c r="N292" s="3">
        <v>439</v>
      </c>
      <c r="O292" s="2" t="s">
        <v>95</v>
      </c>
      <c r="P292" s="2" t="s">
        <v>134</v>
      </c>
      <c r="Q292" s="2" t="s">
        <v>97</v>
      </c>
      <c r="R292" s="2" t="s">
        <v>98</v>
      </c>
      <c r="S292" s="2" t="s">
        <v>1769</v>
      </c>
      <c r="T292" s="2" t="s">
        <v>98</v>
      </c>
      <c r="U292" s="2" t="s">
        <v>117</v>
      </c>
      <c r="V292" s="2" t="s">
        <v>439</v>
      </c>
      <c r="W292" s="2" t="s">
        <v>204</v>
      </c>
      <c r="X292" s="2" t="s">
        <v>98</v>
      </c>
      <c r="Y292" s="2" t="s">
        <v>1582</v>
      </c>
      <c r="Z292" s="4">
        <v>117</v>
      </c>
      <c r="AA292" s="4">
        <f>=ROUNDDOWN(16.7142857142857,0)</f>
      </c>
      <c r="AB292" s="5">
        <v>7</v>
      </c>
      <c r="AC292" s="2" t="s">
        <v>194</v>
      </c>
      <c r="AD292" s="4">
        <v>94</v>
      </c>
      <c r="AE292" s="4">
        <v>94</v>
      </c>
      <c r="AF292" s="6">
        <v>65</v>
      </c>
      <c r="AG292" s="6">
        <v>48</v>
      </c>
      <c r="AH292" s="7">
        <v>1</v>
      </c>
      <c r="AI292" s="4"/>
      <c r="AJ292" s="4">
        <f>=ROUNDDOWN({0},0)</f>
      </c>
      <c r="AK292" s="5"/>
      <c r="AL292" s="2" t="s">
        <v>98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/>
      <c r="BD292" s="8"/>
      <c r="BE292" s="4"/>
      <c r="BF292" s="8"/>
      <c r="BG292" s="7"/>
      <c r="BH292" s="7"/>
      <c r="BI292" s="7"/>
      <c r="BJ292" s="4">
        <v>1</v>
      </c>
      <c r="BK292" s="8">
        <v>194.59</v>
      </c>
      <c r="BL292" s="2" t="s">
        <v>1375</v>
      </c>
      <c r="BM292" s="7"/>
      <c r="BN292" s="7"/>
      <c r="BO292" s="4"/>
      <c r="BP292" s="8"/>
      <c r="BQ292" s="4"/>
      <c r="BR292" s="8"/>
      <c r="BS292" s="7"/>
      <c r="BT292" s="7"/>
      <c r="BU292" s="2" t="s">
        <v>107</v>
      </c>
      <c r="BV292" s="2" t="s">
        <v>1355</v>
      </c>
      <c r="BW292" s="2" t="s">
        <v>1584</v>
      </c>
      <c r="BX292" s="2" t="s">
        <v>98</v>
      </c>
      <c r="BY292" s="2" t="s">
        <v>110</v>
      </c>
      <c r="BZ292" s="2" t="s">
        <v>98</v>
      </c>
    </row>
    <row r="293">
      <c r="A293" s="2" t="s">
        <v>1770</v>
      </c>
      <c r="B293" s="2" t="s">
        <v>1345</v>
      </c>
      <c r="C293" s="2" t="s">
        <v>88</v>
      </c>
      <c r="D293" s="2" t="s">
        <v>1346</v>
      </c>
      <c r="E293" s="2" t="s">
        <v>1347</v>
      </c>
      <c r="F293" s="2" t="s">
        <v>1771</v>
      </c>
      <c r="G293" s="2" t="s">
        <v>1772</v>
      </c>
      <c r="H293" s="2" t="s">
        <v>1773</v>
      </c>
      <c r="I293" s="2" t="s">
        <v>1432</v>
      </c>
      <c r="J293" s="2" t="s">
        <v>93</v>
      </c>
      <c r="K293" s="2" t="s">
        <v>1439</v>
      </c>
      <c r="L293" s="3">
        <v>178.2</v>
      </c>
      <c r="M293" s="3">
        <v>187.11</v>
      </c>
      <c r="N293" s="3">
        <v>379</v>
      </c>
      <c r="O293" s="2" t="s">
        <v>95</v>
      </c>
      <c r="P293" s="2" t="s">
        <v>134</v>
      </c>
      <c r="Q293" s="2" t="s">
        <v>97</v>
      </c>
      <c r="R293" s="2" t="s">
        <v>98</v>
      </c>
      <c r="S293" s="2" t="s">
        <v>1774</v>
      </c>
      <c r="T293" s="2" t="s">
        <v>98</v>
      </c>
      <c r="U293" s="2" t="s">
        <v>117</v>
      </c>
      <c r="V293" s="2" t="s">
        <v>439</v>
      </c>
      <c r="W293" s="2" t="s">
        <v>103</v>
      </c>
      <c r="X293" s="2" t="s">
        <v>98</v>
      </c>
      <c r="Y293" s="2" t="s">
        <v>1775</v>
      </c>
      <c r="Z293" s="4">
        <v>91</v>
      </c>
      <c r="AA293" s="4">
        <f>=ROUNDDOWN(15.1666666666667,0)</f>
      </c>
      <c r="AB293" s="5">
        <v>6</v>
      </c>
      <c r="AC293" s="2" t="s">
        <v>214</v>
      </c>
      <c r="AD293" s="4">
        <v>80</v>
      </c>
      <c r="AE293" s="4">
        <v>80</v>
      </c>
      <c r="AF293" s="6">
        <v>65</v>
      </c>
      <c r="AG293" s="6">
        <v>48</v>
      </c>
      <c r="AH293" s="7">
        <v>1</v>
      </c>
      <c r="AI293" s="4"/>
      <c r="AJ293" s="4">
        <f>=ROUNDDOWN({0},0)</f>
      </c>
      <c r="AK293" s="5"/>
      <c r="AL293" s="2" t="s">
        <v>98</v>
      </c>
      <c r="AM293" s="4"/>
      <c r="AN293" s="4"/>
      <c r="AO293" s="7">
        <v>0</v>
      </c>
      <c r="AP293" s="4"/>
      <c r="AQ293" s="8"/>
      <c r="AR293" s="4">
        <v>2</v>
      </c>
      <c r="AS293" s="8">
        <v>347.38</v>
      </c>
      <c r="AT293" s="7">
        <v>-1</v>
      </c>
      <c r="AU293" s="7">
        <v>-1</v>
      </c>
      <c r="AV293" s="4"/>
      <c r="AW293" s="8"/>
      <c r="AX293" s="4">
        <v>2</v>
      </c>
      <c r="AY293" s="8">
        <v>347.38</v>
      </c>
      <c r="AZ293" s="7">
        <v>-1</v>
      </c>
      <c r="BA293" s="7">
        <v>-1</v>
      </c>
      <c r="BB293" s="7"/>
      <c r="BC293" s="4" t="s">
        <v>98</v>
      </c>
      <c r="BD293" s="8" t="s">
        <v>98</v>
      </c>
      <c r="BE293" s="4">
        <v>2</v>
      </c>
      <c r="BF293" s="8">
        <v>347.38</v>
      </c>
      <c r="BG293" s="7" t="s">
        <v>98</v>
      </c>
      <c r="BH293" s="7" t="s">
        <v>98</v>
      </c>
      <c r="BI293" s="7"/>
      <c r="BJ293" s="4">
        <v>1</v>
      </c>
      <c r="BK293" s="8">
        <v>213.96</v>
      </c>
      <c r="BL293" s="2" t="s">
        <v>1776</v>
      </c>
      <c r="BM293" s="7"/>
      <c r="BN293" s="7"/>
      <c r="BO293" s="4"/>
      <c r="BP293" s="8"/>
      <c r="BQ293" s="4">
        <v>2</v>
      </c>
      <c r="BR293" s="8">
        <v>347.38</v>
      </c>
      <c r="BS293" s="7">
        <v>-1</v>
      </c>
      <c r="BT293" s="7">
        <v>-1</v>
      </c>
      <c r="BU293" s="2" t="s">
        <v>107</v>
      </c>
      <c r="BV293" s="2" t="s">
        <v>1355</v>
      </c>
      <c r="BW293" s="2" t="s">
        <v>1777</v>
      </c>
      <c r="BX293" s="2" t="s">
        <v>989</v>
      </c>
      <c r="BY293" s="2" t="s">
        <v>110</v>
      </c>
      <c r="BZ293" s="2" t="s">
        <v>98</v>
      </c>
    </row>
    <row r="294">
      <c r="A294" s="2" t="s">
        <v>1778</v>
      </c>
      <c r="B294" s="2" t="s">
        <v>1345</v>
      </c>
      <c r="C294" s="2" t="s">
        <v>88</v>
      </c>
      <c r="D294" s="2" t="s">
        <v>1346</v>
      </c>
      <c r="E294" s="2" t="s">
        <v>1347</v>
      </c>
      <c r="F294" s="2" t="s">
        <v>1771</v>
      </c>
      <c r="G294" s="2" t="s">
        <v>1772</v>
      </c>
      <c r="H294" s="2" t="s">
        <v>1773</v>
      </c>
      <c r="I294" s="2" t="s">
        <v>1432</v>
      </c>
      <c r="J294" s="2" t="s">
        <v>93</v>
      </c>
      <c r="K294" s="2" t="s">
        <v>1262</v>
      </c>
      <c r="L294" s="3">
        <v>178.2</v>
      </c>
      <c r="M294" s="3">
        <v>187.11</v>
      </c>
      <c r="N294" s="3">
        <v>379</v>
      </c>
      <c r="O294" s="2" t="s">
        <v>155</v>
      </c>
      <c r="P294" s="2" t="s">
        <v>115</v>
      </c>
      <c r="Q294" s="2" t="s">
        <v>97</v>
      </c>
      <c r="R294" s="2" t="s">
        <v>98</v>
      </c>
      <c r="S294" s="2" t="s">
        <v>98</v>
      </c>
      <c r="T294" s="2" t="s">
        <v>98</v>
      </c>
      <c r="U294" s="2" t="s">
        <v>117</v>
      </c>
      <c r="V294" s="2" t="s">
        <v>439</v>
      </c>
      <c r="W294" s="2" t="s">
        <v>103</v>
      </c>
      <c r="X294" s="2" t="s">
        <v>98</v>
      </c>
      <c r="Y294" s="2" t="s">
        <v>1779</v>
      </c>
      <c r="Z294" s="4">
        <v>57</v>
      </c>
      <c r="AA294" s="4">
        <f>=ROUNDDOWN(22.8,0)</f>
      </c>
      <c r="AB294" s="5">
        <v>2.5</v>
      </c>
      <c r="AC294" s="2" t="s">
        <v>98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98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 t="s">
        <v>98</v>
      </c>
      <c r="BD294" s="8" t="s">
        <v>98</v>
      </c>
      <c r="BE294" s="4" t="s">
        <v>98</v>
      </c>
      <c r="BF294" s="8" t="s">
        <v>98</v>
      </c>
      <c r="BG294" s="7" t="s">
        <v>98</v>
      </c>
      <c r="BH294" s="7" t="s">
        <v>98</v>
      </c>
      <c r="BI294" s="7"/>
      <c r="BJ294" s="4">
        <v>1</v>
      </c>
      <c r="BK294" s="8">
        <v>164.42</v>
      </c>
      <c r="BL294" s="2" t="s">
        <v>895</v>
      </c>
      <c r="BM294" s="7"/>
      <c r="BN294" s="7"/>
      <c r="BO294" s="4"/>
      <c r="BP294" s="8"/>
      <c r="BQ294" s="4"/>
      <c r="BR294" s="8"/>
      <c r="BS294" s="7"/>
      <c r="BT294" s="7"/>
      <c r="BU294" s="2" t="s">
        <v>1376</v>
      </c>
      <c r="BV294" s="2" t="s">
        <v>95</v>
      </c>
      <c r="BW294" s="2" t="s">
        <v>98</v>
      </c>
      <c r="BX294" s="2" t="s">
        <v>98</v>
      </c>
      <c r="BY294" s="2" t="s">
        <v>110</v>
      </c>
      <c r="BZ294" s="2" t="s">
        <v>98</v>
      </c>
    </row>
    <row r="295">
      <c r="A295" s="2" t="s">
        <v>1780</v>
      </c>
      <c r="B295" s="2" t="s">
        <v>1345</v>
      </c>
      <c r="C295" s="2" t="s">
        <v>88</v>
      </c>
      <c r="D295" s="2" t="s">
        <v>1346</v>
      </c>
      <c r="E295" s="2" t="s">
        <v>1347</v>
      </c>
      <c r="F295" s="2" t="s">
        <v>1781</v>
      </c>
      <c r="G295" s="2" t="s">
        <v>1782</v>
      </c>
      <c r="H295" s="2" t="s">
        <v>1783</v>
      </c>
      <c r="I295" s="2" t="s">
        <v>1784</v>
      </c>
      <c r="J295" s="2" t="s">
        <v>93</v>
      </c>
      <c r="K295" s="2" t="s">
        <v>277</v>
      </c>
      <c r="L295" s="3">
        <v>187</v>
      </c>
      <c r="M295" s="3">
        <v>196.35</v>
      </c>
      <c r="N295" s="3">
        <v>389</v>
      </c>
      <c r="O295" s="2" t="s">
        <v>155</v>
      </c>
      <c r="P295" s="2" t="s">
        <v>115</v>
      </c>
      <c r="Q295" s="2" t="s">
        <v>97</v>
      </c>
      <c r="R295" s="2" t="s">
        <v>98</v>
      </c>
      <c r="S295" s="2" t="s">
        <v>1785</v>
      </c>
      <c r="T295" s="2" t="s">
        <v>98</v>
      </c>
      <c r="U295" s="2" t="s">
        <v>98</v>
      </c>
      <c r="V295" s="2" t="s">
        <v>439</v>
      </c>
      <c r="W295" s="2" t="s">
        <v>102</v>
      </c>
      <c r="X295" s="2" t="s">
        <v>98</v>
      </c>
      <c r="Y295" s="2" t="s">
        <v>366</v>
      </c>
      <c r="Z295" s="4">
        <v>14</v>
      </c>
      <c r="AA295" s="4">
        <f>=ROUNDDOWN(8.23529411764706,0)</f>
      </c>
      <c r="AB295" s="5">
        <v>1.7</v>
      </c>
      <c r="AC295" s="2" t="s">
        <v>98</v>
      </c>
      <c r="AD295" s="4"/>
      <c r="AE295" s="4"/>
      <c r="AF295" s="6">
        <v>67</v>
      </c>
      <c r="AG295" s="6">
        <v>50</v>
      </c>
      <c r="AH295" s="7">
        <v>1</v>
      </c>
      <c r="AI295" s="4"/>
      <c r="AJ295" s="4">
        <f>=ROUNDDOWN({0},0)</f>
      </c>
      <c r="AK295" s="5"/>
      <c r="AL295" s="2" t="s">
        <v>98</v>
      </c>
      <c r="AM295" s="4"/>
      <c r="AN295" s="4"/>
      <c r="AO295" s="7">
        <v>0</v>
      </c>
      <c r="AP295" s="4"/>
      <c r="AQ295" s="8"/>
      <c r="AR295" s="4">
        <v>1</v>
      </c>
      <c r="AS295" s="8">
        <v>170.89</v>
      </c>
      <c r="AT295" s="7">
        <v>-1</v>
      </c>
      <c r="AU295" s="7">
        <v>-1</v>
      </c>
      <c r="AV295" s="4"/>
      <c r="AW295" s="8"/>
      <c r="AX295" s="4">
        <v>1</v>
      </c>
      <c r="AY295" s="8">
        <v>170.89</v>
      </c>
      <c r="AZ295" s="7">
        <v>-1</v>
      </c>
      <c r="BA295" s="7">
        <v>-1</v>
      </c>
      <c r="BB295" s="7"/>
      <c r="BC295" s="4"/>
      <c r="BD295" s="8"/>
      <c r="BE295" s="4">
        <v>1</v>
      </c>
      <c r="BF295" s="8">
        <v>170.89</v>
      </c>
      <c r="BG295" s="7">
        <v>-1</v>
      </c>
      <c r="BH295" s="7">
        <v>-1</v>
      </c>
      <c r="BI295" s="7"/>
      <c r="BJ295" s="4"/>
      <c r="BK295" s="8"/>
      <c r="BL295" s="2" t="s">
        <v>1786</v>
      </c>
      <c r="BM295" s="7"/>
      <c r="BN295" s="7"/>
      <c r="BO295" s="4"/>
      <c r="BP295" s="8"/>
      <c r="BQ295" s="4">
        <v>1</v>
      </c>
      <c r="BR295" s="8">
        <v>170.89</v>
      </c>
      <c r="BS295" s="7">
        <v>-1</v>
      </c>
      <c r="BT295" s="7">
        <v>-1</v>
      </c>
      <c r="BU295" s="2" t="s">
        <v>107</v>
      </c>
      <c r="BV295" s="2" t="s">
        <v>1355</v>
      </c>
      <c r="BW295" s="2" t="s">
        <v>1356</v>
      </c>
      <c r="BX295" s="2" t="s">
        <v>1427</v>
      </c>
      <c r="BY295" s="2" t="s">
        <v>110</v>
      </c>
      <c r="BZ295" s="2" t="s">
        <v>98</v>
      </c>
    </row>
    <row r="296">
      <c r="A296" s="2" t="s">
        <v>1787</v>
      </c>
      <c r="B296" s="2" t="s">
        <v>1345</v>
      </c>
      <c r="C296" s="2" t="s">
        <v>88</v>
      </c>
      <c r="D296" s="2" t="s">
        <v>1346</v>
      </c>
      <c r="E296" s="2" t="s">
        <v>1347</v>
      </c>
      <c r="F296" s="2" t="s">
        <v>1788</v>
      </c>
      <c r="G296" s="2" t="s">
        <v>1789</v>
      </c>
      <c r="H296" s="2" t="s">
        <v>1790</v>
      </c>
      <c r="I296" s="2" t="s">
        <v>1690</v>
      </c>
      <c r="J296" s="2" t="s">
        <v>93</v>
      </c>
      <c r="K296" s="2" t="s">
        <v>1371</v>
      </c>
      <c r="L296" s="3">
        <v>207</v>
      </c>
      <c r="M296" s="3">
        <v>217.35</v>
      </c>
      <c r="N296" s="3">
        <v>439</v>
      </c>
      <c r="O296" s="2" t="s">
        <v>95</v>
      </c>
      <c r="P296" s="2" t="s">
        <v>134</v>
      </c>
      <c r="Q296" s="2" t="s">
        <v>97</v>
      </c>
      <c r="R296" s="2" t="s">
        <v>98</v>
      </c>
      <c r="S296" s="2" t="s">
        <v>1791</v>
      </c>
      <c r="T296" s="2" t="s">
        <v>98</v>
      </c>
      <c r="U296" s="2" t="s">
        <v>98</v>
      </c>
      <c r="V296" s="2" t="s">
        <v>439</v>
      </c>
      <c r="W296" s="2" t="s">
        <v>103</v>
      </c>
      <c r="X296" s="2" t="s">
        <v>98</v>
      </c>
      <c r="Y296" s="2" t="s">
        <v>366</v>
      </c>
      <c r="Z296" s="4">
        <v>71</v>
      </c>
      <c r="AA296" s="4">
        <f>=ROUNDDOWN(17.75,0)</f>
      </c>
      <c r="AB296" s="5">
        <v>4</v>
      </c>
      <c r="AC296" s="2" t="s">
        <v>1700</v>
      </c>
      <c r="AD296" s="4">
        <v>27</v>
      </c>
      <c r="AE296" s="4">
        <v>99</v>
      </c>
      <c r="AF296" s="6">
        <v>74</v>
      </c>
      <c r="AG296" s="6"/>
      <c r="AH296" s="7">
        <v>1</v>
      </c>
      <c r="AI296" s="4"/>
      <c r="AJ296" s="4">
        <f>=ROUNDDOWN({0},0)</f>
      </c>
      <c r="AK296" s="5"/>
      <c r="AL296" s="2" t="s">
        <v>98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 t="s">
        <v>98</v>
      </c>
      <c r="BD296" s="8" t="s">
        <v>98</v>
      </c>
      <c r="BE296" s="4" t="s">
        <v>98</v>
      </c>
      <c r="BF296" s="8" t="s">
        <v>98</v>
      </c>
      <c r="BG296" s="7" t="s">
        <v>98</v>
      </c>
      <c r="BH296" s="7" t="s">
        <v>98</v>
      </c>
      <c r="BI296" s="7"/>
      <c r="BJ296" s="4">
        <v>1</v>
      </c>
      <c r="BK296" s="8">
        <v>144.71</v>
      </c>
      <c r="BL296" s="2" t="s">
        <v>1549</v>
      </c>
      <c r="BM296" s="7"/>
      <c r="BN296" s="7"/>
      <c r="BO296" s="4"/>
      <c r="BP296" s="8"/>
      <c r="BQ296" s="4"/>
      <c r="BR296" s="8"/>
      <c r="BS296" s="7"/>
      <c r="BT296" s="7"/>
      <c r="BU296" s="2" t="s">
        <v>107</v>
      </c>
      <c r="BV296" s="2" t="s">
        <v>1355</v>
      </c>
      <c r="BW296" s="2" t="s">
        <v>1356</v>
      </c>
      <c r="BX296" s="2" t="s">
        <v>1792</v>
      </c>
      <c r="BY296" s="2" t="s">
        <v>110</v>
      </c>
      <c r="BZ296" s="2" t="s">
        <v>98</v>
      </c>
    </row>
    <row r="297">
      <c r="A297" s="2" t="s">
        <v>1793</v>
      </c>
      <c r="B297" s="2" t="s">
        <v>1345</v>
      </c>
      <c r="C297" s="2" t="s">
        <v>88</v>
      </c>
      <c r="D297" s="2" t="s">
        <v>1346</v>
      </c>
      <c r="E297" s="2" t="s">
        <v>1347</v>
      </c>
      <c r="F297" s="2" t="s">
        <v>1788</v>
      </c>
      <c r="G297" s="2" t="s">
        <v>1789</v>
      </c>
      <c r="H297" s="2" t="s">
        <v>1790</v>
      </c>
      <c r="I297" s="2" t="s">
        <v>1690</v>
      </c>
      <c r="J297" s="2" t="s">
        <v>93</v>
      </c>
      <c r="K297" s="2" t="s">
        <v>357</v>
      </c>
      <c r="L297" s="3">
        <v>207</v>
      </c>
      <c r="M297" s="3">
        <v>217.35</v>
      </c>
      <c r="N297" s="3">
        <v>439</v>
      </c>
      <c r="O297" s="2" t="s">
        <v>95</v>
      </c>
      <c r="P297" s="2" t="s">
        <v>134</v>
      </c>
      <c r="Q297" s="2" t="s">
        <v>97</v>
      </c>
      <c r="R297" s="2" t="s">
        <v>98</v>
      </c>
      <c r="S297" s="2" t="s">
        <v>1794</v>
      </c>
      <c r="T297" s="2" t="s">
        <v>98</v>
      </c>
      <c r="U297" s="2" t="s">
        <v>98</v>
      </c>
      <c r="V297" s="2" t="s">
        <v>439</v>
      </c>
      <c r="W297" s="2" t="s">
        <v>103</v>
      </c>
      <c r="X297" s="2" t="s">
        <v>98</v>
      </c>
      <c r="Y297" s="2" t="s">
        <v>366</v>
      </c>
      <c r="Z297" s="4">
        <v>107</v>
      </c>
      <c r="AA297" s="4">
        <f>=ROUNDDOWN(21.8367346938776,0)</f>
      </c>
      <c r="AB297" s="5">
        <v>4.9</v>
      </c>
      <c r="AC297" s="2" t="s">
        <v>1795</v>
      </c>
      <c r="AD297" s="4">
        <v>100</v>
      </c>
      <c r="AE297" s="4">
        <v>100</v>
      </c>
      <c r="AF297" s="6">
        <v>74</v>
      </c>
      <c r="AG297" s="6"/>
      <c r="AH297" s="7">
        <v>1</v>
      </c>
      <c r="AI297" s="4"/>
      <c r="AJ297" s="4">
        <f>=ROUNDDOWN({0},0)</f>
      </c>
      <c r="AK297" s="5"/>
      <c r="AL297" s="2" t="s">
        <v>98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 t="s">
        <v>98</v>
      </c>
      <c r="BD297" s="8" t="s">
        <v>98</v>
      </c>
      <c r="BE297" s="4" t="s">
        <v>98</v>
      </c>
      <c r="BF297" s="8" t="s">
        <v>98</v>
      </c>
      <c r="BG297" s="7" t="s">
        <v>98</v>
      </c>
      <c r="BH297" s="7" t="s">
        <v>98</v>
      </c>
      <c r="BI297" s="7"/>
      <c r="BJ297" s="4">
        <v>4</v>
      </c>
      <c r="BK297" s="8">
        <v>754.47</v>
      </c>
      <c r="BL297" s="2" t="s">
        <v>1796</v>
      </c>
      <c r="BM297" s="7"/>
      <c r="BN297" s="7"/>
      <c r="BO297" s="4"/>
      <c r="BP297" s="8"/>
      <c r="BQ297" s="4"/>
      <c r="BR297" s="8"/>
      <c r="BS297" s="7"/>
      <c r="BT297" s="7"/>
      <c r="BU297" s="2" t="s">
        <v>107</v>
      </c>
      <c r="BV297" s="2" t="s">
        <v>1355</v>
      </c>
      <c r="BW297" s="2" t="s">
        <v>1369</v>
      </c>
      <c r="BX297" s="2" t="s">
        <v>1797</v>
      </c>
      <c r="BY297" s="2" t="s">
        <v>110</v>
      </c>
      <c r="BZ297" s="2" t="s">
        <v>98</v>
      </c>
    </row>
    <row r="298">
      <c r="A298" s="2" t="s">
        <v>1798</v>
      </c>
      <c r="B298" s="2" t="s">
        <v>1345</v>
      </c>
      <c r="C298" s="2" t="s">
        <v>88</v>
      </c>
      <c r="D298" s="2" t="s">
        <v>1346</v>
      </c>
      <c r="E298" s="2" t="s">
        <v>1347</v>
      </c>
      <c r="F298" s="2" t="s">
        <v>1799</v>
      </c>
      <c r="G298" s="2" t="s">
        <v>1800</v>
      </c>
      <c r="H298" s="2" t="s">
        <v>1801</v>
      </c>
      <c r="I298" s="2" t="s">
        <v>1432</v>
      </c>
      <c r="J298" s="2" t="s">
        <v>93</v>
      </c>
      <c r="K298" s="2" t="s">
        <v>967</v>
      </c>
      <c r="L298" s="3">
        <v>210.9</v>
      </c>
      <c r="M298" s="3">
        <v>221.44</v>
      </c>
      <c r="N298" s="3">
        <v>449</v>
      </c>
      <c r="O298" s="2" t="s">
        <v>95</v>
      </c>
      <c r="P298" s="2" t="s">
        <v>115</v>
      </c>
      <c r="Q298" s="2" t="s">
        <v>97</v>
      </c>
      <c r="R298" s="2" t="s">
        <v>98</v>
      </c>
      <c r="S298" s="2" t="s">
        <v>98</v>
      </c>
      <c r="T298" s="2" t="s">
        <v>98</v>
      </c>
      <c r="U298" s="2" t="s">
        <v>117</v>
      </c>
      <c r="V298" s="2" t="s">
        <v>439</v>
      </c>
      <c r="W298" s="2" t="s">
        <v>102</v>
      </c>
      <c r="X298" s="2" t="s">
        <v>103</v>
      </c>
      <c r="Y298" s="2" t="s">
        <v>1802</v>
      </c>
      <c r="Z298" s="4">
        <v>16</v>
      </c>
      <c r="AA298" s="4">
        <f>=ROUNDDOWN(12.3076923076923,0)</f>
      </c>
      <c r="AB298" s="5">
        <v>1.3</v>
      </c>
      <c r="AC298" s="2" t="s">
        <v>98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98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/>
      <c r="BK298" s="8"/>
      <c r="BL298" s="2" t="s">
        <v>98</v>
      </c>
      <c r="BM298" s="7"/>
      <c r="BN298" s="7"/>
      <c r="BO298" s="4"/>
      <c r="BP298" s="8"/>
      <c r="BQ298" s="4"/>
      <c r="BR298" s="8"/>
      <c r="BS298" s="7"/>
      <c r="BT298" s="7"/>
      <c r="BU298" s="2" t="s">
        <v>1376</v>
      </c>
      <c r="BV298" s="2" t="s">
        <v>1355</v>
      </c>
      <c r="BW298" s="2" t="s">
        <v>98</v>
      </c>
      <c r="BX298" s="2" t="s">
        <v>98</v>
      </c>
      <c r="BY298" s="2" t="s">
        <v>110</v>
      </c>
      <c r="BZ298" s="2" t="s">
        <v>98</v>
      </c>
    </row>
    <row r="299">
      <c r="A299" s="2" t="s">
        <v>1803</v>
      </c>
      <c r="B299" s="2" t="s">
        <v>1345</v>
      </c>
      <c r="C299" s="2" t="s">
        <v>88</v>
      </c>
      <c r="D299" s="2" t="s">
        <v>1346</v>
      </c>
      <c r="E299" s="2" t="s">
        <v>1347</v>
      </c>
      <c r="F299" s="2" t="s">
        <v>1804</v>
      </c>
      <c r="G299" s="2" t="s">
        <v>1805</v>
      </c>
      <c r="H299" s="2" t="s">
        <v>1806</v>
      </c>
      <c r="I299" s="2" t="s">
        <v>1682</v>
      </c>
      <c r="J299" s="2" t="s">
        <v>93</v>
      </c>
      <c r="K299" s="2" t="s">
        <v>1807</v>
      </c>
      <c r="L299" s="3">
        <v>199.5</v>
      </c>
      <c r="M299" s="3">
        <v>209.48</v>
      </c>
      <c r="N299" s="3">
        <v>419</v>
      </c>
      <c r="O299" s="2" t="s">
        <v>95</v>
      </c>
      <c r="P299" s="2" t="s">
        <v>134</v>
      </c>
      <c r="Q299" s="2" t="s">
        <v>97</v>
      </c>
      <c r="R299" s="2" t="s">
        <v>98</v>
      </c>
      <c r="S299" s="2" t="s">
        <v>1808</v>
      </c>
      <c r="T299" s="2" t="s">
        <v>98</v>
      </c>
      <c r="U299" s="2" t="s">
        <v>98</v>
      </c>
      <c r="V299" s="2" t="s">
        <v>439</v>
      </c>
      <c r="W299" s="2" t="s">
        <v>963</v>
      </c>
      <c r="X299" s="2" t="s">
        <v>98</v>
      </c>
      <c r="Y299" s="2" t="s">
        <v>366</v>
      </c>
      <c r="Z299" s="4">
        <v>120</v>
      </c>
      <c r="AA299" s="4">
        <f>=ROUNDDOWN(12,0)</f>
      </c>
      <c r="AB299" s="5">
        <v>10</v>
      </c>
      <c r="AC299" s="2" t="s">
        <v>1457</v>
      </c>
      <c r="AD299" s="4">
        <v>106</v>
      </c>
      <c r="AE299" s="4">
        <v>270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98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 t="s">
        <v>98</v>
      </c>
      <c r="BD299" s="8" t="s">
        <v>98</v>
      </c>
      <c r="BE299" s="4" t="s">
        <v>98</v>
      </c>
      <c r="BF299" s="8" t="s">
        <v>98</v>
      </c>
      <c r="BG299" s="7" t="s">
        <v>98</v>
      </c>
      <c r="BH299" s="7" t="s">
        <v>98</v>
      </c>
      <c r="BI299" s="7"/>
      <c r="BJ299" s="4">
        <v>6</v>
      </c>
      <c r="BK299" s="8">
        <v>1147.75</v>
      </c>
      <c r="BL299" s="2" t="s">
        <v>1796</v>
      </c>
      <c r="BM299" s="7"/>
      <c r="BN299" s="7"/>
      <c r="BO299" s="4"/>
      <c r="BP299" s="8"/>
      <c r="BQ299" s="4"/>
      <c r="BR299" s="8"/>
      <c r="BS299" s="7"/>
      <c r="BT299" s="7"/>
      <c r="BU299" s="2" t="s">
        <v>107</v>
      </c>
      <c r="BV299" s="2" t="s">
        <v>1355</v>
      </c>
      <c r="BW299" s="2" t="s">
        <v>1356</v>
      </c>
      <c r="BX299" s="2" t="s">
        <v>1809</v>
      </c>
      <c r="BY299" s="2" t="s">
        <v>110</v>
      </c>
      <c r="BZ299" s="2" t="s">
        <v>98</v>
      </c>
    </row>
    <row r="300">
      <c r="A300" s="2" t="s">
        <v>1810</v>
      </c>
      <c r="B300" s="2" t="s">
        <v>1345</v>
      </c>
      <c r="C300" s="2" t="s">
        <v>88</v>
      </c>
      <c r="D300" s="2" t="s">
        <v>1346</v>
      </c>
      <c r="E300" s="2" t="s">
        <v>1347</v>
      </c>
      <c r="F300" s="2" t="s">
        <v>1804</v>
      </c>
      <c r="G300" s="2" t="s">
        <v>1805</v>
      </c>
      <c r="H300" s="2" t="s">
        <v>1806</v>
      </c>
      <c r="I300" s="2" t="s">
        <v>1682</v>
      </c>
      <c r="J300" s="2" t="s">
        <v>93</v>
      </c>
      <c r="K300" s="2" t="s">
        <v>1005</v>
      </c>
      <c r="L300" s="3">
        <v>199.5</v>
      </c>
      <c r="M300" s="3">
        <v>209.48</v>
      </c>
      <c r="N300" s="3">
        <v>419</v>
      </c>
      <c r="O300" s="2" t="s">
        <v>95</v>
      </c>
      <c r="P300" s="2" t="s">
        <v>142</v>
      </c>
      <c r="Q300" s="2" t="s">
        <v>97</v>
      </c>
      <c r="R300" s="2" t="s">
        <v>98</v>
      </c>
      <c r="S300" s="2" t="s">
        <v>1811</v>
      </c>
      <c r="T300" s="2" t="s">
        <v>98</v>
      </c>
      <c r="U300" s="2" t="s">
        <v>98</v>
      </c>
      <c r="V300" s="2" t="s">
        <v>439</v>
      </c>
      <c r="W300" s="2" t="s">
        <v>963</v>
      </c>
      <c r="X300" s="2" t="s">
        <v>98</v>
      </c>
      <c r="Y300" s="2" t="s">
        <v>366</v>
      </c>
      <c r="Z300" s="4">
        <v>167</v>
      </c>
      <c r="AA300" s="4">
        <f>=ROUNDDOWN(42.8205128205128,0)</f>
      </c>
      <c r="AB300" s="5">
        <v>3.9</v>
      </c>
      <c r="AC300" s="2" t="s">
        <v>98</v>
      </c>
      <c r="AD300" s="4"/>
      <c r="AE300" s="4"/>
      <c r="AF300" s="6">
        <v>65</v>
      </c>
      <c r="AG300" s="6">
        <v>48</v>
      </c>
      <c r="AH300" s="7">
        <v>1</v>
      </c>
      <c r="AI300" s="4"/>
      <c r="AJ300" s="4">
        <f>=ROUNDDOWN({0},0)</f>
      </c>
      <c r="AK300" s="5"/>
      <c r="AL300" s="2" t="s">
        <v>98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 t="s">
        <v>98</v>
      </c>
      <c r="BD300" s="8" t="s">
        <v>98</v>
      </c>
      <c r="BE300" s="4" t="s">
        <v>98</v>
      </c>
      <c r="BF300" s="8" t="s">
        <v>98</v>
      </c>
      <c r="BG300" s="7" t="s">
        <v>98</v>
      </c>
      <c r="BH300" s="7" t="s">
        <v>98</v>
      </c>
      <c r="BI300" s="7"/>
      <c r="BJ300" s="4">
        <v>7</v>
      </c>
      <c r="BK300" s="8">
        <v>1417.78</v>
      </c>
      <c r="BL300" s="2" t="s">
        <v>1575</v>
      </c>
      <c r="BM300" s="7"/>
      <c r="BN300" s="7"/>
      <c r="BO300" s="4"/>
      <c r="BP300" s="8"/>
      <c r="BQ300" s="4"/>
      <c r="BR300" s="8"/>
      <c r="BS300" s="7"/>
      <c r="BT300" s="7"/>
      <c r="BU300" s="2" t="s">
        <v>107</v>
      </c>
      <c r="BV300" s="2" t="s">
        <v>1355</v>
      </c>
      <c r="BW300" s="2" t="s">
        <v>1356</v>
      </c>
      <c r="BX300" s="2" t="s">
        <v>1812</v>
      </c>
      <c r="BY300" s="2" t="s">
        <v>110</v>
      </c>
      <c r="BZ300" s="2" t="s">
        <v>98</v>
      </c>
    </row>
    <row r="301">
      <c r="A301" s="2" t="s">
        <v>1813</v>
      </c>
      <c r="B301" s="2" t="s">
        <v>1345</v>
      </c>
      <c r="C301" s="2" t="s">
        <v>88</v>
      </c>
      <c r="D301" s="2" t="s">
        <v>1346</v>
      </c>
      <c r="E301" s="2" t="s">
        <v>1347</v>
      </c>
      <c r="F301" s="2" t="s">
        <v>1804</v>
      </c>
      <c r="G301" s="2" t="s">
        <v>1805</v>
      </c>
      <c r="H301" s="2" t="s">
        <v>1806</v>
      </c>
      <c r="I301" s="2" t="s">
        <v>1682</v>
      </c>
      <c r="J301" s="2" t="s">
        <v>93</v>
      </c>
      <c r="K301" s="2" t="s">
        <v>1423</v>
      </c>
      <c r="L301" s="3">
        <v>199.5</v>
      </c>
      <c r="M301" s="3">
        <v>209.48</v>
      </c>
      <c r="N301" s="3">
        <v>419</v>
      </c>
      <c r="O301" s="2" t="s">
        <v>95</v>
      </c>
      <c r="P301" s="2" t="s">
        <v>142</v>
      </c>
      <c r="Q301" s="2" t="s">
        <v>97</v>
      </c>
      <c r="R301" s="2" t="s">
        <v>98</v>
      </c>
      <c r="S301" s="2" t="s">
        <v>98</v>
      </c>
      <c r="T301" s="2" t="s">
        <v>98</v>
      </c>
      <c r="U301" s="2" t="s">
        <v>117</v>
      </c>
      <c r="V301" s="2" t="s">
        <v>439</v>
      </c>
      <c r="W301" s="2" t="s">
        <v>963</v>
      </c>
      <c r="X301" s="2" t="s">
        <v>102</v>
      </c>
      <c r="Y301" s="2" t="s">
        <v>1814</v>
      </c>
      <c r="Z301" s="4">
        <v>140</v>
      </c>
      <c r="AA301" s="4">
        <f>=ROUNDDOWN(46.6666666666667,0)</f>
      </c>
      <c r="AB301" s="5">
        <v>3</v>
      </c>
      <c r="AC301" s="2" t="s">
        <v>1499</v>
      </c>
      <c r="AD301" s="4">
        <v>88</v>
      </c>
      <c r="AE301" s="4">
        <v>88</v>
      </c>
      <c r="AF301" s="6">
        <v>65</v>
      </c>
      <c r="AG301" s="6">
        <v>48</v>
      </c>
      <c r="AH301" s="7">
        <v>1</v>
      </c>
      <c r="AI301" s="4"/>
      <c r="AJ301" s="4">
        <f>=ROUNDDOWN({0},0)</f>
      </c>
      <c r="AK301" s="5"/>
      <c r="AL301" s="2" t="s">
        <v>98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 t="s">
        <v>98</v>
      </c>
      <c r="BD301" s="8" t="s">
        <v>98</v>
      </c>
      <c r="BE301" s="4" t="s">
        <v>98</v>
      </c>
      <c r="BF301" s="8" t="s">
        <v>98</v>
      </c>
      <c r="BG301" s="7" t="s">
        <v>98</v>
      </c>
      <c r="BH301" s="7" t="s">
        <v>98</v>
      </c>
      <c r="BI301" s="7"/>
      <c r="BJ301" s="4">
        <v>2</v>
      </c>
      <c r="BK301" s="8">
        <v>382.01</v>
      </c>
      <c r="BL301" s="2" t="s">
        <v>1375</v>
      </c>
      <c r="BM301" s="7"/>
      <c r="BN301" s="7"/>
      <c r="BO301" s="4"/>
      <c r="BP301" s="8"/>
      <c r="BQ301" s="4"/>
      <c r="BR301" s="8"/>
      <c r="BS301" s="7"/>
      <c r="BT301" s="7"/>
      <c r="BU301" s="2" t="s">
        <v>1376</v>
      </c>
      <c r="BV301" s="2" t="s">
        <v>95</v>
      </c>
      <c r="BW301" s="2" t="s">
        <v>98</v>
      </c>
      <c r="BX301" s="2" t="s">
        <v>98</v>
      </c>
      <c r="BY301" s="2" t="s">
        <v>110</v>
      </c>
      <c r="BZ301" s="2" t="s">
        <v>98</v>
      </c>
    </row>
    <row r="302">
      <c r="A302" s="2" t="s">
        <v>1815</v>
      </c>
      <c r="B302" s="2" t="s">
        <v>1345</v>
      </c>
      <c r="C302" s="2" t="s">
        <v>88</v>
      </c>
      <c r="D302" s="2" t="s">
        <v>1346</v>
      </c>
      <c r="E302" s="2" t="s">
        <v>1347</v>
      </c>
      <c r="F302" s="2" t="s">
        <v>1804</v>
      </c>
      <c r="G302" s="2" t="s">
        <v>1805</v>
      </c>
      <c r="H302" s="2" t="s">
        <v>1806</v>
      </c>
      <c r="I302" s="2" t="s">
        <v>1682</v>
      </c>
      <c r="J302" s="2" t="s">
        <v>93</v>
      </c>
      <c r="K302" s="2" t="s">
        <v>1816</v>
      </c>
      <c r="L302" s="3">
        <v>199.5</v>
      </c>
      <c r="M302" s="3">
        <v>209.48</v>
      </c>
      <c r="N302" s="3">
        <v>419</v>
      </c>
      <c r="O302" s="2" t="s">
        <v>95</v>
      </c>
      <c r="P302" s="2" t="s">
        <v>134</v>
      </c>
      <c r="Q302" s="2" t="s">
        <v>97</v>
      </c>
      <c r="R302" s="2" t="s">
        <v>98</v>
      </c>
      <c r="S302" s="2" t="s">
        <v>1817</v>
      </c>
      <c r="T302" s="2" t="s">
        <v>98</v>
      </c>
      <c r="U302" s="2" t="s">
        <v>98</v>
      </c>
      <c r="V302" s="2" t="s">
        <v>439</v>
      </c>
      <c r="W302" s="2" t="s">
        <v>963</v>
      </c>
      <c r="X302" s="2" t="s">
        <v>98</v>
      </c>
      <c r="Y302" s="2" t="s">
        <v>366</v>
      </c>
      <c r="Z302" s="4">
        <v>202</v>
      </c>
      <c r="AA302" s="4">
        <f>=ROUNDDOWN(28.8571428571429,0)</f>
      </c>
      <c r="AB302" s="5">
        <v>7</v>
      </c>
      <c r="AC302" s="2" t="s">
        <v>1457</v>
      </c>
      <c r="AD302" s="4">
        <v>110</v>
      </c>
      <c r="AE302" s="4">
        <v>110</v>
      </c>
      <c r="AF302" s="6">
        <v>65</v>
      </c>
      <c r="AG302" s="6">
        <v>48</v>
      </c>
      <c r="AH302" s="7">
        <v>1</v>
      </c>
      <c r="AI302" s="4"/>
      <c r="AJ302" s="4">
        <f>=ROUNDDOWN({0},0)</f>
      </c>
      <c r="AK302" s="5"/>
      <c r="AL302" s="2" t="s">
        <v>98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 t="s">
        <v>98</v>
      </c>
      <c r="BD302" s="8" t="s">
        <v>98</v>
      </c>
      <c r="BE302" s="4" t="s">
        <v>98</v>
      </c>
      <c r="BF302" s="8" t="s">
        <v>98</v>
      </c>
      <c r="BG302" s="7" t="s">
        <v>98</v>
      </c>
      <c r="BH302" s="7" t="s">
        <v>98</v>
      </c>
      <c r="BI302" s="7"/>
      <c r="BJ302" s="4">
        <v>7</v>
      </c>
      <c r="BK302" s="8">
        <v>1421.2</v>
      </c>
      <c r="BL302" s="2" t="s">
        <v>1818</v>
      </c>
      <c r="BM302" s="7"/>
      <c r="BN302" s="7"/>
      <c r="BO302" s="4"/>
      <c r="BP302" s="8"/>
      <c r="BQ302" s="4"/>
      <c r="BR302" s="8"/>
      <c r="BS302" s="7"/>
      <c r="BT302" s="7"/>
      <c r="BU302" s="2" t="s">
        <v>107</v>
      </c>
      <c r="BV302" s="2" t="s">
        <v>1355</v>
      </c>
      <c r="BW302" s="2" t="s">
        <v>1356</v>
      </c>
      <c r="BX302" s="2" t="s">
        <v>1809</v>
      </c>
      <c r="BY302" s="2" t="s">
        <v>110</v>
      </c>
      <c r="BZ302" s="2" t="s">
        <v>98</v>
      </c>
    </row>
    <row r="303">
      <c r="A303" s="2" t="s">
        <v>1819</v>
      </c>
      <c r="B303" s="2" t="s">
        <v>1345</v>
      </c>
      <c r="C303" s="2" t="s">
        <v>88</v>
      </c>
      <c r="D303" s="2" t="s">
        <v>1346</v>
      </c>
      <c r="E303" s="2" t="s">
        <v>1347</v>
      </c>
      <c r="F303" s="2" t="s">
        <v>1820</v>
      </c>
      <c r="G303" s="2" t="s">
        <v>1821</v>
      </c>
      <c r="H303" s="2" t="s">
        <v>1822</v>
      </c>
      <c r="I303" s="2" t="s">
        <v>1432</v>
      </c>
      <c r="J303" s="2" t="s">
        <v>93</v>
      </c>
      <c r="K303" s="2" t="s">
        <v>1439</v>
      </c>
      <c r="L303" s="3">
        <v>171</v>
      </c>
      <c r="M303" s="3">
        <v>179.55</v>
      </c>
      <c r="N303" s="3">
        <v>359</v>
      </c>
      <c r="O303" s="2" t="s">
        <v>95</v>
      </c>
      <c r="P303" s="2" t="s">
        <v>134</v>
      </c>
      <c r="Q303" s="2" t="s">
        <v>97</v>
      </c>
      <c r="R303" s="2" t="s">
        <v>98</v>
      </c>
      <c r="S303" s="2" t="s">
        <v>1823</v>
      </c>
      <c r="T303" s="2" t="s">
        <v>98</v>
      </c>
      <c r="U303" s="2" t="s">
        <v>98</v>
      </c>
      <c r="V303" s="2" t="s">
        <v>439</v>
      </c>
      <c r="W303" s="2" t="s">
        <v>103</v>
      </c>
      <c r="X303" s="2" t="s">
        <v>98</v>
      </c>
      <c r="Y303" s="2" t="s">
        <v>1824</v>
      </c>
      <c r="Z303" s="4">
        <v>118</v>
      </c>
      <c r="AA303" s="4">
        <f>=ROUNDDOWN(23.6,0)</f>
      </c>
      <c r="AB303" s="5">
        <v>5</v>
      </c>
      <c r="AC303" s="2" t="s">
        <v>1825</v>
      </c>
      <c r="AD303" s="4">
        <v>100</v>
      </c>
      <c r="AE303" s="4">
        <v>100</v>
      </c>
      <c r="AF303" s="6">
        <v>74</v>
      </c>
      <c r="AG303" s="6"/>
      <c r="AH303" s="7">
        <v>1</v>
      </c>
      <c r="AI303" s="4"/>
      <c r="AJ303" s="4">
        <f>=ROUNDDOWN({0},0)</f>
      </c>
      <c r="AK303" s="5"/>
      <c r="AL303" s="2" t="s">
        <v>98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/>
      <c r="BD303" s="8"/>
      <c r="BE303" s="4"/>
      <c r="BF303" s="8"/>
      <c r="BG303" s="7"/>
      <c r="BH303" s="7"/>
      <c r="BI303" s="7"/>
      <c r="BJ303" s="4"/>
      <c r="BK303" s="8"/>
      <c r="BL303" s="2" t="s">
        <v>98</v>
      </c>
      <c r="BM303" s="7"/>
      <c r="BN303" s="7"/>
      <c r="BO303" s="4"/>
      <c r="BP303" s="8"/>
      <c r="BQ303" s="4"/>
      <c r="BR303" s="8"/>
      <c r="BS303" s="7"/>
      <c r="BT303" s="7"/>
      <c r="BU303" s="2" t="s">
        <v>107</v>
      </c>
      <c r="BV303" s="2" t="s">
        <v>1355</v>
      </c>
      <c r="BW303" s="2" t="s">
        <v>1436</v>
      </c>
      <c r="BX303" s="2" t="s">
        <v>1826</v>
      </c>
      <c r="BY303" s="2" t="s">
        <v>110</v>
      </c>
      <c r="BZ303" s="2" t="s">
        <v>98</v>
      </c>
    </row>
    <row r="304">
      <c r="A304" s="2" t="s">
        <v>1827</v>
      </c>
      <c r="B304" s="2" t="s">
        <v>1345</v>
      </c>
      <c r="C304" s="2" t="s">
        <v>88</v>
      </c>
      <c r="D304" s="2" t="s">
        <v>1346</v>
      </c>
      <c r="E304" s="2" t="s">
        <v>1347</v>
      </c>
      <c r="F304" s="2" t="s">
        <v>1828</v>
      </c>
      <c r="G304" s="2" t="s">
        <v>1829</v>
      </c>
      <c r="H304" s="2" t="s">
        <v>1830</v>
      </c>
      <c r="I304" s="2" t="s">
        <v>1831</v>
      </c>
      <c r="J304" s="2" t="s">
        <v>93</v>
      </c>
      <c r="K304" s="2" t="s">
        <v>514</v>
      </c>
      <c r="L304" s="3">
        <v>171</v>
      </c>
      <c r="M304" s="3">
        <v>179.55</v>
      </c>
      <c r="N304" s="3">
        <v>369</v>
      </c>
      <c r="O304" s="2" t="s">
        <v>95</v>
      </c>
      <c r="P304" s="2" t="s">
        <v>96</v>
      </c>
      <c r="Q304" s="2" t="s">
        <v>97</v>
      </c>
      <c r="R304" s="2" t="s">
        <v>98</v>
      </c>
      <c r="S304" s="2" t="s">
        <v>1832</v>
      </c>
      <c r="T304" s="2" t="s">
        <v>98</v>
      </c>
      <c r="U304" s="2" t="s">
        <v>98</v>
      </c>
      <c r="V304" s="2" t="s">
        <v>439</v>
      </c>
      <c r="W304" s="2" t="s">
        <v>103</v>
      </c>
      <c r="X304" s="2" t="s">
        <v>98</v>
      </c>
      <c r="Y304" s="2" t="s">
        <v>1833</v>
      </c>
      <c r="Z304" s="4">
        <v>135</v>
      </c>
      <c r="AA304" s="4">
        <f>=ROUNDDOWN(8.54430379746835,0)</f>
      </c>
      <c r="AB304" s="5">
        <v>15.8</v>
      </c>
      <c r="AC304" s="2" t="s">
        <v>1834</v>
      </c>
      <c r="AD304" s="4">
        <v>138</v>
      </c>
      <c r="AE304" s="4">
        <v>464</v>
      </c>
      <c r="AF304" s="6">
        <v>74</v>
      </c>
      <c r="AG304" s="6">
        <v>60</v>
      </c>
      <c r="AH304" s="7">
        <v>1</v>
      </c>
      <c r="AI304" s="4"/>
      <c r="AJ304" s="4">
        <f>=ROUNDDOWN({0},0)</f>
      </c>
      <c r="AK304" s="5"/>
      <c r="AL304" s="2" t="s">
        <v>98</v>
      </c>
      <c r="AM304" s="4"/>
      <c r="AN304" s="4"/>
      <c r="AO304" s="7">
        <v>0</v>
      </c>
      <c r="AP304" s="4"/>
      <c r="AQ304" s="8"/>
      <c r="AR304" s="4">
        <v>9</v>
      </c>
      <c r="AS304" s="8">
        <v>1637.64</v>
      </c>
      <c r="AT304" s="7">
        <v>-1</v>
      </c>
      <c r="AU304" s="7">
        <v>-1</v>
      </c>
      <c r="AV304" s="4"/>
      <c r="AW304" s="8"/>
      <c r="AX304" s="4">
        <v>9</v>
      </c>
      <c r="AY304" s="8">
        <v>1637.64</v>
      </c>
      <c r="AZ304" s="7">
        <v>-1</v>
      </c>
      <c r="BA304" s="7">
        <v>-1</v>
      </c>
      <c r="BB304" s="7"/>
      <c r="BC304" s="4" t="s">
        <v>98</v>
      </c>
      <c r="BD304" s="8" t="s">
        <v>98</v>
      </c>
      <c r="BE304" s="4">
        <v>12</v>
      </c>
      <c r="BF304" s="8">
        <v>2183.52</v>
      </c>
      <c r="BG304" s="7" t="s">
        <v>98</v>
      </c>
      <c r="BH304" s="7" t="s">
        <v>98</v>
      </c>
      <c r="BI304" s="7"/>
      <c r="BJ304" s="4">
        <v>6</v>
      </c>
      <c r="BK304" s="8">
        <v>1017.82</v>
      </c>
      <c r="BL304" s="2" t="s">
        <v>1835</v>
      </c>
      <c r="BM304" s="7"/>
      <c r="BN304" s="7"/>
      <c r="BO304" s="4"/>
      <c r="BP304" s="8"/>
      <c r="BQ304" s="4">
        <v>9</v>
      </c>
      <c r="BR304" s="8">
        <v>1637.64</v>
      </c>
      <c r="BS304" s="7">
        <v>-1</v>
      </c>
      <c r="BT304" s="7">
        <v>-1</v>
      </c>
      <c r="BU304" s="2" t="s">
        <v>107</v>
      </c>
      <c r="BV304" s="2" t="s">
        <v>1355</v>
      </c>
      <c r="BW304" s="2" t="s">
        <v>1356</v>
      </c>
      <c r="BX304" s="2" t="s">
        <v>1836</v>
      </c>
      <c r="BY304" s="2" t="s">
        <v>110</v>
      </c>
      <c r="BZ304" s="2" t="s">
        <v>98</v>
      </c>
    </row>
    <row r="305">
      <c r="A305" s="2" t="s">
        <v>1837</v>
      </c>
      <c r="B305" s="2" t="s">
        <v>1345</v>
      </c>
      <c r="C305" s="2" t="s">
        <v>88</v>
      </c>
      <c r="D305" s="2" t="s">
        <v>1346</v>
      </c>
      <c r="E305" s="2" t="s">
        <v>1347</v>
      </c>
      <c r="F305" s="2" t="s">
        <v>1828</v>
      </c>
      <c r="G305" s="2" t="s">
        <v>1829</v>
      </c>
      <c r="H305" s="2" t="s">
        <v>1830</v>
      </c>
      <c r="I305" s="2" t="s">
        <v>1831</v>
      </c>
      <c r="J305" s="2" t="s">
        <v>93</v>
      </c>
      <c r="K305" s="2" t="s">
        <v>1838</v>
      </c>
      <c r="L305" s="3">
        <v>171</v>
      </c>
      <c r="M305" s="3">
        <v>179.55</v>
      </c>
      <c r="N305" s="3">
        <v>369</v>
      </c>
      <c r="O305" s="2" t="s">
        <v>95</v>
      </c>
      <c r="P305" s="2" t="s">
        <v>134</v>
      </c>
      <c r="Q305" s="2" t="s">
        <v>97</v>
      </c>
      <c r="R305" s="2" t="s">
        <v>98</v>
      </c>
      <c r="S305" s="2" t="s">
        <v>1839</v>
      </c>
      <c r="T305" s="2" t="s">
        <v>98</v>
      </c>
      <c r="U305" s="2" t="s">
        <v>117</v>
      </c>
      <c r="V305" s="2" t="s">
        <v>439</v>
      </c>
      <c r="W305" s="2" t="s">
        <v>103</v>
      </c>
      <c r="X305" s="2" t="s">
        <v>98</v>
      </c>
      <c r="Y305" s="2" t="s">
        <v>1840</v>
      </c>
      <c r="Z305" s="4"/>
      <c r="AA305" s="4">
        <f>=ROUNDDOWN({0},0)</f>
      </c>
      <c r="AB305" s="5">
        <v>33.2</v>
      </c>
      <c r="AC305" s="2" t="s">
        <v>1353</v>
      </c>
      <c r="AD305" s="4">
        <v>68</v>
      </c>
      <c r="AE305" s="4">
        <v>346</v>
      </c>
      <c r="AF305" s="6">
        <v>74</v>
      </c>
      <c r="AG305" s="6">
        <v>60</v>
      </c>
      <c r="AH305" s="7">
        <v>0</v>
      </c>
      <c r="AI305" s="4"/>
      <c r="AJ305" s="4">
        <f>=ROUNDDOWN({0},0)</f>
      </c>
      <c r="AK305" s="5"/>
      <c r="AL305" s="2" t="s">
        <v>1841</v>
      </c>
      <c r="AM305" s="4">
        <v>94</v>
      </c>
      <c r="AN305" s="4">
        <v>94</v>
      </c>
      <c r="AO305" s="7">
        <v>0</v>
      </c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 t="s">
        <v>98</v>
      </c>
      <c r="BD305" s="8" t="s">
        <v>98</v>
      </c>
      <c r="BE305" s="4" t="s">
        <v>98</v>
      </c>
      <c r="BF305" s="8" t="s">
        <v>98</v>
      </c>
      <c r="BG305" s="7" t="s">
        <v>98</v>
      </c>
      <c r="BH305" s="7" t="s">
        <v>98</v>
      </c>
      <c r="BI305" s="7"/>
      <c r="BJ305" s="4"/>
      <c r="BK305" s="8"/>
      <c r="BL305" s="2" t="s">
        <v>1842</v>
      </c>
      <c r="BM305" s="7"/>
      <c r="BN305" s="7"/>
      <c r="BO305" s="4"/>
      <c r="BP305" s="8"/>
      <c r="BQ305" s="4"/>
      <c r="BR305" s="8"/>
      <c r="BS305" s="7"/>
      <c r="BT305" s="7"/>
      <c r="BU305" s="2" t="s">
        <v>107</v>
      </c>
      <c r="BV305" s="2" t="s">
        <v>1355</v>
      </c>
      <c r="BW305" s="2" t="s">
        <v>1843</v>
      </c>
      <c r="BX305" s="2" t="s">
        <v>98</v>
      </c>
      <c r="BY305" s="2" t="s">
        <v>110</v>
      </c>
      <c r="BZ305" s="2" t="s">
        <v>98</v>
      </c>
    </row>
    <row r="306">
      <c r="A306" s="2" t="s">
        <v>1844</v>
      </c>
      <c r="B306" s="2" t="s">
        <v>1345</v>
      </c>
      <c r="C306" s="2" t="s">
        <v>88</v>
      </c>
      <c r="D306" s="2" t="s">
        <v>1346</v>
      </c>
      <c r="E306" s="2" t="s">
        <v>1347</v>
      </c>
      <c r="F306" s="2" t="s">
        <v>1828</v>
      </c>
      <c r="G306" s="2" t="s">
        <v>1829</v>
      </c>
      <c r="H306" s="2" t="s">
        <v>1830</v>
      </c>
      <c r="I306" s="2" t="s">
        <v>1831</v>
      </c>
      <c r="J306" s="2" t="s">
        <v>93</v>
      </c>
      <c r="K306" s="2" t="s">
        <v>133</v>
      </c>
      <c r="L306" s="3">
        <v>171</v>
      </c>
      <c r="M306" s="3">
        <v>179.55</v>
      </c>
      <c r="N306" s="3">
        <v>369</v>
      </c>
      <c r="O306" s="2" t="s">
        <v>95</v>
      </c>
      <c r="P306" s="2" t="s">
        <v>134</v>
      </c>
      <c r="Q306" s="2" t="s">
        <v>97</v>
      </c>
      <c r="R306" s="2" t="s">
        <v>98</v>
      </c>
      <c r="S306" s="2" t="s">
        <v>1845</v>
      </c>
      <c r="T306" s="2" t="s">
        <v>98</v>
      </c>
      <c r="U306" s="2" t="s">
        <v>98</v>
      </c>
      <c r="V306" s="2" t="s">
        <v>439</v>
      </c>
      <c r="W306" s="2" t="s">
        <v>103</v>
      </c>
      <c r="X306" s="2" t="s">
        <v>98</v>
      </c>
      <c r="Y306" s="2" t="s">
        <v>366</v>
      </c>
      <c r="Z306" s="4">
        <v>125</v>
      </c>
      <c r="AA306" s="4">
        <f>=ROUNDDOWN(17.8571428571429,0)</f>
      </c>
      <c r="AB306" s="5">
        <v>7</v>
      </c>
      <c r="AC306" s="2" t="s">
        <v>1834</v>
      </c>
      <c r="AD306" s="4">
        <v>100</v>
      </c>
      <c r="AE306" s="4">
        <v>100</v>
      </c>
      <c r="AF306" s="6">
        <v>74</v>
      </c>
      <c r="AG306" s="6">
        <v>60</v>
      </c>
      <c r="AH306" s="7">
        <v>1</v>
      </c>
      <c r="AI306" s="4"/>
      <c r="AJ306" s="4">
        <f>=ROUNDDOWN({0},0)</f>
      </c>
      <c r="AK306" s="5"/>
      <c r="AL306" s="2" t="s">
        <v>98</v>
      </c>
      <c r="AM306" s="4"/>
      <c r="AN306" s="4"/>
      <c r="AO306" s="7">
        <v>0</v>
      </c>
      <c r="AP306" s="4"/>
      <c r="AQ306" s="8"/>
      <c r="AR306" s="4">
        <v>1</v>
      </c>
      <c r="AS306" s="8">
        <v>181.96</v>
      </c>
      <c r="AT306" s="7">
        <v>-1</v>
      </c>
      <c r="AU306" s="7">
        <v>-1</v>
      </c>
      <c r="AV306" s="4"/>
      <c r="AW306" s="8"/>
      <c r="AX306" s="4">
        <v>1</v>
      </c>
      <c r="AY306" s="8">
        <v>181.96</v>
      </c>
      <c r="AZ306" s="7">
        <v>-1</v>
      </c>
      <c r="BA306" s="7">
        <v>-1</v>
      </c>
      <c r="BB306" s="7"/>
      <c r="BC306" s="4" t="s">
        <v>98</v>
      </c>
      <c r="BD306" s="8" t="s">
        <v>98</v>
      </c>
      <c r="BE306" s="4" t="s">
        <v>98</v>
      </c>
      <c r="BF306" s="8" t="s">
        <v>98</v>
      </c>
      <c r="BG306" s="7" t="s">
        <v>98</v>
      </c>
      <c r="BH306" s="7" t="s">
        <v>98</v>
      </c>
      <c r="BI306" s="7"/>
      <c r="BJ306" s="4">
        <v>1</v>
      </c>
      <c r="BK306" s="8">
        <v>164.32</v>
      </c>
      <c r="BL306" s="2" t="s">
        <v>1846</v>
      </c>
      <c r="BM306" s="7"/>
      <c r="BN306" s="7"/>
      <c r="BO306" s="4"/>
      <c r="BP306" s="8"/>
      <c r="BQ306" s="4">
        <v>1</v>
      </c>
      <c r="BR306" s="8">
        <v>181.96</v>
      </c>
      <c r="BS306" s="7">
        <v>-1</v>
      </c>
      <c r="BT306" s="7">
        <v>-1</v>
      </c>
      <c r="BU306" s="2" t="s">
        <v>107</v>
      </c>
      <c r="BV306" s="2" t="s">
        <v>1355</v>
      </c>
      <c r="BW306" s="2" t="s">
        <v>1356</v>
      </c>
      <c r="BX306" s="2" t="s">
        <v>1847</v>
      </c>
      <c r="BY306" s="2" t="s">
        <v>110</v>
      </c>
      <c r="BZ306" s="2" t="s">
        <v>98</v>
      </c>
    </row>
    <row r="307">
      <c r="A307" s="2" t="s">
        <v>1848</v>
      </c>
      <c r="B307" s="2" t="s">
        <v>1345</v>
      </c>
      <c r="C307" s="2" t="s">
        <v>88</v>
      </c>
      <c r="D307" s="2" t="s">
        <v>1346</v>
      </c>
      <c r="E307" s="2" t="s">
        <v>1347</v>
      </c>
      <c r="F307" s="2" t="s">
        <v>1828</v>
      </c>
      <c r="G307" s="2" t="s">
        <v>1829</v>
      </c>
      <c r="H307" s="2" t="s">
        <v>1830</v>
      </c>
      <c r="I307" s="2" t="s">
        <v>1831</v>
      </c>
      <c r="J307" s="2" t="s">
        <v>93</v>
      </c>
      <c r="K307" s="2" t="s">
        <v>357</v>
      </c>
      <c r="L307" s="3">
        <v>171</v>
      </c>
      <c r="M307" s="3">
        <v>179.55</v>
      </c>
      <c r="N307" s="3">
        <v>369</v>
      </c>
      <c r="O307" s="2" t="s">
        <v>95</v>
      </c>
      <c r="P307" s="2" t="s">
        <v>134</v>
      </c>
      <c r="Q307" s="2" t="s">
        <v>97</v>
      </c>
      <c r="R307" s="2" t="s">
        <v>98</v>
      </c>
      <c r="S307" s="2" t="s">
        <v>98</v>
      </c>
      <c r="T307" s="2" t="s">
        <v>98</v>
      </c>
      <c r="U307" s="2" t="s">
        <v>117</v>
      </c>
      <c r="V307" s="2" t="s">
        <v>439</v>
      </c>
      <c r="W307" s="2" t="s">
        <v>103</v>
      </c>
      <c r="X307" s="2" t="s">
        <v>98</v>
      </c>
      <c r="Y307" s="2" t="s">
        <v>1849</v>
      </c>
      <c r="Z307" s="4">
        <v>30</v>
      </c>
      <c r="AA307" s="4">
        <f>=ROUNDDOWN(1.76470588235294,0)</f>
      </c>
      <c r="AB307" s="5">
        <v>17</v>
      </c>
      <c r="AC307" s="2" t="s">
        <v>1353</v>
      </c>
      <c r="AD307" s="4">
        <v>100</v>
      </c>
      <c r="AE307" s="4">
        <v>300</v>
      </c>
      <c r="AF307" s="6">
        <v>74</v>
      </c>
      <c r="AG307" s="6">
        <v>60</v>
      </c>
      <c r="AH307" s="7">
        <v>1</v>
      </c>
      <c r="AI307" s="4"/>
      <c r="AJ307" s="4">
        <f>=ROUNDDOWN({0},0)</f>
      </c>
      <c r="AK307" s="5"/>
      <c r="AL307" s="2" t="s">
        <v>1841</v>
      </c>
      <c r="AM307" s="4">
        <v>95</v>
      </c>
      <c r="AN307" s="4">
        <v>95</v>
      </c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 t="s">
        <v>98</v>
      </c>
      <c r="BD307" s="8" t="s">
        <v>98</v>
      </c>
      <c r="BE307" s="4" t="s">
        <v>98</v>
      </c>
      <c r="BF307" s="8" t="s">
        <v>98</v>
      </c>
      <c r="BG307" s="7" t="s">
        <v>98</v>
      </c>
      <c r="BH307" s="7" t="s">
        <v>98</v>
      </c>
      <c r="BI307" s="7"/>
      <c r="BJ307" s="4">
        <v>5</v>
      </c>
      <c r="BK307" s="8">
        <v>845.81</v>
      </c>
      <c r="BL307" s="2" t="s">
        <v>1850</v>
      </c>
      <c r="BM307" s="7"/>
      <c r="BN307" s="7"/>
      <c r="BO307" s="4"/>
      <c r="BP307" s="8"/>
      <c r="BQ307" s="4"/>
      <c r="BR307" s="8"/>
      <c r="BS307" s="7"/>
      <c r="BT307" s="7"/>
      <c r="BU307" s="2" t="s">
        <v>1376</v>
      </c>
      <c r="BV307" s="2" t="s">
        <v>95</v>
      </c>
      <c r="BW307" s="2" t="s">
        <v>98</v>
      </c>
      <c r="BX307" s="2" t="s">
        <v>98</v>
      </c>
      <c r="BY307" s="2" t="s">
        <v>110</v>
      </c>
      <c r="BZ307" s="2" t="s">
        <v>98</v>
      </c>
    </row>
    <row r="308">
      <c r="A308" s="2" t="s">
        <v>1851</v>
      </c>
      <c r="B308" s="2" t="s">
        <v>1345</v>
      </c>
      <c r="C308" s="2" t="s">
        <v>88</v>
      </c>
      <c r="D308" s="2" t="s">
        <v>1346</v>
      </c>
      <c r="E308" s="2" t="s">
        <v>1347</v>
      </c>
      <c r="F308" s="2" t="s">
        <v>1828</v>
      </c>
      <c r="G308" s="2" t="s">
        <v>1829</v>
      </c>
      <c r="H308" s="2" t="s">
        <v>1830</v>
      </c>
      <c r="I308" s="2" t="s">
        <v>1831</v>
      </c>
      <c r="J308" s="2" t="s">
        <v>93</v>
      </c>
      <c r="K308" s="2" t="s">
        <v>286</v>
      </c>
      <c r="L308" s="3">
        <v>171</v>
      </c>
      <c r="M308" s="3">
        <v>179.55</v>
      </c>
      <c r="N308" s="3">
        <v>369</v>
      </c>
      <c r="O308" s="2" t="s">
        <v>95</v>
      </c>
      <c r="P308" s="2" t="s">
        <v>134</v>
      </c>
      <c r="Q308" s="2" t="s">
        <v>97</v>
      </c>
      <c r="R308" s="2" t="s">
        <v>98</v>
      </c>
      <c r="S308" s="2" t="s">
        <v>98</v>
      </c>
      <c r="T308" s="2" t="s">
        <v>98</v>
      </c>
      <c r="U308" s="2" t="s">
        <v>117</v>
      </c>
      <c r="V308" s="2" t="s">
        <v>439</v>
      </c>
      <c r="W308" s="2" t="s">
        <v>103</v>
      </c>
      <c r="X308" s="2" t="s">
        <v>297</v>
      </c>
      <c r="Y308" s="2" t="s">
        <v>1852</v>
      </c>
      <c r="Z308" s="4">
        <v>15</v>
      </c>
      <c r="AA308" s="4">
        <f>=ROUNDDOWN(2.14285714285714,0)</f>
      </c>
      <c r="AB308" s="5">
        <v>7</v>
      </c>
      <c r="AC308" s="2" t="s">
        <v>1374</v>
      </c>
      <c r="AD308" s="4">
        <v>100</v>
      </c>
      <c r="AE308" s="4">
        <v>100</v>
      </c>
      <c r="AF308" s="6">
        <v>74</v>
      </c>
      <c r="AG308" s="6">
        <v>60</v>
      </c>
      <c r="AH308" s="7">
        <v>1</v>
      </c>
      <c r="AI308" s="4"/>
      <c r="AJ308" s="4">
        <f>=ROUNDDOWN({0},0)</f>
      </c>
      <c r="AK308" s="5"/>
      <c r="AL308" s="2" t="s">
        <v>98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/>
      <c r="AW308" s="8"/>
      <c r="AX308" s="4"/>
      <c r="AY308" s="8"/>
      <c r="AZ308" s="7"/>
      <c r="BA308" s="7"/>
      <c r="BB308" s="7"/>
      <c r="BC308" s="4" t="s">
        <v>98</v>
      </c>
      <c r="BD308" s="8" t="s">
        <v>98</v>
      </c>
      <c r="BE308" s="4" t="s">
        <v>98</v>
      </c>
      <c r="BF308" s="8" t="s">
        <v>98</v>
      </c>
      <c r="BG308" s="7" t="s">
        <v>98</v>
      </c>
      <c r="BH308" s="7" t="s">
        <v>98</v>
      </c>
      <c r="BI308" s="7"/>
      <c r="BJ308" s="4">
        <v>1</v>
      </c>
      <c r="BK308" s="8">
        <v>187.11</v>
      </c>
      <c r="BL308" s="2" t="s">
        <v>1853</v>
      </c>
      <c r="BM308" s="7"/>
      <c r="BN308" s="7"/>
      <c r="BO308" s="4"/>
      <c r="BP308" s="8"/>
      <c r="BQ308" s="4"/>
      <c r="BR308" s="8"/>
      <c r="BS308" s="7"/>
      <c r="BT308" s="7"/>
      <c r="BU308" s="2" t="s">
        <v>1376</v>
      </c>
      <c r="BV308" s="2" t="s">
        <v>95</v>
      </c>
      <c r="BW308" s="2" t="s">
        <v>98</v>
      </c>
      <c r="BX308" s="2" t="s">
        <v>98</v>
      </c>
      <c r="BY308" s="2" t="s">
        <v>110</v>
      </c>
      <c r="BZ308" s="2" t="s">
        <v>98</v>
      </c>
    </row>
    <row r="309">
      <c r="A309" s="2" t="s">
        <v>1854</v>
      </c>
      <c r="B309" s="2" t="s">
        <v>1345</v>
      </c>
      <c r="C309" s="2" t="s">
        <v>88</v>
      </c>
      <c r="D309" s="2" t="s">
        <v>1346</v>
      </c>
      <c r="E309" s="2" t="s">
        <v>1347</v>
      </c>
      <c r="F309" s="2" t="s">
        <v>1828</v>
      </c>
      <c r="G309" s="2" t="s">
        <v>1829</v>
      </c>
      <c r="H309" s="2" t="s">
        <v>1830</v>
      </c>
      <c r="I309" s="2" t="s">
        <v>1831</v>
      </c>
      <c r="J309" s="2" t="s">
        <v>93</v>
      </c>
      <c r="K309" s="2" t="s">
        <v>622</v>
      </c>
      <c r="L309" s="3">
        <v>171</v>
      </c>
      <c r="M309" s="3">
        <v>179.55</v>
      </c>
      <c r="N309" s="3">
        <v>369</v>
      </c>
      <c r="O309" s="2" t="s">
        <v>95</v>
      </c>
      <c r="P309" s="2" t="s">
        <v>134</v>
      </c>
      <c r="Q309" s="2" t="s">
        <v>97</v>
      </c>
      <c r="R309" s="2" t="s">
        <v>98</v>
      </c>
      <c r="S309" s="2" t="s">
        <v>1855</v>
      </c>
      <c r="T309" s="2" t="s">
        <v>98</v>
      </c>
      <c r="U309" s="2" t="s">
        <v>98</v>
      </c>
      <c r="V309" s="2" t="s">
        <v>439</v>
      </c>
      <c r="W309" s="2" t="s">
        <v>103</v>
      </c>
      <c r="X309" s="2" t="s">
        <v>98</v>
      </c>
      <c r="Y309" s="2" t="s">
        <v>366</v>
      </c>
      <c r="Z309" s="4">
        <v>92</v>
      </c>
      <c r="AA309" s="4">
        <f>=ROUNDDOWN(17.3584905660377,0)</f>
      </c>
      <c r="AB309" s="5">
        <v>5.3</v>
      </c>
      <c r="AC309" s="2" t="s">
        <v>1834</v>
      </c>
      <c r="AD309" s="4">
        <v>46</v>
      </c>
      <c r="AE309" s="4">
        <v>146</v>
      </c>
      <c r="AF309" s="6">
        <v>74</v>
      </c>
      <c r="AG309" s="6"/>
      <c r="AH309" s="7">
        <v>1</v>
      </c>
      <c r="AI309" s="4"/>
      <c r="AJ309" s="4">
        <f>=ROUNDDOWN({0},0)</f>
      </c>
      <c r="AK309" s="5"/>
      <c r="AL309" s="2" t="s">
        <v>98</v>
      </c>
      <c r="AM309" s="4"/>
      <c r="AN309" s="4"/>
      <c r="AO309" s="7">
        <v>0</v>
      </c>
      <c r="AP309" s="4"/>
      <c r="AQ309" s="8"/>
      <c r="AR309" s="4">
        <v>2</v>
      </c>
      <c r="AS309" s="8">
        <v>363.92</v>
      </c>
      <c r="AT309" s="7">
        <v>-1</v>
      </c>
      <c r="AU309" s="7">
        <v>-1</v>
      </c>
      <c r="AV309" s="4"/>
      <c r="AW309" s="8"/>
      <c r="AX309" s="4">
        <v>2</v>
      </c>
      <c r="AY309" s="8">
        <v>363.92</v>
      </c>
      <c r="AZ309" s="7">
        <v>-1</v>
      </c>
      <c r="BA309" s="7">
        <v>-1</v>
      </c>
      <c r="BB309" s="7"/>
      <c r="BC309" s="4" t="s">
        <v>98</v>
      </c>
      <c r="BD309" s="8" t="s">
        <v>98</v>
      </c>
      <c r="BE309" s="4" t="s">
        <v>98</v>
      </c>
      <c r="BF309" s="8" t="s">
        <v>98</v>
      </c>
      <c r="BG309" s="7" t="s">
        <v>98</v>
      </c>
      <c r="BH309" s="7" t="s">
        <v>98</v>
      </c>
      <c r="BI309" s="7"/>
      <c r="BJ309" s="4">
        <v>2</v>
      </c>
      <c r="BK309" s="8">
        <v>328.64</v>
      </c>
      <c r="BL309" s="2" t="s">
        <v>1426</v>
      </c>
      <c r="BM309" s="7"/>
      <c r="BN309" s="7"/>
      <c r="BO309" s="4"/>
      <c r="BP309" s="8"/>
      <c r="BQ309" s="4">
        <v>2</v>
      </c>
      <c r="BR309" s="8">
        <v>363.92</v>
      </c>
      <c r="BS309" s="7">
        <v>-1</v>
      </c>
      <c r="BT309" s="7">
        <v>-1</v>
      </c>
      <c r="BU309" s="2" t="s">
        <v>107</v>
      </c>
      <c r="BV309" s="2" t="s">
        <v>1355</v>
      </c>
      <c r="BW309" s="2" t="s">
        <v>1356</v>
      </c>
      <c r="BX309" s="2" t="s">
        <v>1856</v>
      </c>
      <c r="BY309" s="2" t="s">
        <v>110</v>
      </c>
      <c r="BZ309" s="2" t="s">
        <v>98</v>
      </c>
    </row>
    <row r="310">
      <c r="A310" s="2" t="s">
        <v>1857</v>
      </c>
      <c r="B310" s="2" t="s">
        <v>1345</v>
      </c>
      <c r="C310" s="2" t="s">
        <v>88</v>
      </c>
      <c r="D310" s="2" t="s">
        <v>1346</v>
      </c>
      <c r="E310" s="2" t="s">
        <v>1347</v>
      </c>
      <c r="F310" s="2" t="s">
        <v>1858</v>
      </c>
      <c r="G310" s="2" t="s">
        <v>1859</v>
      </c>
      <c r="H310" s="2" t="s">
        <v>1860</v>
      </c>
      <c r="I310" s="2" t="s">
        <v>1432</v>
      </c>
      <c r="J310" s="2" t="s">
        <v>93</v>
      </c>
      <c r="K310" s="2" t="s">
        <v>1861</v>
      </c>
      <c r="L310" s="3">
        <v>214.2</v>
      </c>
      <c r="M310" s="3">
        <v>224.91</v>
      </c>
      <c r="N310" s="3">
        <v>449</v>
      </c>
      <c r="O310" s="2" t="s">
        <v>95</v>
      </c>
      <c r="P310" s="2" t="s">
        <v>142</v>
      </c>
      <c r="Q310" s="2" t="s">
        <v>97</v>
      </c>
      <c r="R310" s="2" t="s">
        <v>98</v>
      </c>
      <c r="S310" s="2" t="s">
        <v>98</v>
      </c>
      <c r="T310" s="2" t="s">
        <v>98</v>
      </c>
      <c r="U310" s="2" t="s">
        <v>117</v>
      </c>
      <c r="V310" s="2" t="s">
        <v>296</v>
      </c>
      <c r="W310" s="2" t="s">
        <v>204</v>
      </c>
      <c r="X310" s="2" t="s">
        <v>103</v>
      </c>
      <c r="Y310" s="2" t="s">
        <v>1862</v>
      </c>
      <c r="Z310" s="4">
        <v>36</v>
      </c>
      <c r="AA310" s="4">
        <f>=ROUNDDOWN(12.4137931034483,0)</f>
      </c>
      <c r="AB310" s="5">
        <v>2.9</v>
      </c>
      <c r="AC310" s="2" t="s">
        <v>98</v>
      </c>
      <c r="AD310" s="4"/>
      <c r="AE310" s="4"/>
      <c r="AF310" s="6">
        <v>65</v>
      </c>
      <c r="AG310" s="6">
        <v>48</v>
      </c>
      <c r="AH310" s="7">
        <v>1</v>
      </c>
      <c r="AI310" s="4"/>
      <c r="AJ310" s="4">
        <f>=ROUNDDOWN({0},0)</f>
      </c>
      <c r="AK310" s="5"/>
      <c r="AL310" s="2" t="s">
        <v>98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/>
      <c r="BD310" s="8"/>
      <c r="BE310" s="4"/>
      <c r="BF310" s="8"/>
      <c r="BG310" s="7"/>
      <c r="BH310" s="7"/>
      <c r="BI310" s="7"/>
      <c r="BJ310" s="4"/>
      <c r="BK310" s="8"/>
      <c r="BL310" s="2" t="s">
        <v>98</v>
      </c>
      <c r="BM310" s="7"/>
      <c r="BN310" s="7"/>
      <c r="BO310" s="4"/>
      <c r="BP310" s="8"/>
      <c r="BQ310" s="4"/>
      <c r="BR310" s="8"/>
      <c r="BS310" s="7"/>
      <c r="BT310" s="7"/>
      <c r="BU310" s="2" t="s">
        <v>107</v>
      </c>
      <c r="BV310" s="2" t="s">
        <v>1355</v>
      </c>
      <c r="BW310" s="2" t="s">
        <v>1512</v>
      </c>
      <c r="BX310" s="2" t="s">
        <v>1863</v>
      </c>
      <c r="BY310" s="2" t="s">
        <v>110</v>
      </c>
      <c r="BZ310" s="2" t="s">
        <v>98</v>
      </c>
    </row>
    <row r="311">
      <c r="A311" s="2" t="s">
        <v>1864</v>
      </c>
      <c r="B311" s="2" t="s">
        <v>1345</v>
      </c>
      <c r="C311" s="2" t="s">
        <v>88</v>
      </c>
      <c r="D311" s="2" t="s">
        <v>1346</v>
      </c>
      <c r="E311" s="2" t="s">
        <v>1347</v>
      </c>
      <c r="F311" s="2" t="s">
        <v>1865</v>
      </c>
      <c r="G311" s="2" t="s">
        <v>1866</v>
      </c>
      <c r="H311" s="2" t="s">
        <v>1867</v>
      </c>
      <c r="I311" s="2" t="s">
        <v>1682</v>
      </c>
      <c r="J311" s="2" t="s">
        <v>93</v>
      </c>
      <c r="K311" s="2" t="s">
        <v>277</v>
      </c>
      <c r="L311" s="3">
        <v>147.25</v>
      </c>
      <c r="M311" s="3">
        <v>154.61</v>
      </c>
      <c r="N311" s="3">
        <v>309</v>
      </c>
      <c r="O311" s="2" t="s">
        <v>95</v>
      </c>
      <c r="P311" s="2" t="s">
        <v>134</v>
      </c>
      <c r="Q311" s="2" t="s">
        <v>97</v>
      </c>
      <c r="R311" s="2" t="s">
        <v>98</v>
      </c>
      <c r="S311" s="2" t="s">
        <v>1868</v>
      </c>
      <c r="T311" s="2" t="s">
        <v>98</v>
      </c>
      <c r="U311" s="2" t="s">
        <v>98</v>
      </c>
      <c r="V311" s="2" t="s">
        <v>439</v>
      </c>
      <c r="W311" s="2" t="s">
        <v>963</v>
      </c>
      <c r="X311" s="2" t="s">
        <v>98</v>
      </c>
      <c r="Y311" s="2" t="s">
        <v>366</v>
      </c>
      <c r="Z311" s="4">
        <v>28</v>
      </c>
      <c r="AA311" s="4">
        <f>=ROUNDDOWN(5.95744680851064,0)</f>
      </c>
      <c r="AB311" s="5">
        <v>4.7</v>
      </c>
      <c r="AC311" s="2" t="s">
        <v>1651</v>
      </c>
      <c r="AD311" s="4">
        <v>100</v>
      </c>
      <c r="AE311" s="4">
        <v>100</v>
      </c>
      <c r="AF311" s="6">
        <v>74</v>
      </c>
      <c r="AG311" s="6">
        <v>60</v>
      </c>
      <c r="AH311" s="7">
        <v>1</v>
      </c>
      <c r="AI311" s="4"/>
      <c r="AJ311" s="4">
        <f>=ROUNDDOWN({0},0)</f>
      </c>
      <c r="AK311" s="5"/>
      <c r="AL311" s="2" t="s">
        <v>98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 t="s">
        <v>98</v>
      </c>
      <c r="BD311" s="8" t="s">
        <v>98</v>
      </c>
      <c r="BE311" s="4">
        <v>1</v>
      </c>
      <c r="BF311" s="8">
        <v>150.38</v>
      </c>
      <c r="BG311" s="7" t="s">
        <v>98</v>
      </c>
      <c r="BH311" s="7" t="s">
        <v>98</v>
      </c>
      <c r="BI311" s="7"/>
      <c r="BJ311" s="4">
        <v>4</v>
      </c>
      <c r="BK311" s="8">
        <v>641.37</v>
      </c>
      <c r="BL311" s="2" t="s">
        <v>1869</v>
      </c>
      <c r="BM311" s="7"/>
      <c r="BN311" s="7"/>
      <c r="BO311" s="4"/>
      <c r="BP311" s="8"/>
      <c r="BQ311" s="4"/>
      <c r="BR311" s="8"/>
      <c r="BS311" s="7"/>
      <c r="BT311" s="7"/>
      <c r="BU311" s="2" t="s">
        <v>107</v>
      </c>
      <c r="BV311" s="2" t="s">
        <v>1355</v>
      </c>
      <c r="BW311" s="2" t="s">
        <v>1356</v>
      </c>
      <c r="BX311" s="2" t="s">
        <v>1870</v>
      </c>
      <c r="BY311" s="2" t="s">
        <v>110</v>
      </c>
      <c r="BZ311" s="2" t="s">
        <v>98</v>
      </c>
    </row>
    <row r="312">
      <c r="A312" s="2" t="s">
        <v>1871</v>
      </c>
      <c r="B312" s="2" t="s">
        <v>1345</v>
      </c>
      <c r="C312" s="2" t="s">
        <v>88</v>
      </c>
      <c r="D312" s="2" t="s">
        <v>1346</v>
      </c>
      <c r="E312" s="2" t="s">
        <v>1347</v>
      </c>
      <c r="F312" s="2" t="s">
        <v>1865</v>
      </c>
      <c r="G312" s="2" t="s">
        <v>1866</v>
      </c>
      <c r="H312" s="2" t="s">
        <v>1867</v>
      </c>
      <c r="I312" s="2" t="s">
        <v>1682</v>
      </c>
      <c r="J312" s="2" t="s">
        <v>93</v>
      </c>
      <c r="K312" s="2" t="s">
        <v>286</v>
      </c>
      <c r="L312" s="3">
        <v>147.25</v>
      </c>
      <c r="M312" s="3">
        <v>154.61</v>
      </c>
      <c r="N312" s="3">
        <v>309</v>
      </c>
      <c r="O312" s="2" t="s">
        <v>95</v>
      </c>
      <c r="P312" s="2" t="s">
        <v>142</v>
      </c>
      <c r="Q312" s="2" t="s">
        <v>97</v>
      </c>
      <c r="R312" s="2" t="s">
        <v>98</v>
      </c>
      <c r="S312" s="2" t="s">
        <v>1872</v>
      </c>
      <c r="T312" s="2" t="s">
        <v>98</v>
      </c>
      <c r="U312" s="2" t="s">
        <v>98</v>
      </c>
      <c r="V312" s="2" t="s">
        <v>439</v>
      </c>
      <c r="W312" s="2" t="s">
        <v>963</v>
      </c>
      <c r="X312" s="2" t="s">
        <v>98</v>
      </c>
      <c r="Y312" s="2" t="s">
        <v>366</v>
      </c>
      <c r="Z312" s="4">
        <v>144</v>
      </c>
      <c r="AA312" s="4">
        <f>=ROUNDDOWN(48,0)</f>
      </c>
      <c r="AB312" s="5">
        <v>3</v>
      </c>
      <c r="AC312" s="2" t="s">
        <v>98</v>
      </c>
      <c r="AD312" s="4"/>
      <c r="AE312" s="4"/>
      <c r="AF312" s="6">
        <v>74</v>
      </c>
      <c r="AG312" s="6"/>
      <c r="AH312" s="7">
        <v>1</v>
      </c>
      <c r="AI312" s="4"/>
      <c r="AJ312" s="4">
        <f>=ROUNDDOWN({0},0)</f>
      </c>
      <c r="AK312" s="5"/>
      <c r="AL312" s="2" t="s">
        <v>98</v>
      </c>
      <c r="AM312" s="4"/>
      <c r="AN312" s="4"/>
      <c r="AO312" s="7">
        <v>0</v>
      </c>
      <c r="AP312" s="4"/>
      <c r="AQ312" s="8"/>
      <c r="AR312" s="4">
        <v>1</v>
      </c>
      <c r="AS312" s="8">
        <v>150.38</v>
      </c>
      <c r="AT312" s="7">
        <v>-1</v>
      </c>
      <c r="AU312" s="7">
        <v>-1</v>
      </c>
      <c r="AV312" s="4"/>
      <c r="AW312" s="8"/>
      <c r="AX312" s="4">
        <v>1</v>
      </c>
      <c r="AY312" s="8">
        <v>150.38</v>
      </c>
      <c r="AZ312" s="7">
        <v>-1</v>
      </c>
      <c r="BA312" s="7">
        <v>-1</v>
      </c>
      <c r="BB312" s="7"/>
      <c r="BC312" s="4" t="s">
        <v>98</v>
      </c>
      <c r="BD312" s="8" t="s">
        <v>98</v>
      </c>
      <c r="BE312" s="4" t="s">
        <v>98</v>
      </c>
      <c r="BF312" s="8" t="s">
        <v>98</v>
      </c>
      <c r="BG312" s="7" t="s">
        <v>98</v>
      </c>
      <c r="BH312" s="7" t="s">
        <v>98</v>
      </c>
      <c r="BI312" s="7"/>
      <c r="BJ312" s="4">
        <v>1</v>
      </c>
      <c r="BK312" s="8">
        <v>170.07</v>
      </c>
      <c r="BL312" s="2" t="s">
        <v>1873</v>
      </c>
      <c r="BM312" s="7"/>
      <c r="BN312" s="7"/>
      <c r="BO312" s="4"/>
      <c r="BP312" s="8"/>
      <c r="BQ312" s="4">
        <v>1</v>
      </c>
      <c r="BR312" s="8">
        <v>150.38</v>
      </c>
      <c r="BS312" s="7">
        <v>-1</v>
      </c>
      <c r="BT312" s="7">
        <v>-1</v>
      </c>
      <c r="BU312" s="2" t="s">
        <v>107</v>
      </c>
      <c r="BV312" s="2" t="s">
        <v>1355</v>
      </c>
      <c r="BW312" s="2" t="s">
        <v>1356</v>
      </c>
      <c r="BX312" s="2" t="s">
        <v>1874</v>
      </c>
      <c r="BY312" s="2" t="s">
        <v>110</v>
      </c>
      <c r="BZ312" s="2" t="s">
        <v>98</v>
      </c>
    </row>
    <row r="313">
      <c r="A313" s="2" t="s">
        <v>1875</v>
      </c>
      <c r="B313" s="2" t="s">
        <v>1345</v>
      </c>
      <c r="C313" s="2" t="s">
        <v>88</v>
      </c>
      <c r="D313" s="2" t="s">
        <v>1346</v>
      </c>
      <c r="E313" s="2" t="s">
        <v>1876</v>
      </c>
      <c r="F313" s="2" t="s">
        <v>1877</v>
      </c>
      <c r="G313" s="2" t="s">
        <v>1878</v>
      </c>
      <c r="H313" s="2" t="s">
        <v>1879</v>
      </c>
      <c r="I313" s="2" t="s">
        <v>1880</v>
      </c>
      <c r="J313" s="2" t="s">
        <v>93</v>
      </c>
      <c r="K313" s="2" t="s">
        <v>1816</v>
      </c>
      <c r="L313" s="3">
        <v>143</v>
      </c>
      <c r="M313" s="3">
        <v>150.15</v>
      </c>
      <c r="N313" s="3">
        <v>299</v>
      </c>
      <c r="O313" s="2" t="s">
        <v>155</v>
      </c>
      <c r="P313" s="2" t="s">
        <v>115</v>
      </c>
      <c r="Q313" s="2" t="s">
        <v>97</v>
      </c>
      <c r="R313" s="2" t="s">
        <v>98</v>
      </c>
      <c r="S313" s="2" t="s">
        <v>98</v>
      </c>
      <c r="T313" s="2" t="s">
        <v>98</v>
      </c>
      <c r="U313" s="2" t="s">
        <v>117</v>
      </c>
      <c r="V313" s="2" t="s">
        <v>296</v>
      </c>
      <c r="W313" s="2" t="s">
        <v>103</v>
      </c>
      <c r="X313" s="2" t="s">
        <v>98</v>
      </c>
      <c r="Y313" s="2" t="s">
        <v>1881</v>
      </c>
      <c r="Z313" s="4">
        <v>70</v>
      </c>
      <c r="AA313" s="4">
        <f>=ROUNDDOWN(140,0)</f>
      </c>
      <c r="AB313" s="5">
        <v>0.5</v>
      </c>
      <c r="AC313" s="2" t="s">
        <v>98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98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/>
      <c r="AW313" s="8"/>
      <c r="AX313" s="4"/>
      <c r="AY313" s="8"/>
      <c r="AZ313" s="7"/>
      <c r="BA313" s="7"/>
      <c r="BB313" s="7"/>
      <c r="BC313" s="4"/>
      <c r="BD313" s="8"/>
      <c r="BE313" s="4"/>
      <c r="BF313" s="8"/>
      <c r="BG313" s="7"/>
      <c r="BH313" s="7"/>
      <c r="BI313" s="7"/>
      <c r="BJ313" s="4"/>
      <c r="BK313" s="8"/>
      <c r="BL313" s="2" t="s">
        <v>269</v>
      </c>
      <c r="BM313" s="7"/>
      <c r="BN313" s="7"/>
      <c r="BO313" s="4"/>
      <c r="BP313" s="8"/>
      <c r="BQ313" s="4"/>
      <c r="BR313" s="8"/>
      <c r="BS313" s="7"/>
      <c r="BT313" s="7"/>
      <c r="BU313" s="2" t="s">
        <v>1376</v>
      </c>
      <c r="BV313" s="2" t="s">
        <v>95</v>
      </c>
      <c r="BW313" s="2" t="s">
        <v>98</v>
      </c>
      <c r="BX313" s="2" t="s">
        <v>98</v>
      </c>
      <c r="BY313" s="2" t="s">
        <v>110</v>
      </c>
      <c r="BZ313" s="2" t="s">
        <v>98</v>
      </c>
    </row>
    <row r="314">
      <c r="A314" s="2" t="s">
        <v>1882</v>
      </c>
      <c r="B314" s="2" t="s">
        <v>1345</v>
      </c>
      <c r="C314" s="2" t="s">
        <v>88</v>
      </c>
      <c r="D314" s="2" t="s">
        <v>1346</v>
      </c>
      <c r="E314" s="2" t="s">
        <v>1876</v>
      </c>
      <c r="F314" s="2" t="s">
        <v>1883</v>
      </c>
      <c r="G314" s="2" t="s">
        <v>1884</v>
      </c>
      <c r="H314" s="2" t="s">
        <v>995</v>
      </c>
      <c r="I314" s="2" t="s">
        <v>1885</v>
      </c>
      <c r="J314" s="2" t="s">
        <v>93</v>
      </c>
      <c r="K314" s="2" t="s">
        <v>277</v>
      </c>
      <c r="L314" s="3">
        <v>205</v>
      </c>
      <c r="M314" s="3">
        <v>215.25</v>
      </c>
      <c r="N314" s="3">
        <v>429</v>
      </c>
      <c r="O314" s="2" t="s">
        <v>155</v>
      </c>
      <c r="P314" s="2" t="s">
        <v>115</v>
      </c>
      <c r="Q314" s="2" t="s">
        <v>97</v>
      </c>
      <c r="R314" s="2" t="s">
        <v>98</v>
      </c>
      <c r="S314" s="2" t="s">
        <v>98</v>
      </c>
      <c r="T314" s="2" t="s">
        <v>98</v>
      </c>
      <c r="U314" s="2" t="s">
        <v>117</v>
      </c>
      <c r="V314" s="2" t="s">
        <v>296</v>
      </c>
      <c r="W314" s="2" t="s">
        <v>102</v>
      </c>
      <c r="X314" s="2" t="s">
        <v>963</v>
      </c>
      <c r="Y314" s="2" t="s">
        <v>1886</v>
      </c>
      <c r="Z314" s="4">
        <v>206</v>
      </c>
      <c r="AA314" s="4">
        <f>=ROUNDDOWN(206,0)</f>
      </c>
      <c r="AB314" s="5">
        <v>1</v>
      </c>
      <c r="AC314" s="2" t="s">
        <v>98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98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/>
      <c r="AW314" s="8"/>
      <c r="AX314" s="4"/>
      <c r="AY314" s="8"/>
      <c r="AZ314" s="7"/>
      <c r="BA314" s="7"/>
      <c r="BB314" s="7"/>
      <c r="BC314" s="4"/>
      <c r="BD314" s="8"/>
      <c r="BE314" s="4"/>
      <c r="BF314" s="8"/>
      <c r="BG314" s="7"/>
      <c r="BH314" s="7"/>
      <c r="BI314" s="7"/>
      <c r="BJ314" s="4"/>
      <c r="BK314" s="8"/>
      <c r="BL314" s="2" t="s">
        <v>98</v>
      </c>
      <c r="BM314" s="7"/>
      <c r="BN314" s="7"/>
      <c r="BO314" s="4"/>
      <c r="BP314" s="8"/>
      <c r="BQ314" s="4"/>
      <c r="BR314" s="8"/>
      <c r="BS314" s="7"/>
      <c r="BT314" s="7"/>
      <c r="BU314" s="2" t="s">
        <v>1376</v>
      </c>
      <c r="BV314" s="2" t="s">
        <v>95</v>
      </c>
      <c r="BW314" s="2" t="s">
        <v>98</v>
      </c>
      <c r="BX314" s="2" t="s">
        <v>98</v>
      </c>
      <c r="BY314" s="2" t="s">
        <v>110</v>
      </c>
      <c r="BZ314" s="2" t="s">
        <v>98</v>
      </c>
    </row>
    <row r="315">
      <c r="A315" s="2" t="s">
        <v>1887</v>
      </c>
      <c r="B315" s="2" t="s">
        <v>1345</v>
      </c>
      <c r="C315" s="2" t="s">
        <v>88</v>
      </c>
      <c r="D315" s="2" t="s">
        <v>1346</v>
      </c>
      <c r="E315" s="2" t="s">
        <v>1876</v>
      </c>
      <c r="F315" s="2" t="s">
        <v>1888</v>
      </c>
      <c r="G315" s="2" t="s">
        <v>1889</v>
      </c>
      <c r="H315" s="2" t="s">
        <v>1890</v>
      </c>
      <c r="I315" s="2" t="s">
        <v>1891</v>
      </c>
      <c r="J315" s="2" t="s">
        <v>93</v>
      </c>
      <c r="K315" s="2" t="s">
        <v>514</v>
      </c>
      <c r="L315" s="3">
        <v>171</v>
      </c>
      <c r="M315" s="3">
        <v>179.55</v>
      </c>
      <c r="N315" s="3">
        <v>359</v>
      </c>
      <c r="O315" s="2" t="s">
        <v>95</v>
      </c>
      <c r="P315" s="2" t="s">
        <v>115</v>
      </c>
      <c r="Q315" s="2" t="s">
        <v>97</v>
      </c>
      <c r="R315" s="2" t="s">
        <v>98</v>
      </c>
      <c r="S315" s="2" t="s">
        <v>98</v>
      </c>
      <c r="T315" s="2" t="s">
        <v>98</v>
      </c>
      <c r="U315" s="2" t="s">
        <v>117</v>
      </c>
      <c r="V315" s="2" t="s">
        <v>296</v>
      </c>
      <c r="W315" s="2" t="s">
        <v>102</v>
      </c>
      <c r="X315" s="2" t="s">
        <v>103</v>
      </c>
      <c r="Y315" s="2" t="s">
        <v>1886</v>
      </c>
      <c r="Z315" s="4">
        <v>32</v>
      </c>
      <c r="AA315" s="4">
        <f>=ROUNDDOWN(17.7777777777778,0)</f>
      </c>
      <c r="AB315" s="5">
        <v>1.8</v>
      </c>
      <c r="AC315" s="2" t="s">
        <v>98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98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/>
      <c r="AW315" s="8"/>
      <c r="AX315" s="4"/>
      <c r="AY315" s="8"/>
      <c r="AZ315" s="7"/>
      <c r="BA315" s="7"/>
      <c r="BB315" s="7"/>
      <c r="BC315" s="4"/>
      <c r="BD315" s="8"/>
      <c r="BE315" s="4"/>
      <c r="BF315" s="8"/>
      <c r="BG315" s="7"/>
      <c r="BH315" s="7"/>
      <c r="BI315" s="7"/>
      <c r="BJ315" s="4"/>
      <c r="BK315" s="8"/>
      <c r="BL315" s="2" t="s">
        <v>98</v>
      </c>
      <c r="BM315" s="7"/>
      <c r="BN315" s="7"/>
      <c r="BO315" s="4"/>
      <c r="BP315" s="8"/>
      <c r="BQ315" s="4"/>
      <c r="BR315" s="8"/>
      <c r="BS315" s="7"/>
      <c r="BT315" s="7"/>
      <c r="BU315" s="2" t="s">
        <v>1376</v>
      </c>
      <c r="BV315" s="2" t="s">
        <v>95</v>
      </c>
      <c r="BW315" s="2" t="s">
        <v>98</v>
      </c>
      <c r="BX315" s="2" t="s">
        <v>98</v>
      </c>
      <c r="BY315" s="2" t="s">
        <v>110</v>
      </c>
      <c r="BZ315" s="2" t="s">
        <v>98</v>
      </c>
    </row>
    <row r="316">
      <c r="A316" s="2" t="s">
        <v>1892</v>
      </c>
      <c r="B316" s="2" t="s">
        <v>1345</v>
      </c>
      <c r="C316" s="2" t="s">
        <v>88</v>
      </c>
      <c r="D316" s="2" t="s">
        <v>1346</v>
      </c>
      <c r="E316" s="2" t="s">
        <v>1893</v>
      </c>
      <c r="F316" s="2" t="s">
        <v>1894</v>
      </c>
      <c r="G316" s="2" t="s">
        <v>1895</v>
      </c>
      <c r="H316" s="2" t="s">
        <v>1896</v>
      </c>
      <c r="I316" s="2" t="s">
        <v>1897</v>
      </c>
      <c r="J316" s="2" t="s">
        <v>93</v>
      </c>
      <c r="K316" s="2" t="s">
        <v>1052</v>
      </c>
      <c r="L316" s="3">
        <v>187.91</v>
      </c>
      <c r="M316" s="3">
        <v>197.31</v>
      </c>
      <c r="N316" s="3">
        <v>399</v>
      </c>
      <c r="O316" s="2" t="s">
        <v>95</v>
      </c>
      <c r="P316" s="2" t="s">
        <v>142</v>
      </c>
      <c r="Q316" s="2" t="s">
        <v>97</v>
      </c>
      <c r="R316" s="2" t="s">
        <v>98</v>
      </c>
      <c r="S316" s="2" t="s">
        <v>1898</v>
      </c>
      <c r="T316" s="2" t="s">
        <v>98</v>
      </c>
      <c r="U316" s="2" t="s">
        <v>98</v>
      </c>
      <c r="V316" s="2" t="s">
        <v>439</v>
      </c>
      <c r="W316" s="2" t="s">
        <v>314</v>
      </c>
      <c r="X316" s="2" t="s">
        <v>98</v>
      </c>
      <c r="Y316" s="2" t="s">
        <v>376</v>
      </c>
      <c r="Z316" s="4">
        <v>81</v>
      </c>
      <c r="AA316" s="4">
        <f>=ROUNDDOWN(270,0)</f>
      </c>
      <c r="AB316" s="5">
        <v>0.3</v>
      </c>
      <c r="AC316" s="2" t="s">
        <v>98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98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/>
      <c r="BD316" s="8"/>
      <c r="BE316" s="4"/>
      <c r="BF316" s="8"/>
      <c r="BG316" s="7"/>
      <c r="BH316" s="7"/>
      <c r="BI316" s="7"/>
      <c r="BJ316" s="4"/>
      <c r="BK316" s="8"/>
      <c r="BL316" s="2" t="s">
        <v>98</v>
      </c>
      <c r="BM316" s="7"/>
      <c r="BN316" s="7"/>
      <c r="BO316" s="4"/>
      <c r="BP316" s="8"/>
      <c r="BQ316" s="4"/>
      <c r="BR316" s="8"/>
      <c r="BS316" s="7"/>
      <c r="BT316" s="7"/>
      <c r="BU316" s="2" t="s">
        <v>1376</v>
      </c>
      <c r="BV316" s="2" t="s">
        <v>95</v>
      </c>
      <c r="BW316" s="2" t="s">
        <v>98</v>
      </c>
      <c r="BX316" s="2" t="s">
        <v>98</v>
      </c>
      <c r="BY316" s="2" t="s">
        <v>110</v>
      </c>
      <c r="BZ316" s="2" t="s">
        <v>98</v>
      </c>
    </row>
    <row r="317">
      <c r="A317" s="2" t="s">
        <v>1899</v>
      </c>
      <c r="B317" s="2" t="s">
        <v>1345</v>
      </c>
      <c r="C317" s="2" t="s">
        <v>88</v>
      </c>
      <c r="D317" s="2" t="s">
        <v>1346</v>
      </c>
      <c r="E317" s="2" t="s">
        <v>1893</v>
      </c>
      <c r="F317" s="2" t="s">
        <v>1900</v>
      </c>
      <c r="G317" s="2" t="s">
        <v>1901</v>
      </c>
      <c r="H317" s="2" t="s">
        <v>1902</v>
      </c>
      <c r="I317" s="2" t="s">
        <v>1903</v>
      </c>
      <c r="J317" s="2" t="s">
        <v>93</v>
      </c>
      <c r="K317" s="2" t="s">
        <v>514</v>
      </c>
      <c r="L317" s="3">
        <v>180.5</v>
      </c>
      <c r="M317" s="3">
        <v>189.52</v>
      </c>
      <c r="N317" s="3">
        <v>379</v>
      </c>
      <c r="O317" s="2" t="s">
        <v>95</v>
      </c>
      <c r="P317" s="2" t="s">
        <v>134</v>
      </c>
      <c r="Q317" s="2" t="s">
        <v>97</v>
      </c>
      <c r="R317" s="2" t="s">
        <v>98</v>
      </c>
      <c r="S317" s="2" t="s">
        <v>98</v>
      </c>
      <c r="T317" s="2" t="s">
        <v>98</v>
      </c>
      <c r="U317" s="2" t="s">
        <v>98</v>
      </c>
      <c r="V317" s="2" t="s">
        <v>296</v>
      </c>
      <c r="W317" s="2" t="s">
        <v>102</v>
      </c>
      <c r="X317" s="2" t="s">
        <v>98</v>
      </c>
      <c r="Y317" s="2" t="s">
        <v>467</v>
      </c>
      <c r="Z317" s="4">
        <v>190</v>
      </c>
      <c r="AA317" s="4">
        <f>=ROUNDDOWN(47.5,0)</f>
      </c>
      <c r="AB317" s="5">
        <v>4</v>
      </c>
      <c r="AC317" s="2" t="s">
        <v>98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98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/>
      <c r="AW317" s="8"/>
      <c r="AX317" s="4"/>
      <c r="AY317" s="8"/>
      <c r="AZ317" s="7"/>
      <c r="BA317" s="7"/>
      <c r="BB317" s="7"/>
      <c r="BC317" s="4"/>
      <c r="BD317" s="8"/>
      <c r="BE317" s="4"/>
      <c r="BF317" s="8"/>
      <c r="BG317" s="7"/>
      <c r="BH317" s="7"/>
      <c r="BI317" s="7"/>
      <c r="BJ317" s="4"/>
      <c r="BK317" s="8"/>
      <c r="BL317" s="2" t="s">
        <v>895</v>
      </c>
      <c r="BM317" s="7"/>
      <c r="BN317" s="7"/>
      <c r="BO317" s="4"/>
      <c r="BP317" s="8"/>
      <c r="BQ317" s="4"/>
      <c r="BR317" s="8"/>
      <c r="BS317" s="7"/>
      <c r="BT317" s="7"/>
      <c r="BU317" s="2" t="s">
        <v>1376</v>
      </c>
      <c r="BV317" s="2" t="s">
        <v>95</v>
      </c>
      <c r="BW317" s="2" t="s">
        <v>98</v>
      </c>
      <c r="BX317" s="2" t="s">
        <v>98</v>
      </c>
      <c r="BY317" s="2" t="s">
        <v>110</v>
      </c>
      <c r="BZ317" s="2" t="s">
        <v>98</v>
      </c>
    </row>
    <row r="318">
      <c r="A318" s="2" t="s">
        <v>1904</v>
      </c>
      <c r="B318" s="2" t="s">
        <v>1345</v>
      </c>
      <c r="C318" s="2" t="s">
        <v>88</v>
      </c>
      <c r="D318" s="2" t="s">
        <v>1346</v>
      </c>
      <c r="E318" s="2" t="s">
        <v>1893</v>
      </c>
      <c r="F318" s="2" t="s">
        <v>91</v>
      </c>
      <c r="G318" s="2" t="s">
        <v>1905</v>
      </c>
      <c r="H318" s="2" t="s">
        <v>1906</v>
      </c>
      <c r="I318" s="2" t="s">
        <v>1907</v>
      </c>
      <c r="J318" s="2" t="s">
        <v>93</v>
      </c>
      <c r="K318" s="2" t="s">
        <v>1908</v>
      </c>
      <c r="L318" s="3">
        <v>195.5</v>
      </c>
      <c r="M318" s="3">
        <v>205.28</v>
      </c>
      <c r="N318" s="3">
        <v>409</v>
      </c>
      <c r="O318" s="2" t="s">
        <v>155</v>
      </c>
      <c r="P318" s="2" t="s">
        <v>115</v>
      </c>
      <c r="Q318" s="2" t="s">
        <v>97</v>
      </c>
      <c r="R318" s="2" t="s">
        <v>98</v>
      </c>
      <c r="S318" s="2" t="s">
        <v>98</v>
      </c>
      <c r="T318" s="2" t="s">
        <v>98</v>
      </c>
      <c r="U318" s="2" t="s">
        <v>117</v>
      </c>
      <c r="V318" s="2" t="s">
        <v>296</v>
      </c>
      <c r="W318" s="2" t="s">
        <v>103</v>
      </c>
      <c r="X318" s="2" t="s">
        <v>102</v>
      </c>
      <c r="Y318" s="2" t="s">
        <v>1909</v>
      </c>
      <c r="Z318" s="4">
        <v>91</v>
      </c>
      <c r="AA318" s="4">
        <f>=ROUNDDOWN(303.333333333333,0)</f>
      </c>
      <c r="AB318" s="5">
        <v>0.3</v>
      </c>
      <c r="AC318" s="2" t="s">
        <v>98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98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/>
      <c r="BD318" s="8"/>
      <c r="BE318" s="4"/>
      <c r="BF318" s="8"/>
      <c r="BG318" s="7"/>
      <c r="BH318" s="7"/>
      <c r="BI318" s="7"/>
      <c r="BJ318" s="4"/>
      <c r="BK318" s="8"/>
      <c r="BL318" s="2" t="s">
        <v>98</v>
      </c>
      <c r="BM318" s="7"/>
      <c r="BN318" s="7"/>
      <c r="BO318" s="4"/>
      <c r="BP318" s="8"/>
      <c r="BQ318" s="4"/>
      <c r="BR318" s="8"/>
      <c r="BS318" s="7"/>
      <c r="BT318" s="7"/>
      <c r="BU318" s="2" t="s">
        <v>1376</v>
      </c>
      <c r="BV318" s="2" t="s">
        <v>95</v>
      </c>
      <c r="BW318" s="2" t="s">
        <v>98</v>
      </c>
      <c r="BX318" s="2" t="s">
        <v>98</v>
      </c>
      <c r="BY318" s="2" t="s">
        <v>110</v>
      </c>
      <c r="BZ318" s="2" t="s">
        <v>98</v>
      </c>
    </row>
    <row r="319">
      <c r="A319" s="2" t="s">
        <v>1910</v>
      </c>
      <c r="B319" s="2" t="s">
        <v>1345</v>
      </c>
      <c r="C319" s="2" t="s">
        <v>88</v>
      </c>
      <c r="D319" s="2" t="s">
        <v>1346</v>
      </c>
      <c r="E319" s="2" t="s">
        <v>1893</v>
      </c>
      <c r="F319" s="2" t="s">
        <v>1911</v>
      </c>
      <c r="G319" s="2" t="s">
        <v>1912</v>
      </c>
      <c r="H319" s="2" t="s">
        <v>1913</v>
      </c>
      <c r="I319" s="2" t="s">
        <v>1914</v>
      </c>
      <c r="J319" s="2" t="s">
        <v>93</v>
      </c>
      <c r="K319" s="2" t="s">
        <v>1915</v>
      </c>
      <c r="L319" s="3">
        <v>209.76</v>
      </c>
      <c r="M319" s="3">
        <v>220.25</v>
      </c>
      <c r="N319" s="3">
        <v>439</v>
      </c>
      <c r="O319" s="2" t="s">
        <v>95</v>
      </c>
      <c r="P319" s="2" t="s">
        <v>142</v>
      </c>
      <c r="Q319" s="2" t="s">
        <v>97</v>
      </c>
      <c r="R319" s="2" t="s">
        <v>98</v>
      </c>
      <c r="S319" s="2" t="s">
        <v>98</v>
      </c>
      <c r="T319" s="2" t="s">
        <v>98</v>
      </c>
      <c r="U319" s="2" t="s">
        <v>117</v>
      </c>
      <c r="V319" s="2" t="s">
        <v>296</v>
      </c>
      <c r="W319" s="2" t="s">
        <v>102</v>
      </c>
      <c r="X319" s="2" t="s">
        <v>204</v>
      </c>
      <c r="Y319" s="2" t="s">
        <v>1916</v>
      </c>
      <c r="Z319" s="4">
        <v>59</v>
      </c>
      <c r="AA319" s="4">
        <f>=ROUNDDOWN(295,0)</f>
      </c>
      <c r="AB319" s="5">
        <v>0.2</v>
      </c>
      <c r="AC319" s="2" t="s">
        <v>98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98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/>
      <c r="AW319" s="8"/>
      <c r="AX319" s="4"/>
      <c r="AY319" s="8"/>
      <c r="AZ319" s="7"/>
      <c r="BA319" s="7"/>
      <c r="BB319" s="7"/>
      <c r="BC319" s="4"/>
      <c r="BD319" s="8"/>
      <c r="BE319" s="4"/>
      <c r="BF319" s="8"/>
      <c r="BG319" s="7"/>
      <c r="BH319" s="7"/>
      <c r="BI319" s="7"/>
      <c r="BJ319" s="4">
        <v>1</v>
      </c>
      <c r="BK319" s="8">
        <v>246.68</v>
      </c>
      <c r="BL319" s="2" t="s">
        <v>505</v>
      </c>
      <c r="BM319" s="7"/>
      <c r="BN319" s="7"/>
      <c r="BO319" s="4"/>
      <c r="BP319" s="8"/>
      <c r="BQ319" s="4"/>
      <c r="BR319" s="8"/>
      <c r="BS319" s="7"/>
      <c r="BT319" s="7"/>
      <c r="BU319" s="2" t="s">
        <v>1376</v>
      </c>
      <c r="BV319" s="2" t="s">
        <v>95</v>
      </c>
      <c r="BW319" s="2" t="s">
        <v>98</v>
      </c>
      <c r="BX319" s="2" t="s">
        <v>98</v>
      </c>
      <c r="BY319" s="2" t="s">
        <v>110</v>
      </c>
      <c r="BZ319" s="2" t="s">
        <v>98</v>
      </c>
    </row>
    <row r="320">
      <c r="A320" s="2" t="s">
        <v>1917</v>
      </c>
      <c r="B320" s="2" t="s">
        <v>1345</v>
      </c>
      <c r="C320" s="2" t="s">
        <v>88</v>
      </c>
      <c r="D320" s="2" t="s">
        <v>1346</v>
      </c>
      <c r="E320" s="2" t="s">
        <v>1893</v>
      </c>
      <c r="F320" s="2" t="s">
        <v>1918</v>
      </c>
      <c r="G320" s="2" t="s">
        <v>1919</v>
      </c>
      <c r="H320" s="2" t="s">
        <v>1920</v>
      </c>
      <c r="I320" s="2" t="s">
        <v>1921</v>
      </c>
      <c r="J320" s="2" t="s">
        <v>93</v>
      </c>
      <c r="K320" s="2" t="s">
        <v>1052</v>
      </c>
      <c r="L320" s="3">
        <v>183.83</v>
      </c>
      <c r="M320" s="3">
        <v>193.02</v>
      </c>
      <c r="N320" s="3">
        <v>389</v>
      </c>
      <c r="O320" s="2" t="s">
        <v>95</v>
      </c>
      <c r="P320" s="2" t="s">
        <v>142</v>
      </c>
      <c r="Q320" s="2" t="s">
        <v>97</v>
      </c>
      <c r="R320" s="2" t="s">
        <v>98</v>
      </c>
      <c r="S320" s="2" t="s">
        <v>98</v>
      </c>
      <c r="T320" s="2" t="s">
        <v>98</v>
      </c>
      <c r="U320" s="2" t="s">
        <v>117</v>
      </c>
      <c r="V320" s="2" t="s">
        <v>296</v>
      </c>
      <c r="W320" s="2" t="s">
        <v>103</v>
      </c>
      <c r="X320" s="2" t="s">
        <v>119</v>
      </c>
      <c r="Y320" s="2" t="s">
        <v>1922</v>
      </c>
      <c r="Z320" s="4">
        <v>80</v>
      </c>
      <c r="AA320" s="4">
        <f>=ROUNDDOWN(80,0)</f>
      </c>
      <c r="AB320" s="5">
        <v>1</v>
      </c>
      <c r="AC320" s="2" t="s">
        <v>98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98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/>
      <c r="AW320" s="8"/>
      <c r="AX320" s="4"/>
      <c r="AY320" s="8"/>
      <c r="AZ320" s="7"/>
      <c r="BA320" s="7"/>
      <c r="BB320" s="7"/>
      <c r="BC320" s="4"/>
      <c r="BD320" s="8"/>
      <c r="BE320" s="4"/>
      <c r="BF320" s="8"/>
      <c r="BG320" s="7"/>
      <c r="BH320" s="7"/>
      <c r="BI320" s="7"/>
      <c r="BJ320" s="4"/>
      <c r="BK320" s="8"/>
      <c r="BL320" s="2" t="s">
        <v>98</v>
      </c>
      <c r="BM320" s="7"/>
      <c r="BN320" s="7"/>
      <c r="BO320" s="4"/>
      <c r="BP320" s="8"/>
      <c r="BQ320" s="4"/>
      <c r="BR320" s="8"/>
      <c r="BS320" s="7"/>
      <c r="BT320" s="7"/>
      <c r="BU320" s="2" t="s">
        <v>1376</v>
      </c>
      <c r="BV320" s="2" t="s">
        <v>95</v>
      </c>
      <c r="BW320" s="2" t="s">
        <v>98</v>
      </c>
      <c r="BX320" s="2" t="s">
        <v>98</v>
      </c>
      <c r="BY320" s="2" t="s">
        <v>110</v>
      </c>
      <c r="BZ320" s="2" t="s">
        <v>98</v>
      </c>
    </row>
    <row r="321">
      <c r="A321" s="2" t="s">
        <v>1923</v>
      </c>
      <c r="B321" s="2" t="s">
        <v>1345</v>
      </c>
      <c r="C321" s="2" t="s">
        <v>88</v>
      </c>
      <c r="D321" s="2" t="s">
        <v>1346</v>
      </c>
      <c r="E321" s="2" t="s">
        <v>1893</v>
      </c>
      <c r="F321" s="2" t="s">
        <v>1924</v>
      </c>
      <c r="G321" s="2" t="s">
        <v>1925</v>
      </c>
      <c r="H321" s="2" t="s">
        <v>1926</v>
      </c>
      <c r="I321" s="2" t="s">
        <v>1630</v>
      </c>
      <c r="J321" s="2" t="s">
        <v>93</v>
      </c>
      <c r="K321" s="2" t="s">
        <v>127</v>
      </c>
      <c r="L321" s="3">
        <v>260</v>
      </c>
      <c r="M321" s="3">
        <v>273</v>
      </c>
      <c r="N321" s="3">
        <v>549</v>
      </c>
      <c r="O321" s="2" t="s">
        <v>95</v>
      </c>
      <c r="P321" s="2" t="s">
        <v>134</v>
      </c>
      <c r="Q321" s="2" t="s">
        <v>97</v>
      </c>
      <c r="R321" s="2" t="s">
        <v>98</v>
      </c>
      <c r="S321" s="2" t="s">
        <v>98</v>
      </c>
      <c r="T321" s="2" t="s">
        <v>98</v>
      </c>
      <c r="U321" s="2" t="s">
        <v>117</v>
      </c>
      <c r="V321" s="2" t="s">
        <v>296</v>
      </c>
      <c r="W321" s="2" t="s">
        <v>103</v>
      </c>
      <c r="X321" s="2" t="s">
        <v>165</v>
      </c>
      <c r="Y321" s="2" t="s">
        <v>469</v>
      </c>
      <c r="Z321" s="4">
        <v>5</v>
      </c>
      <c r="AA321" s="4">
        <f>=ROUNDDOWN(0.555555555555556,0)</f>
      </c>
      <c r="AB321" s="5">
        <v>9</v>
      </c>
      <c r="AC321" s="2" t="s">
        <v>323</v>
      </c>
      <c r="AD321" s="4">
        <v>45</v>
      </c>
      <c r="AE321" s="4">
        <v>192</v>
      </c>
      <c r="AF321" s="6">
        <v>65</v>
      </c>
      <c r="AG321" s="6">
        <v>48</v>
      </c>
      <c r="AH321" s="7">
        <v>0.5714</v>
      </c>
      <c r="AI321" s="4"/>
      <c r="AJ321" s="4">
        <f>=ROUNDDOWN({0},0)</f>
      </c>
      <c r="AK321" s="5"/>
      <c r="AL321" s="2" t="s">
        <v>98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/>
      <c r="BD321" s="8"/>
      <c r="BE321" s="4"/>
      <c r="BF321" s="8"/>
      <c r="BG321" s="7"/>
      <c r="BH321" s="7"/>
      <c r="BI321" s="7"/>
      <c r="BJ321" s="4">
        <v>4</v>
      </c>
      <c r="BK321" s="8">
        <v>1012.28</v>
      </c>
      <c r="BL321" s="2" t="s">
        <v>895</v>
      </c>
      <c r="BM321" s="7"/>
      <c r="BN321" s="7"/>
      <c r="BO321" s="4"/>
      <c r="BP321" s="8"/>
      <c r="BQ321" s="4"/>
      <c r="BR321" s="8"/>
      <c r="BS321" s="7"/>
      <c r="BT321" s="7"/>
      <c r="BU321" s="2" t="s">
        <v>1376</v>
      </c>
      <c r="BV321" s="2" t="s">
        <v>95</v>
      </c>
      <c r="BW321" s="2" t="s">
        <v>98</v>
      </c>
      <c r="BX321" s="2" t="s">
        <v>98</v>
      </c>
      <c r="BY321" s="2" t="s">
        <v>110</v>
      </c>
      <c r="BZ321" s="2" t="s">
        <v>98</v>
      </c>
    </row>
    <row r="322">
      <c r="A322" s="2" t="s">
        <v>1927</v>
      </c>
      <c r="B322" s="2" t="s">
        <v>1345</v>
      </c>
      <c r="C322" s="2" t="s">
        <v>88</v>
      </c>
      <c r="D322" s="2" t="s">
        <v>1346</v>
      </c>
      <c r="E322" s="2" t="s">
        <v>1893</v>
      </c>
      <c r="F322" s="2" t="s">
        <v>1928</v>
      </c>
      <c r="G322" s="2" t="s">
        <v>1929</v>
      </c>
      <c r="H322" s="2" t="s">
        <v>1930</v>
      </c>
      <c r="I322" s="2" t="s">
        <v>1931</v>
      </c>
      <c r="J322" s="2" t="s">
        <v>93</v>
      </c>
      <c r="K322" s="2" t="s">
        <v>967</v>
      </c>
      <c r="L322" s="3">
        <v>172.8</v>
      </c>
      <c r="M322" s="3">
        <v>181.44</v>
      </c>
      <c r="N322" s="3">
        <v>359</v>
      </c>
      <c r="O322" s="2" t="s">
        <v>95</v>
      </c>
      <c r="P322" s="2" t="s">
        <v>142</v>
      </c>
      <c r="Q322" s="2" t="s">
        <v>97</v>
      </c>
      <c r="R322" s="2" t="s">
        <v>98</v>
      </c>
      <c r="S322" s="2" t="s">
        <v>98</v>
      </c>
      <c r="T322" s="2" t="s">
        <v>98</v>
      </c>
      <c r="U322" s="2" t="s">
        <v>117</v>
      </c>
      <c r="V322" s="2" t="s">
        <v>296</v>
      </c>
      <c r="W322" s="2" t="s">
        <v>103</v>
      </c>
      <c r="X322" s="2" t="s">
        <v>314</v>
      </c>
      <c r="Y322" s="2" t="s">
        <v>1916</v>
      </c>
      <c r="Z322" s="4">
        <v>18</v>
      </c>
      <c r="AA322" s="4">
        <f>=ROUNDDOWN(9,0)</f>
      </c>
      <c r="AB322" s="5">
        <v>2</v>
      </c>
      <c r="AC322" s="2" t="s">
        <v>1932</v>
      </c>
      <c r="AD322" s="4">
        <v>60</v>
      </c>
      <c r="AE322" s="4">
        <v>60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98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/>
      <c r="AW322" s="8"/>
      <c r="AX322" s="4"/>
      <c r="AY322" s="8"/>
      <c r="AZ322" s="7"/>
      <c r="BA322" s="7"/>
      <c r="BB322" s="7"/>
      <c r="BC322" s="4"/>
      <c r="BD322" s="8"/>
      <c r="BE322" s="4"/>
      <c r="BF322" s="8"/>
      <c r="BG322" s="7"/>
      <c r="BH322" s="7"/>
      <c r="BI322" s="7"/>
      <c r="BJ322" s="4">
        <v>3</v>
      </c>
      <c r="BK322" s="8">
        <v>595.13</v>
      </c>
      <c r="BL322" s="2" t="s">
        <v>1028</v>
      </c>
      <c r="BM322" s="7"/>
      <c r="BN322" s="7"/>
      <c r="BO322" s="4"/>
      <c r="BP322" s="8"/>
      <c r="BQ322" s="4"/>
      <c r="BR322" s="8"/>
      <c r="BS322" s="7"/>
      <c r="BT322" s="7"/>
      <c r="BU322" s="2" t="s">
        <v>1376</v>
      </c>
      <c r="BV322" s="2" t="s">
        <v>95</v>
      </c>
      <c r="BW322" s="2" t="s">
        <v>98</v>
      </c>
      <c r="BX322" s="2" t="s">
        <v>98</v>
      </c>
      <c r="BY322" s="2" t="s">
        <v>110</v>
      </c>
      <c r="BZ322" s="2" t="s">
        <v>98</v>
      </c>
    </row>
    <row r="323">
      <c r="A323" s="2" t="s">
        <v>1933</v>
      </c>
      <c r="B323" s="2" t="s">
        <v>1345</v>
      </c>
      <c r="C323" s="2" t="s">
        <v>88</v>
      </c>
      <c r="D323" s="2" t="s">
        <v>1346</v>
      </c>
      <c r="E323" s="2" t="s">
        <v>1934</v>
      </c>
      <c r="F323" s="2" t="s">
        <v>1935</v>
      </c>
      <c r="G323" s="2" t="s">
        <v>1936</v>
      </c>
      <c r="H323" s="2" t="s">
        <v>1937</v>
      </c>
      <c r="I323" s="2" t="s">
        <v>1938</v>
      </c>
      <c r="J323" s="2" t="s">
        <v>93</v>
      </c>
      <c r="K323" s="2" t="s">
        <v>1816</v>
      </c>
      <c r="L323" s="3">
        <v>140</v>
      </c>
      <c r="M323" s="3">
        <v>147</v>
      </c>
      <c r="N323" s="3">
        <v>299</v>
      </c>
      <c r="O323" s="2" t="s">
        <v>95</v>
      </c>
      <c r="P323" s="2" t="s">
        <v>115</v>
      </c>
      <c r="Q323" s="2" t="s">
        <v>97</v>
      </c>
      <c r="R323" s="2" t="s">
        <v>98</v>
      </c>
      <c r="S323" s="2" t="s">
        <v>98</v>
      </c>
      <c r="T323" s="2" t="s">
        <v>98</v>
      </c>
      <c r="U323" s="2" t="s">
        <v>117</v>
      </c>
      <c r="V323" s="2" t="s">
        <v>296</v>
      </c>
      <c r="W323" s="2" t="s">
        <v>102</v>
      </c>
      <c r="X323" s="2" t="s">
        <v>98</v>
      </c>
      <c r="Y323" s="2" t="s">
        <v>1939</v>
      </c>
      <c r="Z323" s="4">
        <v>100</v>
      </c>
      <c r="AA323" s="4">
        <f>=ROUNDDOWN(250,0)</f>
      </c>
      <c r="AB323" s="5">
        <v>0.4</v>
      </c>
      <c r="AC323" s="2" t="s">
        <v>98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98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/>
      <c r="BD323" s="8"/>
      <c r="BE323" s="4"/>
      <c r="BF323" s="8"/>
      <c r="BG323" s="7"/>
      <c r="BH323" s="7"/>
      <c r="BI323" s="7"/>
      <c r="BJ323" s="4"/>
      <c r="BK323" s="8"/>
      <c r="BL323" s="2" t="s">
        <v>895</v>
      </c>
      <c r="BM323" s="7"/>
      <c r="BN323" s="7"/>
      <c r="BO323" s="4"/>
      <c r="BP323" s="8"/>
      <c r="BQ323" s="4"/>
      <c r="BR323" s="8"/>
      <c r="BS323" s="7"/>
      <c r="BT323" s="7"/>
      <c r="BU323" s="2" t="s">
        <v>1376</v>
      </c>
      <c r="BV323" s="2" t="s">
        <v>95</v>
      </c>
      <c r="BW323" s="2" t="s">
        <v>98</v>
      </c>
      <c r="BX323" s="2" t="s">
        <v>98</v>
      </c>
      <c r="BY323" s="2" t="s">
        <v>110</v>
      </c>
      <c r="BZ323" s="2" t="s">
        <v>98</v>
      </c>
    </row>
    <row r="324">
      <c r="A324" s="2" t="s">
        <v>1940</v>
      </c>
      <c r="B324" s="2" t="s">
        <v>1345</v>
      </c>
      <c r="C324" s="2" t="s">
        <v>88</v>
      </c>
      <c r="D324" s="2" t="s">
        <v>1346</v>
      </c>
      <c r="E324" s="2" t="s">
        <v>1934</v>
      </c>
      <c r="F324" s="2" t="s">
        <v>1941</v>
      </c>
      <c r="G324" s="2" t="s">
        <v>1942</v>
      </c>
      <c r="H324" s="2" t="s">
        <v>1943</v>
      </c>
      <c r="I324" s="2" t="s">
        <v>1944</v>
      </c>
      <c r="J324" s="2" t="s">
        <v>93</v>
      </c>
      <c r="K324" s="2" t="s">
        <v>1052</v>
      </c>
      <c r="L324" s="3">
        <v>214.2</v>
      </c>
      <c r="M324" s="3">
        <v>224.91</v>
      </c>
      <c r="N324" s="3">
        <v>449</v>
      </c>
      <c r="O324" s="2" t="s">
        <v>95</v>
      </c>
      <c r="P324" s="2" t="s">
        <v>142</v>
      </c>
      <c r="Q324" s="2" t="s">
        <v>97</v>
      </c>
      <c r="R324" s="2" t="s">
        <v>98</v>
      </c>
      <c r="S324" s="2" t="s">
        <v>98</v>
      </c>
      <c r="T324" s="2" t="s">
        <v>98</v>
      </c>
      <c r="U324" s="2" t="s">
        <v>117</v>
      </c>
      <c r="V324" s="2" t="s">
        <v>296</v>
      </c>
      <c r="W324" s="2" t="s">
        <v>103</v>
      </c>
      <c r="X324" s="2" t="s">
        <v>102</v>
      </c>
      <c r="Y324" s="2" t="s">
        <v>1076</v>
      </c>
      <c r="Z324" s="4">
        <v>43</v>
      </c>
      <c r="AA324" s="4">
        <f>=ROUNDDOWN(43,0)</f>
      </c>
      <c r="AB324" s="5">
        <v>1</v>
      </c>
      <c r="AC324" s="2" t="s">
        <v>98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98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/>
      <c r="AW324" s="8"/>
      <c r="AX324" s="4"/>
      <c r="AY324" s="8"/>
      <c r="AZ324" s="7"/>
      <c r="BA324" s="7"/>
      <c r="BB324" s="7"/>
      <c r="BC324" s="4"/>
      <c r="BD324" s="8"/>
      <c r="BE324" s="4"/>
      <c r="BF324" s="8"/>
      <c r="BG324" s="7"/>
      <c r="BH324" s="7"/>
      <c r="BI324" s="7"/>
      <c r="BJ324" s="4"/>
      <c r="BK324" s="8"/>
      <c r="BL324" s="2" t="s">
        <v>98</v>
      </c>
      <c r="BM324" s="7"/>
      <c r="BN324" s="7"/>
      <c r="BO324" s="4"/>
      <c r="BP324" s="8"/>
      <c r="BQ324" s="4"/>
      <c r="BR324" s="8"/>
      <c r="BS324" s="7"/>
      <c r="BT324" s="7"/>
      <c r="BU324" s="2" t="s">
        <v>1376</v>
      </c>
      <c r="BV324" s="2" t="s">
        <v>95</v>
      </c>
      <c r="BW324" s="2" t="s">
        <v>98</v>
      </c>
      <c r="BX324" s="2" t="s">
        <v>98</v>
      </c>
      <c r="BY324" s="2" t="s">
        <v>110</v>
      </c>
      <c r="BZ324" s="2" t="s">
        <v>98</v>
      </c>
    </row>
    <row r="325">
      <c r="A325" s="2" t="s">
        <v>1945</v>
      </c>
      <c r="B325" s="2" t="s">
        <v>1345</v>
      </c>
      <c r="C325" s="2" t="s">
        <v>88</v>
      </c>
      <c r="D325" s="2" t="s">
        <v>1946</v>
      </c>
      <c r="E325" s="2" t="s">
        <v>1947</v>
      </c>
      <c r="F325" s="2" t="s">
        <v>1948</v>
      </c>
      <c r="G325" s="2" t="s">
        <v>1949</v>
      </c>
      <c r="H325" s="2" t="s">
        <v>1950</v>
      </c>
      <c r="I325" s="2" t="s">
        <v>1951</v>
      </c>
      <c r="J325" s="2" t="s">
        <v>93</v>
      </c>
      <c r="K325" s="2" t="s">
        <v>236</v>
      </c>
      <c r="L325" s="3">
        <v>237.5</v>
      </c>
      <c r="M325" s="3">
        <v>249.38</v>
      </c>
      <c r="N325" s="3">
        <v>499</v>
      </c>
      <c r="O325" s="2" t="s">
        <v>95</v>
      </c>
      <c r="P325" s="2" t="s">
        <v>134</v>
      </c>
      <c r="Q325" s="2" t="s">
        <v>97</v>
      </c>
      <c r="R325" s="2" t="s">
        <v>98</v>
      </c>
      <c r="S325" s="2" t="s">
        <v>1952</v>
      </c>
      <c r="T325" s="2" t="s">
        <v>98</v>
      </c>
      <c r="U325" s="2" t="s">
        <v>117</v>
      </c>
      <c r="V325" s="2" t="s">
        <v>1360</v>
      </c>
      <c r="W325" s="2" t="s">
        <v>103</v>
      </c>
      <c r="X325" s="2" t="s">
        <v>98</v>
      </c>
      <c r="Y325" s="2" t="s">
        <v>1696</v>
      </c>
      <c r="Z325" s="4">
        <v>183</v>
      </c>
      <c r="AA325" s="4">
        <f>=ROUNDDOWN(20.3333333333333,0)</f>
      </c>
      <c r="AB325" s="5">
        <v>9</v>
      </c>
      <c r="AC325" s="2" t="s">
        <v>1533</v>
      </c>
      <c r="AD325" s="4">
        <v>100</v>
      </c>
      <c r="AE325" s="4">
        <v>100</v>
      </c>
      <c r="AF325" s="6">
        <v>65</v>
      </c>
      <c r="AG325" s="6">
        <v>48</v>
      </c>
      <c r="AH325" s="7">
        <v>1</v>
      </c>
      <c r="AI325" s="4"/>
      <c r="AJ325" s="4">
        <f>=ROUNDDOWN({0},0)</f>
      </c>
      <c r="AK325" s="5"/>
      <c r="AL325" s="2" t="s">
        <v>98</v>
      </c>
      <c r="AM325" s="4"/>
      <c r="AN325" s="4"/>
      <c r="AO325" s="7">
        <v>0</v>
      </c>
      <c r="AP325" s="4">
        <v>2</v>
      </c>
      <c r="AQ325" s="8">
        <v>423.2</v>
      </c>
      <c r="AR325" s="4"/>
      <c r="AS325" s="8"/>
      <c r="AT325" s="7"/>
      <c r="AU325" s="7"/>
      <c r="AV325" s="4">
        <v>2</v>
      </c>
      <c r="AW325" s="8">
        <v>423.2</v>
      </c>
      <c r="AX325" s="4"/>
      <c r="AY325" s="8"/>
      <c r="AZ325" s="7"/>
      <c r="BA325" s="7"/>
      <c r="BB325" s="7">
        <v>1</v>
      </c>
      <c r="BC325" s="4">
        <v>2</v>
      </c>
      <c r="BD325" s="8">
        <v>423.2</v>
      </c>
      <c r="BE325" s="4">
        <v>4</v>
      </c>
      <c r="BF325" s="8">
        <v>920</v>
      </c>
      <c r="BG325" s="7">
        <v>-0.5</v>
      </c>
      <c r="BH325" s="7">
        <v>-0.54</v>
      </c>
      <c r="BI325" s="7">
        <v>1</v>
      </c>
      <c r="BJ325" s="4">
        <v>10</v>
      </c>
      <c r="BK325" s="8">
        <v>2250.31</v>
      </c>
      <c r="BL325" s="2" t="s">
        <v>1559</v>
      </c>
      <c r="BM325" s="7">
        <v>0.2</v>
      </c>
      <c r="BN325" s="7">
        <v>0.1881</v>
      </c>
      <c r="BO325" s="4">
        <v>2</v>
      </c>
      <c r="BP325" s="8">
        <v>423.2</v>
      </c>
      <c r="BQ325" s="4"/>
      <c r="BR325" s="8"/>
      <c r="BS325" s="7"/>
      <c r="BT325" s="7"/>
      <c r="BU325" s="2" t="s">
        <v>107</v>
      </c>
      <c r="BV325" s="2" t="s">
        <v>1355</v>
      </c>
      <c r="BW325" s="2" t="s">
        <v>1436</v>
      </c>
      <c r="BX325" s="2" t="s">
        <v>1953</v>
      </c>
      <c r="BY325" s="2" t="s">
        <v>110</v>
      </c>
      <c r="BZ325" s="2" t="s">
        <v>98</v>
      </c>
    </row>
    <row r="326">
      <c r="A326" s="2" t="s">
        <v>1954</v>
      </c>
      <c r="B326" s="2" t="s">
        <v>1345</v>
      </c>
      <c r="C326" s="2" t="s">
        <v>88</v>
      </c>
      <c r="D326" s="2" t="s">
        <v>1946</v>
      </c>
      <c r="E326" s="2" t="s">
        <v>1947</v>
      </c>
      <c r="F326" s="2" t="s">
        <v>1948</v>
      </c>
      <c r="G326" s="2" t="s">
        <v>1949</v>
      </c>
      <c r="H326" s="2" t="s">
        <v>1950</v>
      </c>
      <c r="I326" s="2" t="s">
        <v>1951</v>
      </c>
      <c r="J326" s="2" t="s">
        <v>93</v>
      </c>
      <c r="K326" s="2" t="s">
        <v>1404</v>
      </c>
      <c r="L326" s="3">
        <v>237.5</v>
      </c>
      <c r="M326" s="3">
        <v>249.38</v>
      </c>
      <c r="N326" s="3">
        <v>499</v>
      </c>
      <c r="O326" s="2" t="s">
        <v>95</v>
      </c>
      <c r="P326" s="2" t="s">
        <v>96</v>
      </c>
      <c r="Q326" s="2" t="s">
        <v>97</v>
      </c>
      <c r="R326" s="2" t="s">
        <v>98</v>
      </c>
      <c r="S326" s="2" t="s">
        <v>98</v>
      </c>
      <c r="T326" s="2" t="s">
        <v>98</v>
      </c>
      <c r="U326" s="2" t="s">
        <v>117</v>
      </c>
      <c r="V326" s="2" t="s">
        <v>439</v>
      </c>
      <c r="W326" s="2" t="s">
        <v>103</v>
      </c>
      <c r="X326" s="2" t="s">
        <v>98</v>
      </c>
      <c r="Y326" s="2" t="s">
        <v>1373</v>
      </c>
      <c r="Z326" s="4">
        <v>522</v>
      </c>
      <c r="AA326" s="4">
        <f>=ROUNDDOWN(16.8387096774194,0)</f>
      </c>
      <c r="AB326" s="5">
        <v>31</v>
      </c>
      <c r="AC326" s="2" t="s">
        <v>1374</v>
      </c>
      <c r="AD326" s="4">
        <v>10</v>
      </c>
      <c r="AE326" s="4">
        <v>757</v>
      </c>
      <c r="AF326" s="6">
        <v>65</v>
      </c>
      <c r="AG326" s="6">
        <v>48</v>
      </c>
      <c r="AH326" s="7">
        <v>1</v>
      </c>
      <c r="AI326" s="4"/>
      <c r="AJ326" s="4">
        <f>=ROUNDDOWN({0},0)</f>
      </c>
      <c r="AK326" s="5"/>
      <c r="AL326" s="2" t="s">
        <v>98</v>
      </c>
      <c r="AM326" s="4"/>
      <c r="AN326" s="4"/>
      <c r="AO326" s="7">
        <v>0</v>
      </c>
      <c r="AP326" s="4"/>
      <c r="AQ326" s="8"/>
      <c r="AR326" s="4">
        <v>4</v>
      </c>
      <c r="AS326" s="8">
        <v>920</v>
      </c>
      <c r="AT326" s="7">
        <v>-1</v>
      </c>
      <c r="AU326" s="7">
        <v>-1</v>
      </c>
      <c r="AV326" s="4"/>
      <c r="AW326" s="8"/>
      <c r="AX326" s="4">
        <v>4</v>
      </c>
      <c r="AY326" s="8">
        <v>920</v>
      </c>
      <c r="AZ326" s="7">
        <v>-1</v>
      </c>
      <c r="BA326" s="7">
        <v>-1</v>
      </c>
      <c r="BB326" s="7"/>
      <c r="BC326" s="4" t="s">
        <v>98</v>
      </c>
      <c r="BD326" s="8" t="s">
        <v>98</v>
      </c>
      <c r="BE326" s="4" t="s">
        <v>98</v>
      </c>
      <c r="BF326" s="8" t="s">
        <v>98</v>
      </c>
      <c r="BG326" s="7" t="s">
        <v>98</v>
      </c>
      <c r="BH326" s="7" t="s">
        <v>98</v>
      </c>
      <c r="BI326" s="7"/>
      <c r="BJ326" s="4">
        <v>13</v>
      </c>
      <c r="BK326" s="8">
        <v>3327.48</v>
      </c>
      <c r="BL326" s="2" t="s">
        <v>1955</v>
      </c>
      <c r="BM326" s="7"/>
      <c r="BN326" s="7"/>
      <c r="BO326" s="4"/>
      <c r="BP326" s="8"/>
      <c r="BQ326" s="4">
        <v>4</v>
      </c>
      <c r="BR326" s="8">
        <v>920</v>
      </c>
      <c r="BS326" s="7">
        <v>-1</v>
      </c>
      <c r="BT326" s="7">
        <v>-1</v>
      </c>
      <c r="BU326" s="2" t="s">
        <v>1376</v>
      </c>
      <c r="BV326" s="2" t="s">
        <v>1355</v>
      </c>
      <c r="BW326" s="2" t="s">
        <v>98</v>
      </c>
      <c r="BX326" s="2" t="s">
        <v>98</v>
      </c>
      <c r="BY326" s="2" t="s">
        <v>110</v>
      </c>
      <c r="BZ326" s="2" t="s">
        <v>98</v>
      </c>
    </row>
    <row r="327">
      <c r="A327" s="2" t="s">
        <v>1956</v>
      </c>
      <c r="B327" s="2" t="s">
        <v>1345</v>
      </c>
      <c r="C327" s="2" t="s">
        <v>88</v>
      </c>
      <c r="D327" s="2" t="s">
        <v>1946</v>
      </c>
      <c r="E327" s="2" t="s">
        <v>1947</v>
      </c>
      <c r="F327" s="2" t="s">
        <v>1948</v>
      </c>
      <c r="G327" s="2" t="s">
        <v>1949</v>
      </c>
      <c r="H327" s="2" t="s">
        <v>1950</v>
      </c>
      <c r="I327" s="2" t="s">
        <v>1951</v>
      </c>
      <c r="J327" s="2" t="s">
        <v>93</v>
      </c>
      <c r="K327" s="2" t="s">
        <v>357</v>
      </c>
      <c r="L327" s="3">
        <v>237.5</v>
      </c>
      <c r="M327" s="3">
        <v>249.38</v>
      </c>
      <c r="N327" s="3">
        <v>499</v>
      </c>
      <c r="O327" s="2" t="s">
        <v>95</v>
      </c>
      <c r="P327" s="2" t="s">
        <v>163</v>
      </c>
      <c r="Q327" s="2" t="s">
        <v>97</v>
      </c>
      <c r="R327" s="2" t="s">
        <v>98</v>
      </c>
      <c r="S327" s="2" t="s">
        <v>98</v>
      </c>
      <c r="T327" s="2" t="s">
        <v>98</v>
      </c>
      <c r="U327" s="2" t="s">
        <v>117</v>
      </c>
      <c r="V327" s="2" t="s">
        <v>439</v>
      </c>
      <c r="W327" s="2" t="s">
        <v>103</v>
      </c>
      <c r="X327" s="2" t="s">
        <v>98</v>
      </c>
      <c r="Y327" s="2" t="s">
        <v>1476</v>
      </c>
      <c r="Z327" s="4">
        <v>410</v>
      </c>
      <c r="AA327" s="4">
        <f>=ROUNDDOWN(17.8260869565217,0)</f>
      </c>
      <c r="AB327" s="5">
        <v>23</v>
      </c>
      <c r="AC327" s="2" t="s">
        <v>1374</v>
      </c>
      <c r="AD327" s="4">
        <v>14</v>
      </c>
      <c r="AE327" s="4">
        <v>318</v>
      </c>
      <c r="AF327" s="6">
        <v>65</v>
      </c>
      <c r="AG327" s="6">
        <v>48</v>
      </c>
      <c r="AH327" s="7">
        <v>1</v>
      </c>
      <c r="AI327" s="4"/>
      <c r="AJ327" s="4">
        <f>=ROUNDDOWN({0},0)</f>
      </c>
      <c r="AK327" s="5"/>
      <c r="AL327" s="2" t="s">
        <v>1396</v>
      </c>
      <c r="AM327" s="4">
        <v>135</v>
      </c>
      <c r="AN327" s="4">
        <v>135</v>
      </c>
      <c r="AO327" s="7">
        <v>0</v>
      </c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 t="s">
        <v>98</v>
      </c>
      <c r="BD327" s="8" t="s">
        <v>98</v>
      </c>
      <c r="BE327" s="4" t="s">
        <v>98</v>
      </c>
      <c r="BF327" s="8" t="s">
        <v>98</v>
      </c>
      <c r="BG327" s="7" t="s">
        <v>98</v>
      </c>
      <c r="BH327" s="7" t="s">
        <v>98</v>
      </c>
      <c r="BI327" s="7"/>
      <c r="BJ327" s="4">
        <v>14</v>
      </c>
      <c r="BK327" s="8">
        <v>3260.74</v>
      </c>
      <c r="BL327" s="2" t="s">
        <v>1957</v>
      </c>
      <c r="BM327" s="7"/>
      <c r="BN327" s="7"/>
      <c r="BO327" s="4"/>
      <c r="BP327" s="8"/>
      <c r="BQ327" s="4"/>
      <c r="BR327" s="8"/>
      <c r="BS327" s="7"/>
      <c r="BT327" s="7"/>
      <c r="BU327" s="2" t="s">
        <v>107</v>
      </c>
      <c r="BV327" s="2" t="s">
        <v>1355</v>
      </c>
      <c r="BW327" s="2" t="s">
        <v>707</v>
      </c>
      <c r="BX327" s="2" t="s">
        <v>98</v>
      </c>
      <c r="BY327" s="2" t="s">
        <v>110</v>
      </c>
      <c r="BZ327" s="2" t="s">
        <v>98</v>
      </c>
    </row>
    <row r="328">
      <c r="A328" s="2" t="s">
        <v>1958</v>
      </c>
      <c r="B328" s="2" t="s">
        <v>1345</v>
      </c>
      <c r="C328" s="2" t="s">
        <v>88</v>
      </c>
      <c r="D328" s="2" t="s">
        <v>1946</v>
      </c>
      <c r="E328" s="2" t="s">
        <v>1947</v>
      </c>
      <c r="F328" s="2" t="s">
        <v>1948</v>
      </c>
      <c r="G328" s="2" t="s">
        <v>1949</v>
      </c>
      <c r="H328" s="2" t="s">
        <v>1950</v>
      </c>
      <c r="I328" s="2" t="s">
        <v>1951</v>
      </c>
      <c r="J328" s="2" t="s">
        <v>93</v>
      </c>
      <c r="K328" s="2" t="s">
        <v>1727</v>
      </c>
      <c r="L328" s="3">
        <v>237.5</v>
      </c>
      <c r="M328" s="3">
        <v>249.38</v>
      </c>
      <c r="N328" s="3">
        <v>499</v>
      </c>
      <c r="O328" s="2" t="s">
        <v>95</v>
      </c>
      <c r="P328" s="2" t="s">
        <v>134</v>
      </c>
      <c r="Q328" s="2" t="s">
        <v>97</v>
      </c>
      <c r="R328" s="2" t="s">
        <v>98</v>
      </c>
      <c r="S328" s="2" t="s">
        <v>98</v>
      </c>
      <c r="T328" s="2" t="s">
        <v>98</v>
      </c>
      <c r="U328" s="2" t="s">
        <v>117</v>
      </c>
      <c r="V328" s="2" t="s">
        <v>296</v>
      </c>
      <c r="W328" s="2" t="s">
        <v>103</v>
      </c>
      <c r="X328" s="2" t="s">
        <v>98</v>
      </c>
      <c r="Y328" s="2" t="s">
        <v>1959</v>
      </c>
      <c r="Z328" s="4">
        <v>39</v>
      </c>
      <c r="AA328" s="4">
        <f>=ROUNDDOWN(9.75,0)</f>
      </c>
      <c r="AB328" s="5">
        <v>4</v>
      </c>
      <c r="AC328" s="2" t="s">
        <v>136</v>
      </c>
      <c r="AD328" s="4">
        <v>100</v>
      </c>
      <c r="AE328" s="4">
        <v>100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98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/>
      <c r="AW328" s="8"/>
      <c r="AX328" s="4"/>
      <c r="AY328" s="8"/>
      <c r="AZ328" s="7"/>
      <c r="BA328" s="7"/>
      <c r="BB328" s="7"/>
      <c r="BC328" s="4" t="s">
        <v>98</v>
      </c>
      <c r="BD328" s="8" t="s">
        <v>98</v>
      </c>
      <c r="BE328" s="4" t="s">
        <v>98</v>
      </c>
      <c r="BF328" s="8" t="s">
        <v>98</v>
      </c>
      <c r="BG328" s="7" t="s">
        <v>98</v>
      </c>
      <c r="BH328" s="7" t="s">
        <v>98</v>
      </c>
      <c r="BI328" s="7"/>
      <c r="BJ328" s="4"/>
      <c r="BK328" s="8"/>
      <c r="BL328" s="2" t="s">
        <v>1379</v>
      </c>
      <c r="BM328" s="7"/>
      <c r="BN328" s="7"/>
      <c r="BO328" s="4"/>
      <c r="BP328" s="8"/>
      <c r="BQ328" s="4"/>
      <c r="BR328" s="8"/>
      <c r="BS328" s="7"/>
      <c r="BT328" s="7"/>
      <c r="BU328" s="2" t="s">
        <v>1376</v>
      </c>
      <c r="BV328" s="2" t="s">
        <v>95</v>
      </c>
      <c r="BW328" s="2" t="s">
        <v>98</v>
      </c>
      <c r="BX328" s="2" t="s">
        <v>98</v>
      </c>
      <c r="BY328" s="2" t="s">
        <v>110</v>
      </c>
      <c r="BZ328" s="2" t="s">
        <v>98</v>
      </c>
    </row>
    <row r="329">
      <c r="A329" s="2" t="s">
        <v>1960</v>
      </c>
      <c r="B329" s="2" t="s">
        <v>1345</v>
      </c>
      <c r="C329" s="2" t="s">
        <v>88</v>
      </c>
      <c r="D329" s="2" t="s">
        <v>1946</v>
      </c>
      <c r="E329" s="2" t="s">
        <v>1947</v>
      </c>
      <c r="F329" s="2" t="s">
        <v>1961</v>
      </c>
      <c r="G329" s="2" t="s">
        <v>1962</v>
      </c>
      <c r="H329" s="2" t="s">
        <v>1963</v>
      </c>
      <c r="I329" s="2" t="s">
        <v>1964</v>
      </c>
      <c r="J329" s="2" t="s">
        <v>93</v>
      </c>
      <c r="K329" s="2" t="s">
        <v>1378</v>
      </c>
      <c r="L329" s="3">
        <v>202.3</v>
      </c>
      <c r="M329" s="3">
        <v>212.42</v>
      </c>
      <c r="N329" s="3">
        <v>429</v>
      </c>
      <c r="O329" s="2" t="s">
        <v>95</v>
      </c>
      <c r="P329" s="2" t="s">
        <v>163</v>
      </c>
      <c r="Q329" s="2" t="s">
        <v>97</v>
      </c>
      <c r="R329" s="2" t="s">
        <v>98</v>
      </c>
      <c r="S329" s="2" t="s">
        <v>98</v>
      </c>
      <c r="T329" s="2" t="s">
        <v>98</v>
      </c>
      <c r="U329" s="2" t="s">
        <v>98</v>
      </c>
      <c r="V329" s="2" t="s">
        <v>439</v>
      </c>
      <c r="W329" s="2" t="s">
        <v>103</v>
      </c>
      <c r="X329" s="2" t="s">
        <v>98</v>
      </c>
      <c r="Y329" s="2" t="s">
        <v>427</v>
      </c>
      <c r="Z329" s="4">
        <v>79</v>
      </c>
      <c r="AA329" s="4">
        <f>=ROUNDDOWN(8.40425531914894,0)</f>
      </c>
      <c r="AB329" s="5">
        <v>9.4</v>
      </c>
      <c r="AC329" s="2" t="s">
        <v>447</v>
      </c>
      <c r="AD329" s="4">
        <v>135</v>
      </c>
      <c r="AE329" s="4">
        <v>205</v>
      </c>
      <c r="AF329" s="6">
        <v>74</v>
      </c>
      <c r="AG329" s="6">
        <v>60</v>
      </c>
      <c r="AH329" s="7">
        <v>1</v>
      </c>
      <c r="AI329" s="4"/>
      <c r="AJ329" s="4">
        <f>=ROUNDDOWN({0},0)</f>
      </c>
      <c r="AK329" s="5"/>
      <c r="AL329" s="2" t="s">
        <v>1965</v>
      </c>
      <c r="AM329" s="4">
        <v>100</v>
      </c>
      <c r="AN329" s="4">
        <v>200</v>
      </c>
      <c r="AO329" s="7">
        <v>0</v>
      </c>
      <c r="AP329" s="4">
        <v>2</v>
      </c>
      <c r="AQ329" s="8">
        <v>413.6</v>
      </c>
      <c r="AR329" s="4"/>
      <c r="AS329" s="8"/>
      <c r="AT329" s="7"/>
      <c r="AU329" s="7"/>
      <c r="AV329" s="4">
        <v>2</v>
      </c>
      <c r="AW329" s="8">
        <v>413.6</v>
      </c>
      <c r="AX329" s="4"/>
      <c r="AY329" s="8"/>
      <c r="AZ329" s="7"/>
      <c r="BA329" s="7"/>
      <c r="BB329" s="7">
        <v>1</v>
      </c>
      <c r="BC329" s="4">
        <v>2</v>
      </c>
      <c r="BD329" s="8">
        <v>413.6</v>
      </c>
      <c r="BE329" s="4" t="s">
        <v>98</v>
      </c>
      <c r="BF329" s="8" t="s">
        <v>98</v>
      </c>
      <c r="BG329" s="7" t="s">
        <v>98</v>
      </c>
      <c r="BH329" s="7" t="s">
        <v>98</v>
      </c>
      <c r="BI329" s="7">
        <v>1</v>
      </c>
      <c r="BJ329" s="4">
        <v>17</v>
      </c>
      <c r="BK329" s="8">
        <v>3451.26</v>
      </c>
      <c r="BL329" s="2" t="s">
        <v>1966</v>
      </c>
      <c r="BM329" s="7">
        <v>0.1176</v>
      </c>
      <c r="BN329" s="7">
        <v>0.1198</v>
      </c>
      <c r="BO329" s="4">
        <v>2</v>
      </c>
      <c r="BP329" s="8">
        <v>413.6</v>
      </c>
      <c r="BQ329" s="4"/>
      <c r="BR329" s="8"/>
      <c r="BS329" s="7"/>
      <c r="BT329" s="7"/>
      <c r="BU329" s="2" t="s">
        <v>107</v>
      </c>
      <c r="BV329" s="2" t="s">
        <v>1355</v>
      </c>
      <c r="BW329" s="2" t="s">
        <v>1472</v>
      </c>
      <c r="BX329" s="2" t="s">
        <v>1967</v>
      </c>
      <c r="BY329" s="2" t="s">
        <v>110</v>
      </c>
      <c r="BZ329" s="2" t="s">
        <v>98</v>
      </c>
    </row>
    <row r="330">
      <c r="A330" s="2" t="s">
        <v>1968</v>
      </c>
      <c r="B330" s="2" t="s">
        <v>1345</v>
      </c>
      <c r="C330" s="2" t="s">
        <v>88</v>
      </c>
      <c r="D330" s="2" t="s">
        <v>1946</v>
      </c>
      <c r="E330" s="2" t="s">
        <v>1947</v>
      </c>
      <c r="F330" s="2" t="s">
        <v>1961</v>
      </c>
      <c r="G330" s="2" t="s">
        <v>1962</v>
      </c>
      <c r="H330" s="2" t="s">
        <v>1963</v>
      </c>
      <c r="I330" s="2" t="s">
        <v>1964</v>
      </c>
      <c r="J330" s="2" t="s">
        <v>93</v>
      </c>
      <c r="K330" s="2" t="s">
        <v>1052</v>
      </c>
      <c r="L330" s="3">
        <v>202.3</v>
      </c>
      <c r="M330" s="3">
        <v>212.42</v>
      </c>
      <c r="N330" s="3">
        <v>429</v>
      </c>
      <c r="O330" s="2" t="s">
        <v>95</v>
      </c>
      <c r="P330" s="2" t="s">
        <v>134</v>
      </c>
      <c r="Q330" s="2" t="s">
        <v>97</v>
      </c>
      <c r="R330" s="2" t="s">
        <v>98</v>
      </c>
      <c r="S330" s="2" t="s">
        <v>98</v>
      </c>
      <c r="T330" s="2" t="s">
        <v>98</v>
      </c>
      <c r="U330" s="2" t="s">
        <v>98</v>
      </c>
      <c r="V330" s="2" t="s">
        <v>439</v>
      </c>
      <c r="W330" s="2" t="s">
        <v>103</v>
      </c>
      <c r="X330" s="2" t="s">
        <v>314</v>
      </c>
      <c r="Y330" s="2" t="s">
        <v>1969</v>
      </c>
      <c r="Z330" s="4">
        <v>1</v>
      </c>
      <c r="AA330" s="4">
        <f>=ROUNDDOWN(0.0714285714285714,0)</f>
      </c>
      <c r="AB330" s="5">
        <v>14</v>
      </c>
      <c r="AC330" s="2" t="s">
        <v>1353</v>
      </c>
      <c r="AD330" s="4">
        <v>15</v>
      </c>
      <c r="AE330" s="4">
        <v>285</v>
      </c>
      <c r="AF330" s="6">
        <v>74</v>
      </c>
      <c r="AG330" s="6"/>
      <c r="AH330" s="7">
        <v>0</v>
      </c>
      <c r="AI330" s="4"/>
      <c r="AJ330" s="4">
        <f>=ROUNDDOWN({0},0)</f>
      </c>
      <c r="AK330" s="5"/>
      <c r="AL330" s="2" t="s">
        <v>98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 t="s">
        <v>98</v>
      </c>
      <c r="BD330" s="8" t="s">
        <v>98</v>
      </c>
      <c r="BE330" s="4" t="s">
        <v>98</v>
      </c>
      <c r="BF330" s="8" t="s">
        <v>98</v>
      </c>
      <c r="BG330" s="7" t="s">
        <v>98</v>
      </c>
      <c r="BH330" s="7" t="s">
        <v>98</v>
      </c>
      <c r="BI330" s="7"/>
      <c r="BJ330" s="4"/>
      <c r="BK330" s="8"/>
      <c r="BL330" s="2" t="s">
        <v>98</v>
      </c>
      <c r="BM330" s="7"/>
      <c r="BN330" s="7"/>
      <c r="BO330" s="4"/>
      <c r="BP330" s="8"/>
      <c r="BQ330" s="4"/>
      <c r="BR330" s="8"/>
      <c r="BS330" s="7"/>
      <c r="BT330" s="7"/>
      <c r="BU330" s="2" t="s">
        <v>1376</v>
      </c>
      <c r="BV330" s="2" t="s">
        <v>95</v>
      </c>
      <c r="BW330" s="2" t="s">
        <v>98</v>
      </c>
      <c r="BX330" s="2" t="s">
        <v>98</v>
      </c>
      <c r="BY330" s="2" t="s">
        <v>110</v>
      </c>
      <c r="BZ330" s="2" t="s">
        <v>98</v>
      </c>
    </row>
    <row r="331">
      <c r="A331" s="2" t="s">
        <v>1970</v>
      </c>
      <c r="B331" s="2" t="s">
        <v>1345</v>
      </c>
      <c r="C331" s="2" t="s">
        <v>88</v>
      </c>
      <c r="D331" s="2" t="s">
        <v>1946</v>
      </c>
      <c r="E331" s="2" t="s">
        <v>1947</v>
      </c>
      <c r="F331" s="2" t="s">
        <v>1961</v>
      </c>
      <c r="G331" s="2" t="s">
        <v>1962</v>
      </c>
      <c r="H331" s="2" t="s">
        <v>1963</v>
      </c>
      <c r="I331" s="2" t="s">
        <v>1964</v>
      </c>
      <c r="J331" s="2" t="s">
        <v>93</v>
      </c>
      <c r="K331" s="2" t="s">
        <v>133</v>
      </c>
      <c r="L331" s="3">
        <v>202.3</v>
      </c>
      <c r="M331" s="3">
        <v>212.42</v>
      </c>
      <c r="N331" s="3">
        <v>429</v>
      </c>
      <c r="O331" s="2" t="s">
        <v>95</v>
      </c>
      <c r="P331" s="2" t="s">
        <v>134</v>
      </c>
      <c r="Q331" s="2" t="s">
        <v>97</v>
      </c>
      <c r="R331" s="2" t="s">
        <v>98</v>
      </c>
      <c r="S331" s="2" t="s">
        <v>98</v>
      </c>
      <c r="T331" s="2" t="s">
        <v>98</v>
      </c>
      <c r="U331" s="2" t="s">
        <v>117</v>
      </c>
      <c r="V331" s="2" t="s">
        <v>439</v>
      </c>
      <c r="W331" s="2" t="s">
        <v>103</v>
      </c>
      <c r="X331" s="2" t="s">
        <v>314</v>
      </c>
      <c r="Y331" s="2" t="s">
        <v>359</v>
      </c>
      <c r="Z331" s="4">
        <v>3</v>
      </c>
      <c r="AA331" s="4">
        <f>=ROUNDDOWN(0.5,0)</f>
      </c>
      <c r="AB331" s="5">
        <v>6</v>
      </c>
      <c r="AC331" s="2" t="s">
        <v>1353</v>
      </c>
      <c r="AD331" s="4">
        <v>100</v>
      </c>
      <c r="AE331" s="4">
        <v>200</v>
      </c>
      <c r="AF331" s="6">
        <v>74</v>
      </c>
      <c r="AG331" s="6">
        <v>60</v>
      </c>
      <c r="AH331" s="7">
        <v>0</v>
      </c>
      <c r="AI331" s="4"/>
      <c r="AJ331" s="4">
        <f>=ROUNDDOWN({0},0)</f>
      </c>
      <c r="AK331" s="5"/>
      <c r="AL331" s="2" t="s">
        <v>98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/>
      <c r="AW331" s="8"/>
      <c r="AX331" s="4"/>
      <c r="AY331" s="8"/>
      <c r="AZ331" s="7"/>
      <c r="BA331" s="7"/>
      <c r="BB331" s="7"/>
      <c r="BC331" s="4" t="s">
        <v>98</v>
      </c>
      <c r="BD331" s="8" t="s">
        <v>98</v>
      </c>
      <c r="BE331" s="4" t="s">
        <v>98</v>
      </c>
      <c r="BF331" s="8" t="s">
        <v>98</v>
      </c>
      <c r="BG331" s="7" t="s">
        <v>98</v>
      </c>
      <c r="BH331" s="7" t="s">
        <v>98</v>
      </c>
      <c r="BI331" s="7"/>
      <c r="BJ331" s="4"/>
      <c r="BK331" s="8"/>
      <c r="BL331" s="2" t="s">
        <v>1549</v>
      </c>
      <c r="BM331" s="7"/>
      <c r="BN331" s="7"/>
      <c r="BO331" s="4"/>
      <c r="BP331" s="8"/>
      <c r="BQ331" s="4"/>
      <c r="BR331" s="8"/>
      <c r="BS331" s="7"/>
      <c r="BT331" s="7"/>
      <c r="BU331" s="2" t="s">
        <v>1376</v>
      </c>
      <c r="BV331" s="2" t="s">
        <v>95</v>
      </c>
      <c r="BW331" s="2" t="s">
        <v>98</v>
      </c>
      <c r="BX331" s="2" t="s">
        <v>98</v>
      </c>
      <c r="BY331" s="2" t="s">
        <v>110</v>
      </c>
      <c r="BZ331" s="2" t="s">
        <v>98</v>
      </c>
    </row>
    <row r="332">
      <c r="A332" s="2" t="s">
        <v>1971</v>
      </c>
      <c r="B332" s="2" t="s">
        <v>1345</v>
      </c>
      <c r="C332" s="2" t="s">
        <v>88</v>
      </c>
      <c r="D332" s="2" t="s">
        <v>1946</v>
      </c>
      <c r="E332" s="2" t="s">
        <v>1947</v>
      </c>
      <c r="F332" s="2" t="s">
        <v>1961</v>
      </c>
      <c r="G332" s="2" t="s">
        <v>1962</v>
      </c>
      <c r="H332" s="2" t="s">
        <v>1963</v>
      </c>
      <c r="I332" s="2" t="s">
        <v>1964</v>
      </c>
      <c r="J332" s="2" t="s">
        <v>93</v>
      </c>
      <c r="K332" s="2" t="s">
        <v>1972</v>
      </c>
      <c r="L332" s="3">
        <v>202.3</v>
      </c>
      <c r="M332" s="3">
        <v>212.42</v>
      </c>
      <c r="N332" s="3">
        <v>429</v>
      </c>
      <c r="O332" s="2" t="s">
        <v>95</v>
      </c>
      <c r="P332" s="2" t="s">
        <v>134</v>
      </c>
      <c r="Q332" s="2" t="s">
        <v>97</v>
      </c>
      <c r="R332" s="2" t="s">
        <v>98</v>
      </c>
      <c r="S332" s="2" t="s">
        <v>1973</v>
      </c>
      <c r="T332" s="2" t="s">
        <v>98</v>
      </c>
      <c r="U332" s="2" t="s">
        <v>98</v>
      </c>
      <c r="V332" s="2" t="s">
        <v>439</v>
      </c>
      <c r="W332" s="2" t="s">
        <v>103</v>
      </c>
      <c r="X332" s="2" t="s">
        <v>98</v>
      </c>
      <c r="Y332" s="2" t="s">
        <v>1974</v>
      </c>
      <c r="Z332" s="4">
        <v>87</v>
      </c>
      <c r="AA332" s="4">
        <f>=ROUNDDOWN(24.1666666666667,0)</f>
      </c>
      <c r="AB332" s="5">
        <v>3.6</v>
      </c>
      <c r="AC332" s="2" t="s">
        <v>214</v>
      </c>
      <c r="AD332" s="4">
        <v>35</v>
      </c>
      <c r="AE332" s="4">
        <v>35</v>
      </c>
      <c r="AF332" s="6">
        <v>74</v>
      </c>
      <c r="AG332" s="6">
        <v>60</v>
      </c>
      <c r="AH332" s="7">
        <v>1</v>
      </c>
      <c r="AI332" s="4"/>
      <c r="AJ332" s="4">
        <f>=ROUNDDOWN({0},0)</f>
      </c>
      <c r="AK332" s="5"/>
      <c r="AL332" s="2" t="s">
        <v>1965</v>
      </c>
      <c r="AM332" s="4">
        <v>35</v>
      </c>
      <c r="AN332" s="4">
        <v>70</v>
      </c>
      <c r="AO332" s="7">
        <v>0</v>
      </c>
      <c r="AP332" s="4"/>
      <c r="AQ332" s="8"/>
      <c r="AR332" s="4"/>
      <c r="AS332" s="8"/>
      <c r="AT332" s="7"/>
      <c r="AU332" s="7"/>
      <c r="AV332" s="4"/>
      <c r="AW332" s="8"/>
      <c r="AX332" s="4"/>
      <c r="AY332" s="8"/>
      <c r="AZ332" s="7"/>
      <c r="BA332" s="7"/>
      <c r="BB332" s="7"/>
      <c r="BC332" s="4" t="s">
        <v>98</v>
      </c>
      <c r="BD332" s="8" t="s">
        <v>98</v>
      </c>
      <c r="BE332" s="4" t="s">
        <v>98</v>
      </c>
      <c r="BF332" s="8" t="s">
        <v>98</v>
      </c>
      <c r="BG332" s="7" t="s">
        <v>98</v>
      </c>
      <c r="BH332" s="7" t="s">
        <v>98</v>
      </c>
      <c r="BI332" s="7"/>
      <c r="BJ332" s="4">
        <v>3</v>
      </c>
      <c r="BK332" s="8">
        <v>564.66</v>
      </c>
      <c r="BL332" s="2" t="s">
        <v>1368</v>
      </c>
      <c r="BM332" s="7"/>
      <c r="BN332" s="7"/>
      <c r="BO332" s="4"/>
      <c r="BP332" s="8"/>
      <c r="BQ332" s="4"/>
      <c r="BR332" s="8"/>
      <c r="BS332" s="7"/>
      <c r="BT332" s="7"/>
      <c r="BU332" s="2" t="s">
        <v>107</v>
      </c>
      <c r="BV332" s="2" t="s">
        <v>1355</v>
      </c>
      <c r="BW332" s="2" t="s">
        <v>1436</v>
      </c>
      <c r="BX332" s="2" t="s">
        <v>1975</v>
      </c>
      <c r="BY332" s="2" t="s">
        <v>110</v>
      </c>
      <c r="BZ332" s="2" t="s">
        <v>98</v>
      </c>
    </row>
    <row r="333">
      <c r="A333" s="2" t="s">
        <v>1976</v>
      </c>
      <c r="B333" s="2" t="s">
        <v>1345</v>
      </c>
      <c r="C333" s="2" t="s">
        <v>88</v>
      </c>
      <c r="D333" s="2" t="s">
        <v>1946</v>
      </c>
      <c r="E333" s="2" t="s">
        <v>1947</v>
      </c>
      <c r="F333" s="2" t="s">
        <v>1977</v>
      </c>
      <c r="G333" s="2" t="s">
        <v>1978</v>
      </c>
      <c r="H333" s="2" t="s">
        <v>1979</v>
      </c>
      <c r="I333" s="2" t="s">
        <v>1980</v>
      </c>
      <c r="J333" s="2" t="s">
        <v>93</v>
      </c>
      <c r="K333" s="2" t="s">
        <v>1981</v>
      </c>
      <c r="L333" s="3">
        <v>237.5</v>
      </c>
      <c r="M333" s="3">
        <v>249.38</v>
      </c>
      <c r="N333" s="3">
        <v>499</v>
      </c>
      <c r="O333" s="2" t="s">
        <v>95</v>
      </c>
      <c r="P333" s="2" t="s">
        <v>134</v>
      </c>
      <c r="Q333" s="2" t="s">
        <v>97</v>
      </c>
      <c r="R333" s="2" t="s">
        <v>98</v>
      </c>
      <c r="S333" s="2" t="s">
        <v>1982</v>
      </c>
      <c r="T333" s="2" t="s">
        <v>98</v>
      </c>
      <c r="U333" s="2" t="s">
        <v>98</v>
      </c>
      <c r="V333" s="2" t="s">
        <v>439</v>
      </c>
      <c r="W333" s="2" t="s">
        <v>103</v>
      </c>
      <c r="X333" s="2" t="s">
        <v>98</v>
      </c>
      <c r="Y333" s="2" t="s">
        <v>1696</v>
      </c>
      <c r="Z333" s="4">
        <v>98</v>
      </c>
      <c r="AA333" s="4">
        <f>=ROUNDDOWN(14,0)</f>
      </c>
      <c r="AB333" s="5">
        <v>7</v>
      </c>
      <c r="AC333" s="2" t="s">
        <v>1983</v>
      </c>
      <c r="AD333" s="4">
        <v>120</v>
      </c>
      <c r="AE333" s="4">
        <v>120</v>
      </c>
      <c r="AF333" s="6">
        <v>65</v>
      </c>
      <c r="AG333" s="6">
        <v>48</v>
      </c>
      <c r="AH333" s="7">
        <v>1</v>
      </c>
      <c r="AI333" s="4"/>
      <c r="AJ333" s="4">
        <f>=ROUNDDOWN({0},0)</f>
      </c>
      <c r="AK333" s="5"/>
      <c r="AL333" s="2" t="s">
        <v>98</v>
      </c>
      <c r="AM333" s="4"/>
      <c r="AN333" s="4"/>
      <c r="AO333" s="7">
        <v>0</v>
      </c>
      <c r="AP333" s="4">
        <v>1</v>
      </c>
      <c r="AQ333" s="8">
        <v>205.6</v>
      </c>
      <c r="AR333" s="4"/>
      <c r="AS333" s="8"/>
      <c r="AT333" s="7"/>
      <c r="AU333" s="7"/>
      <c r="AV333" s="4">
        <v>1</v>
      </c>
      <c r="AW333" s="8">
        <v>205.6</v>
      </c>
      <c r="AX333" s="4"/>
      <c r="AY333" s="8"/>
      <c r="AZ333" s="7"/>
      <c r="BA333" s="7"/>
      <c r="BB333" s="7">
        <v>1</v>
      </c>
      <c r="BC333" s="4">
        <v>1</v>
      </c>
      <c r="BD333" s="8">
        <v>205.6</v>
      </c>
      <c r="BE333" s="4" t="s">
        <v>98</v>
      </c>
      <c r="BF333" s="8" t="s">
        <v>98</v>
      </c>
      <c r="BG333" s="7" t="s">
        <v>98</v>
      </c>
      <c r="BH333" s="7" t="s">
        <v>98</v>
      </c>
      <c r="BI333" s="7">
        <v>1</v>
      </c>
      <c r="BJ333" s="4">
        <v>4</v>
      </c>
      <c r="BK333" s="8">
        <v>965.12</v>
      </c>
      <c r="BL333" s="2" t="s">
        <v>1984</v>
      </c>
      <c r="BM333" s="7">
        <v>0.25</v>
      </c>
      <c r="BN333" s="7">
        <v>0.213</v>
      </c>
      <c r="BO333" s="4">
        <v>1</v>
      </c>
      <c r="BP333" s="8">
        <v>205.6</v>
      </c>
      <c r="BQ333" s="4"/>
      <c r="BR333" s="8"/>
      <c r="BS333" s="7"/>
      <c r="BT333" s="7"/>
      <c r="BU333" s="2" t="s">
        <v>107</v>
      </c>
      <c r="BV333" s="2" t="s">
        <v>1355</v>
      </c>
      <c r="BW333" s="2" t="s">
        <v>1436</v>
      </c>
      <c r="BX333" s="2" t="s">
        <v>1985</v>
      </c>
      <c r="BY333" s="2" t="s">
        <v>110</v>
      </c>
      <c r="BZ333" s="2" t="s">
        <v>98</v>
      </c>
    </row>
    <row r="334">
      <c r="A334" s="2" t="s">
        <v>1986</v>
      </c>
      <c r="B334" s="2" t="s">
        <v>1345</v>
      </c>
      <c r="C334" s="2" t="s">
        <v>88</v>
      </c>
      <c r="D334" s="2" t="s">
        <v>1946</v>
      </c>
      <c r="E334" s="2" t="s">
        <v>1947</v>
      </c>
      <c r="F334" s="2" t="s">
        <v>1977</v>
      </c>
      <c r="G334" s="2" t="s">
        <v>1978</v>
      </c>
      <c r="H334" s="2" t="s">
        <v>1979</v>
      </c>
      <c r="I334" s="2" t="s">
        <v>1987</v>
      </c>
      <c r="J334" s="2" t="s">
        <v>93</v>
      </c>
      <c r="K334" s="2" t="s">
        <v>127</v>
      </c>
      <c r="L334" s="3">
        <v>237.5</v>
      </c>
      <c r="M334" s="3">
        <v>249.38</v>
      </c>
      <c r="N334" s="3">
        <v>499</v>
      </c>
      <c r="O334" s="2" t="s">
        <v>95</v>
      </c>
      <c r="P334" s="2" t="s">
        <v>96</v>
      </c>
      <c r="Q334" s="2" t="s">
        <v>97</v>
      </c>
      <c r="R334" s="2" t="s">
        <v>98</v>
      </c>
      <c r="S334" s="2" t="s">
        <v>98</v>
      </c>
      <c r="T334" s="2" t="s">
        <v>98</v>
      </c>
      <c r="U334" s="2" t="s">
        <v>117</v>
      </c>
      <c r="V334" s="2" t="s">
        <v>439</v>
      </c>
      <c r="W334" s="2" t="s">
        <v>103</v>
      </c>
      <c r="X334" s="2" t="s">
        <v>314</v>
      </c>
      <c r="Y334" s="2" t="s">
        <v>1988</v>
      </c>
      <c r="Z334" s="4">
        <v>61</v>
      </c>
      <c r="AA334" s="4">
        <f>=ROUNDDOWN(7.01149425287356,0)</f>
      </c>
      <c r="AB334" s="5">
        <v>8.7</v>
      </c>
      <c r="AC334" s="2" t="s">
        <v>1989</v>
      </c>
      <c r="AD334" s="4">
        <v>44</v>
      </c>
      <c r="AE334" s="4">
        <v>210</v>
      </c>
      <c r="AF334" s="6">
        <v>65</v>
      </c>
      <c r="AG334" s="6">
        <v>48</v>
      </c>
      <c r="AH334" s="7">
        <v>1</v>
      </c>
      <c r="AI334" s="4"/>
      <c r="AJ334" s="4">
        <f>=ROUNDDOWN({0},0)</f>
      </c>
      <c r="AK334" s="5"/>
      <c r="AL334" s="2" t="s">
        <v>98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 t="s">
        <v>98</v>
      </c>
      <c r="BD334" s="8" t="s">
        <v>98</v>
      </c>
      <c r="BE334" s="4" t="s">
        <v>98</v>
      </c>
      <c r="BF334" s="8" t="s">
        <v>98</v>
      </c>
      <c r="BG334" s="7" t="s">
        <v>98</v>
      </c>
      <c r="BH334" s="7" t="s">
        <v>98</v>
      </c>
      <c r="BI334" s="7"/>
      <c r="BJ334" s="4">
        <v>8</v>
      </c>
      <c r="BK334" s="8">
        <v>1962.78</v>
      </c>
      <c r="BL334" s="2" t="s">
        <v>1990</v>
      </c>
      <c r="BM334" s="7"/>
      <c r="BN334" s="7"/>
      <c r="BO334" s="4"/>
      <c r="BP334" s="8"/>
      <c r="BQ334" s="4"/>
      <c r="BR334" s="8"/>
      <c r="BS334" s="7"/>
      <c r="BT334" s="7"/>
      <c r="BU334" s="2" t="s">
        <v>1376</v>
      </c>
      <c r="BV334" s="2" t="s">
        <v>95</v>
      </c>
      <c r="BW334" s="2" t="s">
        <v>98</v>
      </c>
      <c r="BX334" s="2" t="s">
        <v>98</v>
      </c>
      <c r="BY334" s="2" t="s">
        <v>110</v>
      </c>
      <c r="BZ334" s="2" t="s">
        <v>98</v>
      </c>
    </row>
    <row r="335">
      <c r="A335" s="2" t="s">
        <v>1991</v>
      </c>
      <c r="B335" s="2" t="s">
        <v>1345</v>
      </c>
      <c r="C335" s="2" t="s">
        <v>88</v>
      </c>
      <c r="D335" s="2" t="s">
        <v>1946</v>
      </c>
      <c r="E335" s="2" t="s">
        <v>1947</v>
      </c>
      <c r="F335" s="2" t="s">
        <v>1992</v>
      </c>
      <c r="G335" s="2" t="s">
        <v>1993</v>
      </c>
      <c r="H335" s="2" t="s">
        <v>1994</v>
      </c>
      <c r="I335" s="2" t="s">
        <v>1995</v>
      </c>
      <c r="J335" s="2" t="s">
        <v>93</v>
      </c>
      <c r="K335" s="2" t="s">
        <v>277</v>
      </c>
      <c r="L335" s="3">
        <v>190.4</v>
      </c>
      <c r="M335" s="3">
        <v>199.92</v>
      </c>
      <c r="N335" s="3">
        <v>399</v>
      </c>
      <c r="O335" s="2" t="s">
        <v>95</v>
      </c>
      <c r="P335" s="2" t="s">
        <v>134</v>
      </c>
      <c r="Q335" s="2" t="s">
        <v>97</v>
      </c>
      <c r="R335" s="2" t="s">
        <v>98</v>
      </c>
      <c r="S335" s="2" t="s">
        <v>1996</v>
      </c>
      <c r="T335" s="2" t="s">
        <v>98</v>
      </c>
      <c r="U335" s="2" t="s">
        <v>98</v>
      </c>
      <c r="V335" s="2" t="s">
        <v>439</v>
      </c>
      <c r="W335" s="2" t="s">
        <v>103</v>
      </c>
      <c r="X335" s="2" t="s">
        <v>98</v>
      </c>
      <c r="Y335" s="2" t="s">
        <v>1974</v>
      </c>
      <c r="Z335" s="4">
        <v>28</v>
      </c>
      <c r="AA335" s="4">
        <f>=ROUNDDOWN(1.01449275362319,0)</f>
      </c>
      <c r="AB335" s="5">
        <v>27.6</v>
      </c>
      <c r="AC335" s="2" t="s">
        <v>1353</v>
      </c>
      <c r="AD335" s="4">
        <v>274</v>
      </c>
      <c r="AE335" s="4">
        <v>400</v>
      </c>
      <c r="AF335" s="6">
        <v>74</v>
      </c>
      <c r="AG335" s="6">
        <v>60</v>
      </c>
      <c r="AH335" s="7">
        <v>1</v>
      </c>
      <c r="AI335" s="4"/>
      <c r="AJ335" s="4">
        <f>=ROUNDDOWN({0},0)</f>
      </c>
      <c r="AK335" s="5"/>
      <c r="AL335" s="2" t="s">
        <v>98</v>
      </c>
      <c r="AM335" s="4"/>
      <c r="AN335" s="4"/>
      <c r="AO335" s="7">
        <v>0</v>
      </c>
      <c r="AP335" s="4">
        <v>1</v>
      </c>
      <c r="AQ335" s="8">
        <v>201.1</v>
      </c>
      <c r="AR335" s="4"/>
      <c r="AS335" s="8"/>
      <c r="AT335" s="7"/>
      <c r="AU335" s="7"/>
      <c r="AV335" s="4">
        <v>1</v>
      </c>
      <c r="AW335" s="8">
        <v>201.1</v>
      </c>
      <c r="AX335" s="4"/>
      <c r="AY335" s="8"/>
      <c r="AZ335" s="7"/>
      <c r="BA335" s="7"/>
      <c r="BB335" s="7">
        <v>1</v>
      </c>
      <c r="BC335" s="4">
        <v>1</v>
      </c>
      <c r="BD335" s="8">
        <v>201.1</v>
      </c>
      <c r="BE335" s="4" t="s">
        <v>98</v>
      </c>
      <c r="BF335" s="8" t="s">
        <v>98</v>
      </c>
      <c r="BG335" s="7" t="s">
        <v>98</v>
      </c>
      <c r="BH335" s="7" t="s">
        <v>98</v>
      </c>
      <c r="BI335" s="7">
        <v>1</v>
      </c>
      <c r="BJ335" s="4">
        <v>9</v>
      </c>
      <c r="BK335" s="8">
        <v>1690.3</v>
      </c>
      <c r="BL335" s="2" t="s">
        <v>1463</v>
      </c>
      <c r="BM335" s="7">
        <v>0.1111</v>
      </c>
      <c r="BN335" s="7">
        <v>0.119</v>
      </c>
      <c r="BO335" s="4">
        <v>1</v>
      </c>
      <c r="BP335" s="8">
        <v>201.1</v>
      </c>
      <c r="BQ335" s="4"/>
      <c r="BR335" s="8"/>
      <c r="BS335" s="7"/>
      <c r="BT335" s="7"/>
      <c r="BU335" s="2" t="s">
        <v>107</v>
      </c>
      <c r="BV335" s="2" t="s">
        <v>1355</v>
      </c>
      <c r="BW335" s="2" t="s">
        <v>1436</v>
      </c>
      <c r="BX335" s="2" t="s">
        <v>1997</v>
      </c>
      <c r="BY335" s="2" t="s">
        <v>110</v>
      </c>
      <c r="BZ335" s="2" t="s">
        <v>98</v>
      </c>
    </row>
    <row r="336">
      <c r="A336" s="2" t="s">
        <v>1998</v>
      </c>
      <c r="B336" s="2" t="s">
        <v>1345</v>
      </c>
      <c r="C336" s="2" t="s">
        <v>88</v>
      </c>
      <c r="D336" s="2" t="s">
        <v>1946</v>
      </c>
      <c r="E336" s="2" t="s">
        <v>1947</v>
      </c>
      <c r="F336" s="2" t="s">
        <v>1992</v>
      </c>
      <c r="G336" s="2" t="s">
        <v>1993</v>
      </c>
      <c r="H336" s="2" t="s">
        <v>1994</v>
      </c>
      <c r="I336" s="2" t="s">
        <v>1995</v>
      </c>
      <c r="J336" s="2" t="s">
        <v>93</v>
      </c>
      <c r="K336" s="2" t="s">
        <v>133</v>
      </c>
      <c r="L336" s="3">
        <v>190.4</v>
      </c>
      <c r="M336" s="3">
        <v>199.92</v>
      </c>
      <c r="N336" s="3">
        <v>399</v>
      </c>
      <c r="O336" s="2" t="s">
        <v>155</v>
      </c>
      <c r="P336" s="2" t="s">
        <v>115</v>
      </c>
      <c r="Q336" s="2" t="s">
        <v>97</v>
      </c>
      <c r="R336" s="2" t="s">
        <v>98</v>
      </c>
      <c r="S336" s="2" t="s">
        <v>98</v>
      </c>
      <c r="T336" s="2" t="s">
        <v>98</v>
      </c>
      <c r="U336" s="2" t="s">
        <v>98</v>
      </c>
      <c r="V336" s="2" t="s">
        <v>439</v>
      </c>
      <c r="W336" s="2" t="s">
        <v>103</v>
      </c>
      <c r="X336" s="2" t="s">
        <v>98</v>
      </c>
      <c r="Y336" s="2" t="s">
        <v>427</v>
      </c>
      <c r="Z336" s="4">
        <v>143</v>
      </c>
      <c r="AA336" s="4">
        <f>=ROUNDDOWN(37.6315789473684,0)</f>
      </c>
      <c r="AB336" s="5">
        <v>3.8</v>
      </c>
      <c r="AC336" s="2" t="s">
        <v>98</v>
      </c>
      <c r="AD336" s="4"/>
      <c r="AE336" s="4"/>
      <c r="AF336" s="6">
        <v>74</v>
      </c>
      <c r="AG336" s="6">
        <v>60</v>
      </c>
      <c r="AH336" s="7">
        <v>1</v>
      </c>
      <c r="AI336" s="4"/>
      <c r="AJ336" s="4">
        <f>=ROUNDDOWN({0},0)</f>
      </c>
      <c r="AK336" s="5"/>
      <c r="AL336" s="2" t="s">
        <v>98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 t="s">
        <v>98</v>
      </c>
      <c r="BD336" s="8" t="s">
        <v>98</v>
      </c>
      <c r="BE336" s="4" t="s">
        <v>98</v>
      </c>
      <c r="BF336" s="8" t="s">
        <v>98</v>
      </c>
      <c r="BG336" s="7" t="s">
        <v>98</v>
      </c>
      <c r="BH336" s="7" t="s">
        <v>98</v>
      </c>
      <c r="BI336" s="7"/>
      <c r="BJ336" s="4">
        <v>4</v>
      </c>
      <c r="BK336" s="8">
        <v>779.28</v>
      </c>
      <c r="BL336" s="2" t="s">
        <v>895</v>
      </c>
      <c r="BM336" s="7"/>
      <c r="BN336" s="7"/>
      <c r="BO336" s="4"/>
      <c r="BP336" s="8"/>
      <c r="BQ336" s="4"/>
      <c r="BR336" s="8"/>
      <c r="BS336" s="7"/>
      <c r="BT336" s="7"/>
      <c r="BU336" s="2" t="s">
        <v>107</v>
      </c>
      <c r="BV336" s="2" t="s">
        <v>1355</v>
      </c>
      <c r="BW336" s="2" t="s">
        <v>1472</v>
      </c>
      <c r="BX336" s="2" t="s">
        <v>1999</v>
      </c>
      <c r="BY336" s="2" t="s">
        <v>110</v>
      </c>
      <c r="BZ336" s="2" t="s">
        <v>98</v>
      </c>
    </row>
    <row r="337">
      <c r="A337" s="2" t="s">
        <v>2000</v>
      </c>
      <c r="B337" s="2" t="s">
        <v>1345</v>
      </c>
      <c r="C337" s="2" t="s">
        <v>88</v>
      </c>
      <c r="D337" s="2" t="s">
        <v>1946</v>
      </c>
      <c r="E337" s="2" t="s">
        <v>1947</v>
      </c>
      <c r="F337" s="2" t="s">
        <v>2001</v>
      </c>
      <c r="G337" s="2" t="s">
        <v>2002</v>
      </c>
      <c r="H337" s="2" t="s">
        <v>2003</v>
      </c>
      <c r="I337" s="2" t="s">
        <v>1980</v>
      </c>
      <c r="J337" s="2" t="s">
        <v>93</v>
      </c>
      <c r="K337" s="2" t="s">
        <v>277</v>
      </c>
      <c r="L337" s="3">
        <v>238.5</v>
      </c>
      <c r="M337" s="3">
        <v>250.42</v>
      </c>
      <c r="N337" s="3">
        <v>499</v>
      </c>
      <c r="O337" s="2" t="s">
        <v>95</v>
      </c>
      <c r="P337" s="2" t="s">
        <v>134</v>
      </c>
      <c r="Q337" s="2" t="s">
        <v>97</v>
      </c>
      <c r="R337" s="2" t="s">
        <v>98</v>
      </c>
      <c r="S337" s="2" t="s">
        <v>98</v>
      </c>
      <c r="T337" s="2" t="s">
        <v>98</v>
      </c>
      <c r="U337" s="2" t="s">
        <v>117</v>
      </c>
      <c r="V337" s="2" t="s">
        <v>439</v>
      </c>
      <c r="W337" s="2" t="s">
        <v>103</v>
      </c>
      <c r="X337" s="2" t="s">
        <v>98</v>
      </c>
      <c r="Y337" s="2" t="s">
        <v>1440</v>
      </c>
      <c r="Z337" s="4">
        <v>80</v>
      </c>
      <c r="AA337" s="4">
        <f>=ROUNDDOWN(16,0)</f>
      </c>
      <c r="AB337" s="5">
        <v>5</v>
      </c>
      <c r="AC337" s="2" t="s">
        <v>1533</v>
      </c>
      <c r="AD337" s="4">
        <v>55</v>
      </c>
      <c r="AE337" s="4">
        <v>127</v>
      </c>
      <c r="AF337" s="6">
        <v>65</v>
      </c>
      <c r="AG337" s="6">
        <v>48</v>
      </c>
      <c r="AH337" s="7">
        <v>1</v>
      </c>
      <c r="AI337" s="4"/>
      <c r="AJ337" s="4">
        <f>=ROUNDDOWN({0},0)</f>
      </c>
      <c r="AK337" s="5"/>
      <c r="AL337" s="2" t="s">
        <v>98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/>
      <c r="BD337" s="8"/>
      <c r="BE337" s="4"/>
      <c r="BF337" s="8"/>
      <c r="BG337" s="7"/>
      <c r="BH337" s="7"/>
      <c r="BI337" s="7"/>
      <c r="BJ337" s="4">
        <v>2</v>
      </c>
      <c r="BK337" s="8">
        <v>486.5</v>
      </c>
      <c r="BL337" s="2" t="s">
        <v>895</v>
      </c>
      <c r="BM337" s="7"/>
      <c r="BN337" s="7"/>
      <c r="BO337" s="4"/>
      <c r="BP337" s="8"/>
      <c r="BQ337" s="4"/>
      <c r="BR337" s="8"/>
      <c r="BS337" s="7"/>
      <c r="BT337" s="7"/>
      <c r="BU337" s="2" t="s">
        <v>1376</v>
      </c>
      <c r="BV337" s="2" t="s">
        <v>95</v>
      </c>
      <c r="BW337" s="2" t="s">
        <v>98</v>
      </c>
      <c r="BX337" s="2" t="s">
        <v>98</v>
      </c>
      <c r="BY337" s="2" t="s">
        <v>110</v>
      </c>
      <c r="BZ337" s="2" t="s">
        <v>98</v>
      </c>
    </row>
    <row r="338">
      <c r="A338" s="2" t="s">
        <v>2004</v>
      </c>
      <c r="B338" s="2" t="s">
        <v>1345</v>
      </c>
      <c r="C338" s="2" t="s">
        <v>88</v>
      </c>
      <c r="D338" s="2" t="s">
        <v>1946</v>
      </c>
      <c r="E338" s="2" t="s">
        <v>1947</v>
      </c>
      <c r="F338" s="2" t="s">
        <v>2005</v>
      </c>
      <c r="G338" s="2" t="s">
        <v>2006</v>
      </c>
      <c r="H338" s="2" t="s">
        <v>2007</v>
      </c>
      <c r="I338" s="2" t="s">
        <v>2008</v>
      </c>
      <c r="J338" s="2" t="s">
        <v>93</v>
      </c>
      <c r="K338" s="2" t="s">
        <v>1052</v>
      </c>
      <c r="L338" s="3">
        <v>234</v>
      </c>
      <c r="M338" s="3">
        <v>245.7</v>
      </c>
      <c r="N338" s="3">
        <v>499</v>
      </c>
      <c r="O338" s="2" t="s">
        <v>95</v>
      </c>
      <c r="P338" s="2" t="s">
        <v>134</v>
      </c>
      <c r="Q338" s="2" t="s">
        <v>97</v>
      </c>
      <c r="R338" s="2" t="s">
        <v>98</v>
      </c>
      <c r="S338" s="2" t="s">
        <v>98</v>
      </c>
      <c r="T338" s="2" t="s">
        <v>98</v>
      </c>
      <c r="U338" s="2" t="s">
        <v>117</v>
      </c>
      <c r="V338" s="2" t="s">
        <v>296</v>
      </c>
      <c r="W338" s="2" t="s">
        <v>314</v>
      </c>
      <c r="X338" s="2" t="s">
        <v>103</v>
      </c>
      <c r="Y338" s="2" t="s">
        <v>1909</v>
      </c>
      <c r="Z338" s="4">
        <v>125</v>
      </c>
      <c r="AA338" s="4">
        <f>=ROUNDDOWN(41.6666666666667,0)</f>
      </c>
      <c r="AB338" s="5">
        <v>3</v>
      </c>
      <c r="AC338" s="2" t="s">
        <v>98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98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>
        <v>1</v>
      </c>
      <c r="BK338" s="8">
        <v>253.07</v>
      </c>
      <c r="BL338" s="2" t="s">
        <v>895</v>
      </c>
      <c r="BM338" s="7"/>
      <c r="BN338" s="7"/>
      <c r="BO338" s="4"/>
      <c r="BP338" s="8"/>
      <c r="BQ338" s="4"/>
      <c r="BR338" s="8"/>
      <c r="BS338" s="7"/>
      <c r="BT338" s="7"/>
      <c r="BU338" s="2" t="s">
        <v>1376</v>
      </c>
      <c r="BV338" s="2" t="s">
        <v>95</v>
      </c>
      <c r="BW338" s="2" t="s">
        <v>98</v>
      </c>
      <c r="BX338" s="2" t="s">
        <v>98</v>
      </c>
      <c r="BY338" s="2" t="s">
        <v>110</v>
      </c>
      <c r="BZ338" s="2" t="s">
        <v>98</v>
      </c>
    </row>
    <row r="339">
      <c r="A339" s="2" t="s">
        <v>2009</v>
      </c>
      <c r="B339" s="2" t="s">
        <v>1345</v>
      </c>
      <c r="C339" s="2" t="s">
        <v>88</v>
      </c>
      <c r="D339" s="2" t="s">
        <v>1946</v>
      </c>
      <c r="E339" s="2" t="s">
        <v>1947</v>
      </c>
      <c r="F339" s="2" t="s">
        <v>1666</v>
      </c>
      <c r="G339" s="2" t="s">
        <v>1666</v>
      </c>
      <c r="H339" s="2" t="s">
        <v>1666</v>
      </c>
      <c r="I339" s="2" t="s">
        <v>2010</v>
      </c>
      <c r="J339" s="2" t="s">
        <v>93</v>
      </c>
      <c r="K339" s="2" t="s">
        <v>1439</v>
      </c>
      <c r="L339" s="3">
        <v>210</v>
      </c>
      <c r="M339" s="3">
        <v>220.5</v>
      </c>
      <c r="N339" s="3">
        <v>449</v>
      </c>
      <c r="O339" s="2" t="s">
        <v>95</v>
      </c>
      <c r="P339" s="2" t="s">
        <v>411</v>
      </c>
      <c r="Q339" s="2" t="s">
        <v>97</v>
      </c>
      <c r="R339" s="2" t="s">
        <v>98</v>
      </c>
      <c r="S339" s="2" t="s">
        <v>98</v>
      </c>
      <c r="T339" s="2" t="s">
        <v>98</v>
      </c>
      <c r="U339" s="2" t="s">
        <v>117</v>
      </c>
      <c r="V339" s="2" t="s">
        <v>296</v>
      </c>
      <c r="W339" s="2" t="s">
        <v>103</v>
      </c>
      <c r="X339" s="2" t="s">
        <v>119</v>
      </c>
      <c r="Y339" s="2" t="s">
        <v>98</v>
      </c>
      <c r="Z339" s="4"/>
      <c r="AA339" s="4">
        <f>=ROUNDDOWN({0},0)</f>
      </c>
      <c r="AB339" s="5"/>
      <c r="AC339" s="2" t="s">
        <v>2011</v>
      </c>
      <c r="AD339" s="4">
        <v>120</v>
      </c>
      <c r="AE339" s="4">
        <v>120</v>
      </c>
      <c r="AF339" s="6">
        <v>74</v>
      </c>
      <c r="AG339" s="6"/>
      <c r="AH339" s="7">
        <v>0</v>
      </c>
      <c r="AI339" s="4"/>
      <c r="AJ339" s="4">
        <f>=ROUNDDOWN({0},0)</f>
      </c>
      <c r="AK339" s="5"/>
      <c r="AL339" s="2" t="s">
        <v>98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 t="s">
        <v>98</v>
      </c>
      <c r="BD339" s="8" t="s">
        <v>98</v>
      </c>
      <c r="BE339" s="4" t="s">
        <v>98</v>
      </c>
      <c r="BF339" s="8" t="s">
        <v>98</v>
      </c>
      <c r="BG339" s="7" t="s">
        <v>98</v>
      </c>
      <c r="BH339" s="7" t="s">
        <v>98</v>
      </c>
      <c r="BI339" s="7"/>
      <c r="BJ339" s="4"/>
      <c r="BK339" s="8"/>
      <c r="BL339" s="2" t="s">
        <v>98</v>
      </c>
      <c r="BM339" s="7"/>
      <c r="BN339" s="7"/>
      <c r="BO339" s="4"/>
      <c r="BP339" s="8"/>
      <c r="BQ339" s="4"/>
      <c r="BR339" s="8"/>
      <c r="BS339" s="7"/>
      <c r="BT339" s="7"/>
      <c r="BU339" s="2" t="s">
        <v>1376</v>
      </c>
      <c r="BV339" s="2" t="s">
        <v>95</v>
      </c>
      <c r="BW339" s="2" t="s">
        <v>98</v>
      </c>
      <c r="BX339" s="2" t="s">
        <v>98</v>
      </c>
      <c r="BY339" s="2" t="s">
        <v>110</v>
      </c>
      <c r="BZ339" s="2" t="s">
        <v>98</v>
      </c>
    </row>
    <row r="340">
      <c r="A340" s="2" t="s">
        <v>2012</v>
      </c>
      <c r="B340" s="2" t="s">
        <v>1345</v>
      </c>
      <c r="C340" s="2" t="s">
        <v>88</v>
      </c>
      <c r="D340" s="2" t="s">
        <v>1946</v>
      </c>
      <c r="E340" s="2" t="s">
        <v>1947</v>
      </c>
      <c r="F340" s="2" t="s">
        <v>1666</v>
      </c>
      <c r="G340" s="2" t="s">
        <v>1666</v>
      </c>
      <c r="H340" s="2" t="s">
        <v>1666</v>
      </c>
      <c r="I340" s="2" t="s">
        <v>2010</v>
      </c>
      <c r="J340" s="2" t="s">
        <v>93</v>
      </c>
      <c r="K340" s="2" t="s">
        <v>127</v>
      </c>
      <c r="L340" s="3">
        <v>210</v>
      </c>
      <c r="M340" s="3">
        <v>220.5</v>
      </c>
      <c r="N340" s="3">
        <v>449</v>
      </c>
      <c r="O340" s="2" t="s">
        <v>95</v>
      </c>
      <c r="P340" s="2" t="s">
        <v>411</v>
      </c>
      <c r="Q340" s="2" t="s">
        <v>97</v>
      </c>
      <c r="R340" s="2" t="s">
        <v>98</v>
      </c>
      <c r="S340" s="2" t="s">
        <v>98</v>
      </c>
      <c r="T340" s="2" t="s">
        <v>98</v>
      </c>
      <c r="U340" s="2" t="s">
        <v>117</v>
      </c>
      <c r="V340" s="2" t="s">
        <v>296</v>
      </c>
      <c r="W340" s="2" t="s">
        <v>103</v>
      </c>
      <c r="X340" s="2" t="s">
        <v>119</v>
      </c>
      <c r="Y340" s="2" t="s">
        <v>98</v>
      </c>
      <c r="Z340" s="4"/>
      <c r="AA340" s="4">
        <f>=ROUNDDOWN({0},0)</f>
      </c>
      <c r="AB340" s="5"/>
      <c r="AC340" s="2" t="s">
        <v>2011</v>
      </c>
      <c r="AD340" s="4">
        <v>72</v>
      </c>
      <c r="AE340" s="4">
        <v>72</v>
      </c>
      <c r="AF340" s="6">
        <v>74</v>
      </c>
      <c r="AG340" s="6"/>
      <c r="AH340" s="7">
        <v>0</v>
      </c>
      <c r="AI340" s="4"/>
      <c r="AJ340" s="4">
        <f>=ROUNDDOWN({0},0)</f>
      </c>
      <c r="AK340" s="5"/>
      <c r="AL340" s="2" t="s">
        <v>98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 t="s">
        <v>98</v>
      </c>
      <c r="BD340" s="8" t="s">
        <v>98</v>
      </c>
      <c r="BE340" s="4" t="s">
        <v>98</v>
      </c>
      <c r="BF340" s="8" t="s">
        <v>98</v>
      </c>
      <c r="BG340" s="7" t="s">
        <v>98</v>
      </c>
      <c r="BH340" s="7" t="s">
        <v>98</v>
      </c>
      <c r="BI340" s="7"/>
      <c r="BJ340" s="4"/>
      <c r="BK340" s="8"/>
      <c r="BL340" s="2" t="s">
        <v>98</v>
      </c>
      <c r="BM340" s="7"/>
      <c r="BN340" s="7"/>
      <c r="BO340" s="4"/>
      <c r="BP340" s="8"/>
      <c r="BQ340" s="4"/>
      <c r="BR340" s="8"/>
      <c r="BS340" s="7"/>
      <c r="BT340" s="7"/>
      <c r="BU340" s="2" t="s">
        <v>1376</v>
      </c>
      <c r="BV340" s="2" t="s">
        <v>95</v>
      </c>
      <c r="BW340" s="2" t="s">
        <v>98</v>
      </c>
      <c r="BX340" s="2" t="s">
        <v>98</v>
      </c>
      <c r="BY340" s="2" t="s">
        <v>110</v>
      </c>
      <c r="BZ340" s="2" t="s">
        <v>98</v>
      </c>
    </row>
    <row r="341">
      <c r="A341" s="2" t="s">
        <v>2013</v>
      </c>
      <c r="B341" s="2" t="s">
        <v>1345</v>
      </c>
      <c r="C341" s="2" t="s">
        <v>88</v>
      </c>
      <c r="D341" s="2" t="s">
        <v>1946</v>
      </c>
      <c r="E341" s="2" t="s">
        <v>1947</v>
      </c>
      <c r="F341" s="2" t="s">
        <v>2014</v>
      </c>
      <c r="G341" s="2" t="s">
        <v>2015</v>
      </c>
      <c r="H341" s="2" t="s">
        <v>2016</v>
      </c>
      <c r="I341" s="2" t="s">
        <v>2017</v>
      </c>
      <c r="J341" s="2" t="s">
        <v>93</v>
      </c>
      <c r="K341" s="2" t="s">
        <v>133</v>
      </c>
      <c r="L341" s="3">
        <v>262.5</v>
      </c>
      <c r="M341" s="3">
        <v>275.63</v>
      </c>
      <c r="N341" s="3">
        <v>549</v>
      </c>
      <c r="O341" s="2" t="s">
        <v>155</v>
      </c>
      <c r="P341" s="2" t="s">
        <v>115</v>
      </c>
      <c r="Q341" s="2" t="s">
        <v>97</v>
      </c>
      <c r="R341" s="2" t="s">
        <v>98</v>
      </c>
      <c r="S341" s="2" t="s">
        <v>98</v>
      </c>
      <c r="T341" s="2" t="s">
        <v>98</v>
      </c>
      <c r="U341" s="2" t="s">
        <v>98</v>
      </c>
      <c r="V341" s="2" t="s">
        <v>296</v>
      </c>
      <c r="W341" s="2" t="s">
        <v>103</v>
      </c>
      <c r="X341" s="2" t="s">
        <v>102</v>
      </c>
      <c r="Y341" s="2" t="s">
        <v>1849</v>
      </c>
      <c r="Z341" s="4">
        <v>56</v>
      </c>
      <c r="AA341" s="4">
        <f>=ROUNDDOWN({0},0)</f>
      </c>
      <c r="AB341" s="5"/>
      <c r="AC341" s="2" t="s">
        <v>98</v>
      </c>
      <c r="AD341" s="4"/>
      <c r="AE341" s="4"/>
      <c r="AF341" s="6">
        <v>74</v>
      </c>
      <c r="AG341" s="6"/>
      <c r="AH341" s="7">
        <v>1</v>
      </c>
      <c r="AI341" s="4"/>
      <c r="AJ341" s="4">
        <f>=ROUNDDOWN({0},0)</f>
      </c>
      <c r="AK341" s="5"/>
      <c r="AL341" s="2" t="s">
        <v>98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98</v>
      </c>
      <c r="BM341" s="7"/>
      <c r="BN341" s="7"/>
      <c r="BO341" s="4"/>
      <c r="BP341" s="8"/>
      <c r="BQ341" s="4"/>
      <c r="BR341" s="8"/>
      <c r="BS341" s="7"/>
      <c r="BT341" s="7"/>
      <c r="BU341" s="2" t="s">
        <v>1376</v>
      </c>
      <c r="BV341" s="2" t="s">
        <v>95</v>
      </c>
      <c r="BW341" s="2" t="s">
        <v>98</v>
      </c>
      <c r="BX341" s="2" t="s">
        <v>98</v>
      </c>
      <c r="BY341" s="2" t="s">
        <v>110</v>
      </c>
      <c r="BZ341" s="2" t="s">
        <v>98</v>
      </c>
    </row>
    <row r="342">
      <c r="A342" s="2" t="s">
        <v>2018</v>
      </c>
      <c r="B342" s="2" t="s">
        <v>1345</v>
      </c>
      <c r="C342" s="2" t="s">
        <v>88</v>
      </c>
      <c r="D342" s="2" t="s">
        <v>1946</v>
      </c>
      <c r="E342" s="2" t="s">
        <v>1947</v>
      </c>
      <c r="F342" s="2" t="s">
        <v>2019</v>
      </c>
      <c r="G342" s="2" t="s">
        <v>2020</v>
      </c>
      <c r="H342" s="2" t="s">
        <v>2021</v>
      </c>
      <c r="I342" s="2" t="s">
        <v>1980</v>
      </c>
      <c r="J342" s="2" t="s">
        <v>93</v>
      </c>
      <c r="K342" s="2" t="s">
        <v>1439</v>
      </c>
      <c r="L342" s="3">
        <v>226.1</v>
      </c>
      <c r="M342" s="3">
        <v>237.4</v>
      </c>
      <c r="N342" s="3">
        <v>479</v>
      </c>
      <c r="O342" s="2" t="s">
        <v>95</v>
      </c>
      <c r="P342" s="2" t="s">
        <v>134</v>
      </c>
      <c r="Q342" s="2" t="s">
        <v>97</v>
      </c>
      <c r="R342" s="2" t="s">
        <v>98</v>
      </c>
      <c r="S342" s="2" t="s">
        <v>2022</v>
      </c>
      <c r="T342" s="2" t="s">
        <v>98</v>
      </c>
      <c r="U342" s="2" t="s">
        <v>98</v>
      </c>
      <c r="V342" s="2" t="s">
        <v>439</v>
      </c>
      <c r="W342" s="2" t="s">
        <v>103</v>
      </c>
      <c r="X342" s="2" t="s">
        <v>98</v>
      </c>
      <c r="Y342" s="2" t="s">
        <v>1974</v>
      </c>
      <c r="Z342" s="4">
        <v>43</v>
      </c>
      <c r="AA342" s="4">
        <f>=ROUNDDOWN(8.95833333333333,0)</f>
      </c>
      <c r="AB342" s="5">
        <v>4.8</v>
      </c>
      <c r="AC342" s="2" t="s">
        <v>1989</v>
      </c>
      <c r="AD342" s="4">
        <v>100</v>
      </c>
      <c r="AE342" s="4">
        <v>266</v>
      </c>
      <c r="AF342" s="6">
        <v>65</v>
      </c>
      <c r="AG342" s="6">
        <v>48</v>
      </c>
      <c r="AH342" s="7">
        <v>1</v>
      </c>
      <c r="AI342" s="4"/>
      <c r="AJ342" s="4">
        <f>=ROUNDDOWN({0},0)</f>
      </c>
      <c r="AK342" s="5"/>
      <c r="AL342" s="2" t="s">
        <v>1729</v>
      </c>
      <c r="AM342" s="4">
        <v>98</v>
      </c>
      <c r="AN342" s="4">
        <v>125</v>
      </c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 t="s">
        <v>98</v>
      </c>
      <c r="BD342" s="8" t="s">
        <v>98</v>
      </c>
      <c r="BE342" s="4" t="s">
        <v>98</v>
      </c>
      <c r="BF342" s="8" t="s">
        <v>98</v>
      </c>
      <c r="BG342" s="7" t="s">
        <v>98</v>
      </c>
      <c r="BH342" s="7" t="s">
        <v>98</v>
      </c>
      <c r="BI342" s="7"/>
      <c r="BJ342" s="4"/>
      <c r="BK342" s="8"/>
      <c r="BL342" s="2" t="s">
        <v>2023</v>
      </c>
      <c r="BM342" s="7"/>
      <c r="BN342" s="7"/>
      <c r="BO342" s="4"/>
      <c r="BP342" s="8"/>
      <c r="BQ342" s="4"/>
      <c r="BR342" s="8"/>
      <c r="BS342" s="7"/>
      <c r="BT342" s="7"/>
      <c r="BU342" s="2" t="s">
        <v>107</v>
      </c>
      <c r="BV342" s="2" t="s">
        <v>1355</v>
      </c>
      <c r="BW342" s="2" t="s">
        <v>1141</v>
      </c>
      <c r="BX342" s="2" t="s">
        <v>2024</v>
      </c>
      <c r="BY342" s="2" t="s">
        <v>110</v>
      </c>
      <c r="BZ342" s="2" t="s">
        <v>98</v>
      </c>
    </row>
    <row r="343">
      <c r="A343" s="2" t="s">
        <v>2025</v>
      </c>
      <c r="B343" s="2" t="s">
        <v>1345</v>
      </c>
      <c r="C343" s="2" t="s">
        <v>88</v>
      </c>
      <c r="D343" s="2" t="s">
        <v>1946</v>
      </c>
      <c r="E343" s="2" t="s">
        <v>1947</v>
      </c>
      <c r="F343" s="2" t="s">
        <v>2019</v>
      </c>
      <c r="G343" s="2" t="s">
        <v>2020</v>
      </c>
      <c r="H343" s="2" t="s">
        <v>2021</v>
      </c>
      <c r="I343" s="2" t="s">
        <v>2026</v>
      </c>
      <c r="J343" s="2" t="s">
        <v>93</v>
      </c>
      <c r="K343" s="2" t="s">
        <v>1540</v>
      </c>
      <c r="L343" s="3">
        <v>226.1</v>
      </c>
      <c r="M343" s="3">
        <v>237.4</v>
      </c>
      <c r="N343" s="3">
        <v>479</v>
      </c>
      <c r="O343" s="2" t="s">
        <v>95</v>
      </c>
      <c r="P343" s="2" t="s">
        <v>134</v>
      </c>
      <c r="Q343" s="2" t="s">
        <v>97</v>
      </c>
      <c r="R343" s="2" t="s">
        <v>98</v>
      </c>
      <c r="S343" s="2" t="s">
        <v>98</v>
      </c>
      <c r="T343" s="2" t="s">
        <v>98</v>
      </c>
      <c r="U343" s="2" t="s">
        <v>117</v>
      </c>
      <c r="V343" s="2" t="s">
        <v>439</v>
      </c>
      <c r="W343" s="2" t="s">
        <v>103</v>
      </c>
      <c r="X343" s="2" t="s">
        <v>119</v>
      </c>
      <c r="Y343" s="2" t="s">
        <v>1476</v>
      </c>
      <c r="Z343" s="4">
        <v>307</v>
      </c>
      <c r="AA343" s="4">
        <f>=ROUNDDOWN(51.1666666666667,0)</f>
      </c>
      <c r="AB343" s="5">
        <v>6</v>
      </c>
      <c r="AC343" s="2" t="s">
        <v>2027</v>
      </c>
      <c r="AD343" s="4">
        <v>108</v>
      </c>
      <c r="AE343" s="4">
        <v>222</v>
      </c>
      <c r="AF343" s="6">
        <v>65</v>
      </c>
      <c r="AG343" s="6">
        <v>48</v>
      </c>
      <c r="AH343" s="7">
        <v>1</v>
      </c>
      <c r="AI343" s="4"/>
      <c r="AJ343" s="4">
        <f>=ROUNDDOWN({0},0)</f>
      </c>
      <c r="AK343" s="5"/>
      <c r="AL343" s="2" t="s">
        <v>98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 t="s">
        <v>98</v>
      </c>
      <c r="BD343" s="8" t="s">
        <v>98</v>
      </c>
      <c r="BE343" s="4" t="s">
        <v>98</v>
      </c>
      <c r="BF343" s="8" t="s">
        <v>98</v>
      </c>
      <c r="BG343" s="7" t="s">
        <v>98</v>
      </c>
      <c r="BH343" s="7" t="s">
        <v>98</v>
      </c>
      <c r="BI343" s="7"/>
      <c r="BJ343" s="4">
        <v>2</v>
      </c>
      <c r="BK343" s="8">
        <v>459.3</v>
      </c>
      <c r="BL343" s="2" t="s">
        <v>1575</v>
      </c>
      <c r="BM343" s="7"/>
      <c r="BN343" s="7"/>
      <c r="BO343" s="4"/>
      <c r="BP343" s="8"/>
      <c r="BQ343" s="4"/>
      <c r="BR343" s="8"/>
      <c r="BS343" s="7"/>
      <c r="BT343" s="7"/>
      <c r="BU343" s="2" t="s">
        <v>107</v>
      </c>
      <c r="BV343" s="2" t="s">
        <v>1355</v>
      </c>
      <c r="BW343" s="2" t="s">
        <v>707</v>
      </c>
      <c r="BX343" s="2" t="s">
        <v>2028</v>
      </c>
      <c r="BY343" s="2" t="s">
        <v>110</v>
      </c>
      <c r="BZ343" s="2" t="s">
        <v>98</v>
      </c>
    </row>
    <row r="344">
      <c r="A344" s="2" t="s">
        <v>2029</v>
      </c>
      <c r="B344" s="2" t="s">
        <v>1345</v>
      </c>
      <c r="C344" s="2" t="s">
        <v>88</v>
      </c>
      <c r="D344" s="2" t="s">
        <v>1946</v>
      </c>
      <c r="E344" s="2" t="s">
        <v>1947</v>
      </c>
      <c r="F344" s="2" t="s">
        <v>2019</v>
      </c>
      <c r="G344" s="2" t="s">
        <v>2020</v>
      </c>
      <c r="H344" s="2" t="s">
        <v>2021</v>
      </c>
      <c r="I344" s="2" t="s">
        <v>2026</v>
      </c>
      <c r="J344" s="2" t="s">
        <v>93</v>
      </c>
      <c r="K344" s="2" t="s">
        <v>133</v>
      </c>
      <c r="L344" s="3">
        <v>226.1</v>
      </c>
      <c r="M344" s="3">
        <v>237.4</v>
      </c>
      <c r="N344" s="3">
        <v>479</v>
      </c>
      <c r="O344" s="2" t="s">
        <v>95</v>
      </c>
      <c r="P344" s="2" t="s">
        <v>134</v>
      </c>
      <c r="Q344" s="2" t="s">
        <v>97</v>
      </c>
      <c r="R344" s="2" t="s">
        <v>98</v>
      </c>
      <c r="S344" s="2" t="s">
        <v>2030</v>
      </c>
      <c r="T344" s="2" t="s">
        <v>98</v>
      </c>
      <c r="U344" s="2" t="s">
        <v>98</v>
      </c>
      <c r="V344" s="2" t="s">
        <v>439</v>
      </c>
      <c r="W344" s="2" t="s">
        <v>103</v>
      </c>
      <c r="X344" s="2" t="s">
        <v>98</v>
      </c>
      <c r="Y344" s="2" t="s">
        <v>2031</v>
      </c>
      <c r="Z344" s="4">
        <v>232</v>
      </c>
      <c r="AA344" s="4">
        <f>=ROUNDDOWN(55.2380952380952,0)</f>
      </c>
      <c r="AB344" s="5">
        <v>4.2</v>
      </c>
      <c r="AC344" s="2" t="s">
        <v>194</v>
      </c>
      <c r="AD344" s="4">
        <v>110</v>
      </c>
      <c r="AE344" s="4">
        <v>110</v>
      </c>
      <c r="AF344" s="6">
        <v>65</v>
      </c>
      <c r="AG344" s="6">
        <v>48</v>
      </c>
      <c r="AH344" s="7">
        <v>1</v>
      </c>
      <c r="AI344" s="4"/>
      <c r="AJ344" s="4">
        <f>=ROUNDDOWN({0},0)</f>
      </c>
      <c r="AK344" s="5"/>
      <c r="AL344" s="2" t="s">
        <v>98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 t="s">
        <v>98</v>
      </c>
      <c r="BD344" s="8" t="s">
        <v>98</v>
      </c>
      <c r="BE344" s="4" t="s">
        <v>98</v>
      </c>
      <c r="BF344" s="8" t="s">
        <v>98</v>
      </c>
      <c r="BG344" s="7" t="s">
        <v>98</v>
      </c>
      <c r="BH344" s="7" t="s">
        <v>98</v>
      </c>
      <c r="BI344" s="7"/>
      <c r="BJ344" s="4">
        <v>3</v>
      </c>
      <c r="BK344" s="8">
        <v>668.22</v>
      </c>
      <c r="BL344" s="2" t="s">
        <v>2032</v>
      </c>
      <c r="BM344" s="7"/>
      <c r="BN344" s="7"/>
      <c r="BO344" s="4"/>
      <c r="BP344" s="8"/>
      <c r="BQ344" s="4"/>
      <c r="BR344" s="8"/>
      <c r="BS344" s="7"/>
      <c r="BT344" s="7"/>
      <c r="BU344" s="2" t="s">
        <v>107</v>
      </c>
      <c r="BV344" s="2" t="s">
        <v>1355</v>
      </c>
      <c r="BW344" s="2" t="s">
        <v>1436</v>
      </c>
      <c r="BX344" s="2" t="s">
        <v>2033</v>
      </c>
      <c r="BY344" s="2" t="s">
        <v>110</v>
      </c>
      <c r="BZ344" s="2" t="s">
        <v>98</v>
      </c>
    </row>
    <row r="345">
      <c r="A345" s="2" t="s">
        <v>2034</v>
      </c>
      <c r="B345" s="2" t="s">
        <v>1345</v>
      </c>
      <c r="C345" s="2" t="s">
        <v>88</v>
      </c>
      <c r="D345" s="2" t="s">
        <v>1946</v>
      </c>
      <c r="E345" s="2" t="s">
        <v>1947</v>
      </c>
      <c r="F345" s="2" t="s">
        <v>2035</v>
      </c>
      <c r="G345" s="2" t="s">
        <v>2036</v>
      </c>
      <c r="H345" s="2" t="s">
        <v>2037</v>
      </c>
      <c r="I345" s="2" t="s">
        <v>2038</v>
      </c>
      <c r="J345" s="2" t="s">
        <v>93</v>
      </c>
      <c r="K345" s="2" t="s">
        <v>1005</v>
      </c>
      <c r="L345" s="3">
        <v>216.6</v>
      </c>
      <c r="M345" s="3">
        <v>227.43</v>
      </c>
      <c r="N345" s="3">
        <v>449</v>
      </c>
      <c r="O345" s="2" t="s">
        <v>95</v>
      </c>
      <c r="P345" s="2" t="s">
        <v>142</v>
      </c>
      <c r="Q345" s="2" t="s">
        <v>97</v>
      </c>
      <c r="R345" s="2" t="s">
        <v>98</v>
      </c>
      <c r="S345" s="2" t="s">
        <v>98</v>
      </c>
      <c r="T345" s="2" t="s">
        <v>98</v>
      </c>
      <c r="U345" s="2" t="s">
        <v>98</v>
      </c>
      <c r="V345" s="2" t="s">
        <v>439</v>
      </c>
      <c r="W345" s="2" t="s">
        <v>102</v>
      </c>
      <c r="X345" s="2" t="s">
        <v>297</v>
      </c>
      <c r="Y345" s="2" t="s">
        <v>2039</v>
      </c>
      <c r="Z345" s="4">
        <v>30</v>
      </c>
      <c r="AA345" s="4">
        <f>=ROUNDDOWN(10,0)</f>
      </c>
      <c r="AB345" s="5">
        <v>3</v>
      </c>
      <c r="AC345" s="2" t="s">
        <v>136</v>
      </c>
      <c r="AD345" s="4">
        <v>44</v>
      </c>
      <c r="AE345" s="4">
        <v>100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98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/>
      <c r="AW345" s="8"/>
      <c r="AX345" s="4"/>
      <c r="AY345" s="8"/>
      <c r="AZ345" s="7"/>
      <c r="BA345" s="7"/>
      <c r="BB345" s="7"/>
      <c r="BC345" s="4"/>
      <c r="BD345" s="8"/>
      <c r="BE345" s="4"/>
      <c r="BF345" s="8"/>
      <c r="BG345" s="7"/>
      <c r="BH345" s="7"/>
      <c r="BI345" s="7"/>
      <c r="BJ345" s="4"/>
      <c r="BK345" s="8"/>
      <c r="BL345" s="2" t="s">
        <v>98</v>
      </c>
      <c r="BM345" s="7"/>
      <c r="BN345" s="7"/>
      <c r="BO345" s="4"/>
      <c r="BP345" s="8"/>
      <c r="BQ345" s="4"/>
      <c r="BR345" s="8"/>
      <c r="BS345" s="7"/>
      <c r="BT345" s="7"/>
      <c r="BU345" s="2" t="s">
        <v>1376</v>
      </c>
      <c r="BV345" s="2" t="s">
        <v>95</v>
      </c>
      <c r="BW345" s="2" t="s">
        <v>98</v>
      </c>
      <c r="BX345" s="2" t="s">
        <v>98</v>
      </c>
      <c r="BY345" s="2" t="s">
        <v>110</v>
      </c>
      <c r="BZ345" s="2" t="s">
        <v>98</v>
      </c>
    </row>
    <row r="346">
      <c r="A346" s="2" t="s">
        <v>2040</v>
      </c>
      <c r="B346" s="2" t="s">
        <v>1345</v>
      </c>
      <c r="C346" s="2" t="s">
        <v>88</v>
      </c>
      <c r="D346" s="2" t="s">
        <v>1946</v>
      </c>
      <c r="E346" s="2" t="s">
        <v>1947</v>
      </c>
      <c r="F346" s="2" t="s">
        <v>2041</v>
      </c>
      <c r="G346" s="2" t="s">
        <v>2042</v>
      </c>
      <c r="H346" s="2" t="s">
        <v>2043</v>
      </c>
      <c r="I346" s="2" t="s">
        <v>1980</v>
      </c>
      <c r="J346" s="2" t="s">
        <v>93</v>
      </c>
      <c r="K346" s="2" t="s">
        <v>967</v>
      </c>
      <c r="L346" s="3">
        <v>222.3</v>
      </c>
      <c r="M346" s="3">
        <v>233.42</v>
      </c>
      <c r="N346" s="3">
        <v>469</v>
      </c>
      <c r="O346" s="2" t="s">
        <v>95</v>
      </c>
      <c r="P346" s="2" t="s">
        <v>295</v>
      </c>
      <c r="Q346" s="2" t="s">
        <v>97</v>
      </c>
      <c r="R346" s="2" t="s">
        <v>98</v>
      </c>
      <c r="S346" s="2" t="s">
        <v>98</v>
      </c>
      <c r="T346" s="2" t="s">
        <v>98</v>
      </c>
      <c r="U346" s="2" t="s">
        <v>117</v>
      </c>
      <c r="V346" s="2" t="s">
        <v>439</v>
      </c>
      <c r="W346" s="2" t="s">
        <v>103</v>
      </c>
      <c r="X346" s="2" t="s">
        <v>119</v>
      </c>
      <c r="Y346" s="2" t="s">
        <v>2044</v>
      </c>
      <c r="Z346" s="4">
        <v>1</v>
      </c>
      <c r="AA346" s="4">
        <f>=ROUNDDOWN(0.333333333333333,0)</f>
      </c>
      <c r="AB346" s="5">
        <v>3</v>
      </c>
      <c r="AC346" s="2" t="s">
        <v>1989</v>
      </c>
      <c r="AD346" s="4">
        <v>120</v>
      </c>
      <c r="AE346" s="4">
        <v>120</v>
      </c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98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/>
      <c r="BD346" s="8"/>
      <c r="BE346" s="4"/>
      <c r="BF346" s="8"/>
      <c r="BG346" s="7"/>
      <c r="BH346" s="7"/>
      <c r="BI346" s="7"/>
      <c r="BJ346" s="4"/>
      <c r="BK346" s="8"/>
      <c r="BL346" s="2" t="s">
        <v>98</v>
      </c>
      <c r="BM346" s="7"/>
      <c r="BN346" s="7"/>
      <c r="BO346" s="4"/>
      <c r="BP346" s="8"/>
      <c r="BQ346" s="4"/>
      <c r="BR346" s="8"/>
      <c r="BS346" s="7"/>
      <c r="BT346" s="7"/>
      <c r="BU346" s="2" t="s">
        <v>1376</v>
      </c>
      <c r="BV346" s="2" t="s">
        <v>95</v>
      </c>
      <c r="BW346" s="2" t="s">
        <v>98</v>
      </c>
      <c r="BX346" s="2" t="s">
        <v>98</v>
      </c>
      <c r="BY346" s="2" t="s">
        <v>110</v>
      </c>
      <c r="BZ346" s="2" t="s">
        <v>98</v>
      </c>
    </row>
    <row r="347">
      <c r="A347" s="2" t="s">
        <v>2045</v>
      </c>
      <c r="B347" s="2" t="s">
        <v>1345</v>
      </c>
      <c r="C347" s="2" t="s">
        <v>88</v>
      </c>
      <c r="D347" s="2" t="s">
        <v>1946</v>
      </c>
      <c r="E347" s="2" t="s">
        <v>1947</v>
      </c>
      <c r="F347" s="2" t="s">
        <v>2046</v>
      </c>
      <c r="G347" s="2" t="s">
        <v>2047</v>
      </c>
      <c r="H347" s="2" t="s">
        <v>2048</v>
      </c>
      <c r="I347" s="2" t="s">
        <v>2049</v>
      </c>
      <c r="J347" s="2" t="s">
        <v>93</v>
      </c>
      <c r="K347" s="2" t="s">
        <v>967</v>
      </c>
      <c r="L347" s="3">
        <v>162.45</v>
      </c>
      <c r="M347" s="3">
        <v>170.57</v>
      </c>
      <c r="N347" s="3">
        <v>339</v>
      </c>
      <c r="O347" s="2" t="s">
        <v>95</v>
      </c>
      <c r="P347" s="2" t="s">
        <v>142</v>
      </c>
      <c r="Q347" s="2" t="s">
        <v>97</v>
      </c>
      <c r="R347" s="2" t="s">
        <v>98</v>
      </c>
      <c r="S347" s="2" t="s">
        <v>98</v>
      </c>
      <c r="T347" s="2" t="s">
        <v>98</v>
      </c>
      <c r="U347" s="2" t="s">
        <v>98</v>
      </c>
      <c r="V347" s="2" t="s">
        <v>439</v>
      </c>
      <c r="W347" s="2" t="s">
        <v>102</v>
      </c>
      <c r="X347" s="2" t="s">
        <v>103</v>
      </c>
      <c r="Y347" s="2" t="s">
        <v>109</v>
      </c>
      <c r="Z347" s="4">
        <v>91</v>
      </c>
      <c r="AA347" s="4">
        <f>=ROUNDDOWN(56.875,0)</f>
      </c>
      <c r="AB347" s="5">
        <v>1.6</v>
      </c>
      <c r="AC347" s="2" t="s">
        <v>1757</v>
      </c>
      <c r="AD347" s="4">
        <v>12</v>
      </c>
      <c r="AE347" s="4">
        <v>12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98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/>
      <c r="BD347" s="8"/>
      <c r="BE347" s="4"/>
      <c r="BF347" s="8"/>
      <c r="BG347" s="7"/>
      <c r="BH347" s="7"/>
      <c r="BI347" s="7"/>
      <c r="BJ347" s="4"/>
      <c r="BK347" s="8"/>
      <c r="BL347" s="2" t="s">
        <v>269</v>
      </c>
      <c r="BM347" s="7"/>
      <c r="BN347" s="7"/>
      <c r="BO347" s="4"/>
      <c r="BP347" s="8"/>
      <c r="BQ347" s="4"/>
      <c r="BR347" s="8"/>
      <c r="BS347" s="7"/>
      <c r="BT347" s="7"/>
      <c r="BU347" s="2" t="s">
        <v>1376</v>
      </c>
      <c r="BV347" s="2" t="s">
        <v>95</v>
      </c>
      <c r="BW347" s="2" t="s">
        <v>98</v>
      </c>
      <c r="BX347" s="2" t="s">
        <v>98</v>
      </c>
      <c r="BY347" s="2" t="s">
        <v>110</v>
      </c>
      <c r="BZ347" s="2" t="s">
        <v>98</v>
      </c>
    </row>
    <row r="348">
      <c r="A348" s="2" t="s">
        <v>2050</v>
      </c>
      <c r="B348" s="2" t="s">
        <v>1345</v>
      </c>
      <c r="C348" s="2" t="s">
        <v>88</v>
      </c>
      <c r="D348" s="2" t="s">
        <v>1946</v>
      </c>
      <c r="E348" s="2" t="s">
        <v>1947</v>
      </c>
      <c r="F348" s="2" t="s">
        <v>2051</v>
      </c>
      <c r="G348" s="2" t="s">
        <v>2052</v>
      </c>
      <c r="H348" s="2" t="s">
        <v>2053</v>
      </c>
      <c r="I348" s="2" t="s">
        <v>1980</v>
      </c>
      <c r="J348" s="2" t="s">
        <v>93</v>
      </c>
      <c r="K348" s="2" t="s">
        <v>514</v>
      </c>
      <c r="L348" s="3">
        <v>265</v>
      </c>
      <c r="M348" s="3">
        <v>278.25</v>
      </c>
      <c r="N348" s="3">
        <v>559</v>
      </c>
      <c r="O348" s="2" t="s">
        <v>155</v>
      </c>
      <c r="P348" s="2" t="s">
        <v>115</v>
      </c>
      <c r="Q348" s="2" t="s">
        <v>97</v>
      </c>
      <c r="R348" s="2" t="s">
        <v>98</v>
      </c>
      <c r="S348" s="2" t="s">
        <v>98</v>
      </c>
      <c r="T348" s="2" t="s">
        <v>98</v>
      </c>
      <c r="U348" s="2" t="s">
        <v>117</v>
      </c>
      <c r="V348" s="2" t="s">
        <v>439</v>
      </c>
      <c r="W348" s="2" t="s">
        <v>103</v>
      </c>
      <c r="X348" s="2" t="s">
        <v>98</v>
      </c>
      <c r="Y348" s="2" t="s">
        <v>916</v>
      </c>
      <c r="Z348" s="4">
        <v>143</v>
      </c>
      <c r="AA348" s="4">
        <f>=ROUNDDOWN(158.888888888889,0)</f>
      </c>
      <c r="AB348" s="5">
        <v>0.9</v>
      </c>
      <c r="AC348" s="2" t="s">
        <v>98</v>
      </c>
      <c r="AD348" s="4"/>
      <c r="AE348" s="4"/>
      <c r="AF348" s="6">
        <v>65</v>
      </c>
      <c r="AG348" s="6">
        <v>48</v>
      </c>
      <c r="AH348" s="7">
        <v>1</v>
      </c>
      <c r="AI348" s="4"/>
      <c r="AJ348" s="4">
        <f>=ROUNDDOWN({0},0)</f>
      </c>
      <c r="AK348" s="5"/>
      <c r="AL348" s="2" t="s">
        <v>98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/>
      <c r="BD348" s="8"/>
      <c r="BE348" s="4"/>
      <c r="BF348" s="8"/>
      <c r="BG348" s="7"/>
      <c r="BH348" s="7"/>
      <c r="BI348" s="7"/>
      <c r="BJ348" s="4"/>
      <c r="BK348" s="8"/>
      <c r="BL348" s="2" t="s">
        <v>2054</v>
      </c>
      <c r="BM348" s="7"/>
      <c r="BN348" s="7"/>
      <c r="BO348" s="4"/>
      <c r="BP348" s="8"/>
      <c r="BQ348" s="4"/>
      <c r="BR348" s="8"/>
      <c r="BS348" s="7"/>
      <c r="BT348" s="7"/>
      <c r="BU348" s="2" t="s">
        <v>107</v>
      </c>
      <c r="BV348" s="2" t="s">
        <v>1355</v>
      </c>
      <c r="BW348" s="2" t="s">
        <v>1388</v>
      </c>
      <c r="BX348" s="2" t="s">
        <v>1389</v>
      </c>
      <c r="BY348" s="2" t="s">
        <v>110</v>
      </c>
      <c r="BZ348" s="2" t="s">
        <v>98</v>
      </c>
    </row>
    <row r="349">
      <c r="A349" s="2" t="s">
        <v>2055</v>
      </c>
      <c r="B349" s="2" t="s">
        <v>1345</v>
      </c>
      <c r="C349" s="2" t="s">
        <v>88</v>
      </c>
      <c r="D349" s="2" t="s">
        <v>1946</v>
      </c>
      <c r="E349" s="2" t="s">
        <v>1947</v>
      </c>
      <c r="F349" s="2" t="s">
        <v>266</v>
      </c>
      <c r="G349" s="2" t="s">
        <v>2056</v>
      </c>
      <c r="H349" s="2" t="s">
        <v>2057</v>
      </c>
      <c r="I349" s="2" t="s">
        <v>1980</v>
      </c>
      <c r="J349" s="2" t="s">
        <v>93</v>
      </c>
      <c r="K349" s="2" t="s">
        <v>2058</v>
      </c>
      <c r="L349" s="3">
        <v>216</v>
      </c>
      <c r="M349" s="3">
        <v>226.8</v>
      </c>
      <c r="N349" s="3">
        <v>449</v>
      </c>
      <c r="O349" s="2" t="s">
        <v>95</v>
      </c>
      <c r="P349" s="2" t="s">
        <v>115</v>
      </c>
      <c r="Q349" s="2" t="s">
        <v>97</v>
      </c>
      <c r="R349" s="2" t="s">
        <v>98</v>
      </c>
      <c r="S349" s="2" t="s">
        <v>98</v>
      </c>
      <c r="T349" s="2" t="s">
        <v>98</v>
      </c>
      <c r="U349" s="2" t="s">
        <v>117</v>
      </c>
      <c r="V349" s="2" t="s">
        <v>439</v>
      </c>
      <c r="W349" s="2" t="s">
        <v>963</v>
      </c>
      <c r="X349" s="2" t="s">
        <v>103</v>
      </c>
      <c r="Y349" s="2" t="s">
        <v>2059</v>
      </c>
      <c r="Z349" s="4">
        <v>14</v>
      </c>
      <c r="AA349" s="4">
        <f>=ROUNDDOWN(1.86666666666667,0)</f>
      </c>
      <c r="AB349" s="5">
        <v>7.5</v>
      </c>
      <c r="AC349" s="2" t="s">
        <v>98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98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/>
      <c r="BD349" s="8"/>
      <c r="BE349" s="4"/>
      <c r="BF349" s="8"/>
      <c r="BG349" s="7"/>
      <c r="BH349" s="7"/>
      <c r="BI349" s="7"/>
      <c r="BJ349" s="4">
        <v>17</v>
      </c>
      <c r="BK349" s="8">
        <v>2842.93</v>
      </c>
      <c r="BL349" s="2" t="s">
        <v>759</v>
      </c>
      <c r="BM349" s="7"/>
      <c r="BN349" s="7"/>
      <c r="BO349" s="4"/>
      <c r="BP349" s="8"/>
      <c r="BQ349" s="4"/>
      <c r="BR349" s="8"/>
      <c r="BS349" s="7"/>
      <c r="BT349" s="7"/>
      <c r="BU349" s="2" t="s">
        <v>1376</v>
      </c>
      <c r="BV349" s="2" t="s">
        <v>95</v>
      </c>
      <c r="BW349" s="2" t="s">
        <v>98</v>
      </c>
      <c r="BX349" s="2" t="s">
        <v>98</v>
      </c>
      <c r="BY349" s="2" t="s">
        <v>110</v>
      </c>
      <c r="BZ349" s="2" t="s">
        <v>98</v>
      </c>
    </row>
    <row r="350">
      <c r="A350" s="2" t="s">
        <v>2060</v>
      </c>
      <c r="B350" s="2" t="s">
        <v>1345</v>
      </c>
      <c r="C350" s="2" t="s">
        <v>88</v>
      </c>
      <c r="D350" s="2" t="s">
        <v>1946</v>
      </c>
      <c r="E350" s="2" t="s">
        <v>1947</v>
      </c>
      <c r="F350" s="2" t="s">
        <v>2061</v>
      </c>
      <c r="G350" s="2" t="s">
        <v>2062</v>
      </c>
      <c r="H350" s="2" t="s">
        <v>2063</v>
      </c>
      <c r="I350" s="2" t="s">
        <v>2064</v>
      </c>
      <c r="J350" s="2" t="s">
        <v>93</v>
      </c>
      <c r="K350" s="2" t="s">
        <v>1262</v>
      </c>
      <c r="L350" s="3">
        <v>250</v>
      </c>
      <c r="M350" s="3">
        <v>262.5</v>
      </c>
      <c r="N350" s="3">
        <v>529</v>
      </c>
      <c r="O350" s="2" t="s">
        <v>155</v>
      </c>
      <c r="P350" s="2" t="s">
        <v>115</v>
      </c>
      <c r="Q350" s="2" t="s">
        <v>97</v>
      </c>
      <c r="R350" s="2" t="s">
        <v>98</v>
      </c>
      <c r="S350" s="2" t="s">
        <v>98</v>
      </c>
      <c r="T350" s="2" t="s">
        <v>98</v>
      </c>
      <c r="U350" s="2" t="s">
        <v>117</v>
      </c>
      <c r="V350" s="2" t="s">
        <v>296</v>
      </c>
      <c r="W350" s="2" t="s">
        <v>103</v>
      </c>
      <c r="X350" s="2" t="s">
        <v>98</v>
      </c>
      <c r="Y350" s="2" t="s">
        <v>1881</v>
      </c>
      <c r="Z350" s="4">
        <v>68</v>
      </c>
      <c r="AA350" s="4">
        <f>=ROUNDDOWN({0},0)</f>
      </c>
      <c r="AB350" s="5"/>
      <c r="AC350" s="2" t="s">
        <v>98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98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/>
      <c r="BK350" s="8"/>
      <c r="BL350" s="2" t="s">
        <v>98</v>
      </c>
      <c r="BM350" s="7"/>
      <c r="BN350" s="7"/>
      <c r="BO350" s="4"/>
      <c r="BP350" s="8"/>
      <c r="BQ350" s="4"/>
      <c r="BR350" s="8"/>
      <c r="BS350" s="7"/>
      <c r="BT350" s="7"/>
      <c r="BU350" s="2" t="s">
        <v>1376</v>
      </c>
      <c r="BV350" s="2" t="s">
        <v>95</v>
      </c>
      <c r="BW350" s="2" t="s">
        <v>98</v>
      </c>
      <c r="BX350" s="2" t="s">
        <v>98</v>
      </c>
      <c r="BY350" s="2" t="s">
        <v>110</v>
      </c>
      <c r="BZ350" s="2" t="s">
        <v>98</v>
      </c>
    </row>
    <row r="351">
      <c r="A351" s="2" t="s">
        <v>2065</v>
      </c>
      <c r="B351" s="2" t="s">
        <v>1345</v>
      </c>
      <c r="C351" s="2" t="s">
        <v>88</v>
      </c>
      <c r="D351" s="2" t="s">
        <v>1946</v>
      </c>
      <c r="E351" s="2" t="s">
        <v>1947</v>
      </c>
      <c r="F351" s="2" t="s">
        <v>2066</v>
      </c>
      <c r="G351" s="2" t="s">
        <v>2067</v>
      </c>
      <c r="H351" s="2" t="s">
        <v>2068</v>
      </c>
      <c r="I351" s="2" t="s">
        <v>2069</v>
      </c>
      <c r="J351" s="2" t="s">
        <v>93</v>
      </c>
      <c r="K351" s="2" t="s">
        <v>1262</v>
      </c>
      <c r="L351" s="3">
        <v>247.5</v>
      </c>
      <c r="M351" s="3">
        <v>259.88</v>
      </c>
      <c r="N351" s="3">
        <v>519</v>
      </c>
      <c r="O351" s="2" t="s">
        <v>95</v>
      </c>
      <c r="P351" s="2" t="s">
        <v>142</v>
      </c>
      <c r="Q351" s="2" t="s">
        <v>97</v>
      </c>
      <c r="R351" s="2" t="s">
        <v>98</v>
      </c>
      <c r="S351" s="2" t="s">
        <v>98</v>
      </c>
      <c r="T351" s="2" t="s">
        <v>98</v>
      </c>
      <c r="U351" s="2" t="s">
        <v>117</v>
      </c>
      <c r="V351" s="2" t="s">
        <v>296</v>
      </c>
      <c r="W351" s="2" t="s">
        <v>102</v>
      </c>
      <c r="X351" s="2" t="s">
        <v>297</v>
      </c>
      <c r="Y351" s="2" t="s">
        <v>2070</v>
      </c>
      <c r="Z351" s="4">
        <v>49</v>
      </c>
      <c r="AA351" s="4">
        <f>=ROUNDDOWN(32.6666666666667,0)</f>
      </c>
      <c r="AB351" s="5">
        <v>1.5</v>
      </c>
      <c r="AC351" s="2" t="s">
        <v>98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98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/>
      <c r="BD351" s="8"/>
      <c r="BE351" s="4"/>
      <c r="BF351" s="8"/>
      <c r="BG351" s="7"/>
      <c r="BH351" s="7"/>
      <c r="BI351" s="7"/>
      <c r="BJ351" s="4"/>
      <c r="BK351" s="8"/>
      <c r="BL351" s="2" t="s">
        <v>895</v>
      </c>
      <c r="BM351" s="7"/>
      <c r="BN351" s="7"/>
      <c r="BO351" s="4"/>
      <c r="BP351" s="8"/>
      <c r="BQ351" s="4"/>
      <c r="BR351" s="8"/>
      <c r="BS351" s="7"/>
      <c r="BT351" s="7"/>
      <c r="BU351" s="2" t="s">
        <v>1376</v>
      </c>
      <c r="BV351" s="2" t="s">
        <v>95</v>
      </c>
      <c r="BW351" s="2" t="s">
        <v>98</v>
      </c>
      <c r="BX351" s="2" t="s">
        <v>98</v>
      </c>
      <c r="BY351" s="2" t="s">
        <v>110</v>
      </c>
      <c r="BZ351" s="2" t="s">
        <v>98</v>
      </c>
    </row>
    <row r="352">
      <c r="A352" s="2" t="s">
        <v>2071</v>
      </c>
      <c r="B352" s="2" t="s">
        <v>1345</v>
      </c>
      <c r="C352" s="2" t="s">
        <v>88</v>
      </c>
      <c r="D352" s="2" t="s">
        <v>1946</v>
      </c>
      <c r="E352" s="2" t="s">
        <v>1947</v>
      </c>
      <c r="F352" s="2" t="s">
        <v>2072</v>
      </c>
      <c r="G352" s="2" t="s">
        <v>2073</v>
      </c>
      <c r="H352" s="2" t="s">
        <v>1715</v>
      </c>
      <c r="I352" s="2" t="s">
        <v>1980</v>
      </c>
      <c r="J352" s="2" t="s">
        <v>93</v>
      </c>
      <c r="K352" s="2" t="s">
        <v>277</v>
      </c>
      <c r="L352" s="3">
        <v>207</v>
      </c>
      <c r="M352" s="3">
        <v>217.35</v>
      </c>
      <c r="N352" s="3">
        <v>439</v>
      </c>
      <c r="O352" s="2" t="s">
        <v>95</v>
      </c>
      <c r="P352" s="2" t="s">
        <v>134</v>
      </c>
      <c r="Q352" s="2" t="s">
        <v>97</v>
      </c>
      <c r="R352" s="2" t="s">
        <v>98</v>
      </c>
      <c r="S352" s="2" t="s">
        <v>98</v>
      </c>
      <c r="T352" s="2" t="s">
        <v>98</v>
      </c>
      <c r="U352" s="2" t="s">
        <v>117</v>
      </c>
      <c r="V352" s="2" t="s">
        <v>439</v>
      </c>
      <c r="W352" s="2" t="s">
        <v>103</v>
      </c>
      <c r="X352" s="2" t="s">
        <v>102</v>
      </c>
      <c r="Y352" s="2" t="s">
        <v>2074</v>
      </c>
      <c r="Z352" s="4">
        <v>98</v>
      </c>
      <c r="AA352" s="4">
        <f>=ROUNDDOWN(9.8,0)</f>
      </c>
      <c r="AB352" s="5">
        <v>10</v>
      </c>
      <c r="AC352" s="2" t="s">
        <v>287</v>
      </c>
      <c r="AD352" s="4">
        <v>137</v>
      </c>
      <c r="AE352" s="4">
        <v>293</v>
      </c>
      <c r="AF352" s="6">
        <v>74</v>
      </c>
      <c r="AG352" s="6">
        <v>60</v>
      </c>
      <c r="AH352" s="7">
        <v>1</v>
      </c>
      <c r="AI352" s="4"/>
      <c r="AJ352" s="4">
        <f>=ROUNDDOWN({0},0)</f>
      </c>
      <c r="AK352" s="5"/>
      <c r="AL352" s="2" t="s">
        <v>98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 t="s">
        <v>98</v>
      </c>
      <c r="BD352" s="8" t="s">
        <v>98</v>
      </c>
      <c r="BE352" s="4">
        <v>4</v>
      </c>
      <c r="BF352" s="8">
        <v>926.08</v>
      </c>
      <c r="BG352" s="7" t="s">
        <v>98</v>
      </c>
      <c r="BH352" s="7" t="s">
        <v>98</v>
      </c>
      <c r="BI352" s="7"/>
      <c r="BJ352" s="4">
        <v>10</v>
      </c>
      <c r="BK352" s="8">
        <v>2050</v>
      </c>
      <c r="BL352" s="2" t="s">
        <v>1285</v>
      </c>
      <c r="BM352" s="7"/>
      <c r="BN352" s="7"/>
      <c r="BO352" s="4"/>
      <c r="BP352" s="8"/>
      <c r="BQ352" s="4"/>
      <c r="BR352" s="8"/>
      <c r="BS352" s="7"/>
      <c r="BT352" s="7"/>
      <c r="BU352" s="2" t="s">
        <v>1376</v>
      </c>
      <c r="BV352" s="2" t="s">
        <v>95</v>
      </c>
      <c r="BW352" s="2" t="s">
        <v>98</v>
      </c>
      <c r="BX352" s="2" t="s">
        <v>98</v>
      </c>
      <c r="BY352" s="2" t="s">
        <v>110</v>
      </c>
      <c r="BZ352" s="2" t="s">
        <v>98</v>
      </c>
    </row>
    <row r="353">
      <c r="A353" s="2" t="s">
        <v>2075</v>
      </c>
      <c r="B353" s="2" t="s">
        <v>1345</v>
      </c>
      <c r="C353" s="2" t="s">
        <v>88</v>
      </c>
      <c r="D353" s="2" t="s">
        <v>1946</v>
      </c>
      <c r="E353" s="2" t="s">
        <v>1947</v>
      </c>
      <c r="F353" s="2" t="s">
        <v>2072</v>
      </c>
      <c r="G353" s="2" t="s">
        <v>2073</v>
      </c>
      <c r="H353" s="2" t="s">
        <v>1715</v>
      </c>
      <c r="I353" s="2" t="s">
        <v>1980</v>
      </c>
      <c r="J353" s="2" t="s">
        <v>93</v>
      </c>
      <c r="K353" s="2" t="s">
        <v>2076</v>
      </c>
      <c r="L353" s="3">
        <v>207</v>
      </c>
      <c r="M353" s="3">
        <v>217.35</v>
      </c>
      <c r="N353" s="3">
        <v>439</v>
      </c>
      <c r="O353" s="2" t="s">
        <v>95</v>
      </c>
      <c r="P353" s="2" t="s">
        <v>134</v>
      </c>
      <c r="Q353" s="2" t="s">
        <v>97</v>
      </c>
      <c r="R353" s="2" t="s">
        <v>98</v>
      </c>
      <c r="S353" s="2" t="s">
        <v>98</v>
      </c>
      <c r="T353" s="2" t="s">
        <v>98</v>
      </c>
      <c r="U353" s="2" t="s">
        <v>98</v>
      </c>
      <c r="V353" s="2" t="s">
        <v>439</v>
      </c>
      <c r="W353" s="2" t="s">
        <v>103</v>
      </c>
      <c r="X353" s="2" t="s">
        <v>98</v>
      </c>
      <c r="Y353" s="2" t="s">
        <v>427</v>
      </c>
      <c r="Z353" s="4">
        <v>208</v>
      </c>
      <c r="AA353" s="4">
        <f>=ROUNDDOWN(61.1764705882353,0)</f>
      </c>
      <c r="AB353" s="5">
        <v>3.4</v>
      </c>
      <c r="AC353" s="2" t="s">
        <v>2077</v>
      </c>
      <c r="AD353" s="4">
        <v>144</v>
      </c>
      <c r="AE353" s="4">
        <v>344</v>
      </c>
      <c r="AF353" s="6">
        <v>74</v>
      </c>
      <c r="AG353" s="6">
        <v>60</v>
      </c>
      <c r="AH353" s="7">
        <v>1</v>
      </c>
      <c r="AI353" s="4"/>
      <c r="AJ353" s="4">
        <f>=ROUNDDOWN({0},0)</f>
      </c>
      <c r="AK353" s="5"/>
      <c r="AL353" s="2" t="s">
        <v>98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 t="s">
        <v>98</v>
      </c>
      <c r="BD353" s="8" t="s">
        <v>98</v>
      </c>
      <c r="BE353" s="4" t="s">
        <v>98</v>
      </c>
      <c r="BF353" s="8" t="s">
        <v>98</v>
      </c>
      <c r="BG353" s="7" t="s">
        <v>98</v>
      </c>
      <c r="BH353" s="7" t="s">
        <v>98</v>
      </c>
      <c r="BI353" s="7"/>
      <c r="BJ353" s="4">
        <v>1</v>
      </c>
      <c r="BK353" s="8">
        <v>239.09</v>
      </c>
      <c r="BL353" s="2" t="s">
        <v>1701</v>
      </c>
      <c r="BM353" s="7"/>
      <c r="BN353" s="7"/>
      <c r="BO353" s="4"/>
      <c r="BP353" s="8"/>
      <c r="BQ353" s="4"/>
      <c r="BR353" s="8"/>
      <c r="BS353" s="7"/>
      <c r="BT353" s="7"/>
      <c r="BU353" s="2" t="s">
        <v>107</v>
      </c>
      <c r="BV353" s="2" t="s">
        <v>1355</v>
      </c>
      <c r="BW353" s="2" t="s">
        <v>1472</v>
      </c>
      <c r="BX353" s="2" t="s">
        <v>1967</v>
      </c>
      <c r="BY353" s="2" t="s">
        <v>110</v>
      </c>
      <c r="BZ353" s="2" t="s">
        <v>98</v>
      </c>
    </row>
    <row r="354">
      <c r="A354" s="2" t="s">
        <v>2078</v>
      </c>
      <c r="B354" s="2" t="s">
        <v>1345</v>
      </c>
      <c r="C354" s="2" t="s">
        <v>88</v>
      </c>
      <c r="D354" s="2" t="s">
        <v>1946</v>
      </c>
      <c r="E354" s="2" t="s">
        <v>1947</v>
      </c>
      <c r="F354" s="2" t="s">
        <v>2072</v>
      </c>
      <c r="G354" s="2" t="s">
        <v>2073</v>
      </c>
      <c r="H354" s="2" t="s">
        <v>1715</v>
      </c>
      <c r="I354" s="2" t="s">
        <v>1987</v>
      </c>
      <c r="J354" s="2" t="s">
        <v>93</v>
      </c>
      <c r="K354" s="2" t="s">
        <v>133</v>
      </c>
      <c r="L354" s="3">
        <v>207</v>
      </c>
      <c r="M354" s="3">
        <v>217.35</v>
      </c>
      <c r="N354" s="3">
        <v>439</v>
      </c>
      <c r="O354" s="2" t="s">
        <v>95</v>
      </c>
      <c r="P354" s="2" t="s">
        <v>96</v>
      </c>
      <c r="Q354" s="2" t="s">
        <v>97</v>
      </c>
      <c r="R354" s="2" t="s">
        <v>98</v>
      </c>
      <c r="S354" s="2" t="s">
        <v>98</v>
      </c>
      <c r="T354" s="2" t="s">
        <v>98</v>
      </c>
      <c r="U354" s="2" t="s">
        <v>117</v>
      </c>
      <c r="V354" s="2" t="s">
        <v>439</v>
      </c>
      <c r="W354" s="2" t="s">
        <v>103</v>
      </c>
      <c r="X354" s="2" t="s">
        <v>314</v>
      </c>
      <c r="Y354" s="2" t="s">
        <v>1988</v>
      </c>
      <c r="Z354" s="4">
        <v>141</v>
      </c>
      <c r="AA354" s="4">
        <f>=ROUNDDOWN(10.3676470588235,0)</f>
      </c>
      <c r="AB354" s="5">
        <v>13.6</v>
      </c>
      <c r="AC354" s="2" t="s">
        <v>1374</v>
      </c>
      <c r="AD354" s="4">
        <v>19</v>
      </c>
      <c r="AE354" s="4">
        <v>511</v>
      </c>
      <c r="AF354" s="6">
        <v>74</v>
      </c>
      <c r="AG354" s="6">
        <v>60</v>
      </c>
      <c r="AH354" s="7">
        <v>1</v>
      </c>
      <c r="AI354" s="4"/>
      <c r="AJ354" s="4">
        <f>=ROUNDDOWN({0},0)</f>
      </c>
      <c r="AK354" s="5"/>
      <c r="AL354" s="2" t="s">
        <v>98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 t="s">
        <v>98</v>
      </c>
      <c r="BD354" s="8" t="s">
        <v>98</v>
      </c>
      <c r="BE354" s="4" t="s">
        <v>98</v>
      </c>
      <c r="BF354" s="8" t="s">
        <v>98</v>
      </c>
      <c r="BG354" s="7" t="s">
        <v>98</v>
      </c>
      <c r="BH354" s="7" t="s">
        <v>98</v>
      </c>
      <c r="BI354" s="7"/>
      <c r="BJ354" s="4">
        <v>7</v>
      </c>
      <c r="BK354" s="8">
        <v>1598.57</v>
      </c>
      <c r="BL354" s="2" t="s">
        <v>2079</v>
      </c>
      <c r="BM354" s="7"/>
      <c r="BN354" s="7"/>
      <c r="BO354" s="4"/>
      <c r="BP354" s="8"/>
      <c r="BQ354" s="4"/>
      <c r="BR354" s="8"/>
      <c r="BS354" s="7"/>
      <c r="BT354" s="7"/>
      <c r="BU354" s="2" t="s">
        <v>1376</v>
      </c>
      <c r="BV354" s="2" t="s">
        <v>95</v>
      </c>
      <c r="BW354" s="2" t="s">
        <v>98</v>
      </c>
      <c r="BX354" s="2" t="s">
        <v>98</v>
      </c>
      <c r="BY354" s="2" t="s">
        <v>110</v>
      </c>
      <c r="BZ354" s="2" t="s">
        <v>98</v>
      </c>
    </row>
    <row r="355">
      <c r="A355" s="2" t="s">
        <v>2080</v>
      </c>
      <c r="B355" s="2" t="s">
        <v>1345</v>
      </c>
      <c r="C355" s="2" t="s">
        <v>88</v>
      </c>
      <c r="D355" s="2" t="s">
        <v>1946</v>
      </c>
      <c r="E355" s="2" t="s">
        <v>1947</v>
      </c>
      <c r="F355" s="2" t="s">
        <v>2072</v>
      </c>
      <c r="G355" s="2" t="s">
        <v>2073</v>
      </c>
      <c r="H355" s="2" t="s">
        <v>1715</v>
      </c>
      <c r="I355" s="2" t="s">
        <v>1980</v>
      </c>
      <c r="J355" s="2" t="s">
        <v>93</v>
      </c>
      <c r="K355" s="2" t="s">
        <v>2081</v>
      </c>
      <c r="L355" s="3">
        <v>207</v>
      </c>
      <c r="M355" s="3">
        <v>217.35</v>
      </c>
      <c r="N355" s="3">
        <v>439</v>
      </c>
      <c r="O355" s="2" t="s">
        <v>95</v>
      </c>
      <c r="P355" s="2" t="s">
        <v>163</v>
      </c>
      <c r="Q355" s="2" t="s">
        <v>97</v>
      </c>
      <c r="R355" s="2" t="s">
        <v>98</v>
      </c>
      <c r="S355" s="2" t="s">
        <v>2082</v>
      </c>
      <c r="T355" s="2" t="s">
        <v>98</v>
      </c>
      <c r="U355" s="2" t="s">
        <v>98</v>
      </c>
      <c r="V355" s="2" t="s">
        <v>439</v>
      </c>
      <c r="W355" s="2" t="s">
        <v>103</v>
      </c>
      <c r="X355" s="2" t="s">
        <v>98</v>
      </c>
      <c r="Y355" s="2" t="s">
        <v>2031</v>
      </c>
      <c r="Z355" s="4">
        <v>372</v>
      </c>
      <c r="AA355" s="4">
        <f>=ROUNDDOWN(21.8823529411765,0)</f>
      </c>
      <c r="AB355" s="5">
        <v>17</v>
      </c>
      <c r="AC355" s="2" t="s">
        <v>1374</v>
      </c>
      <c r="AD355" s="4">
        <v>19</v>
      </c>
      <c r="AE355" s="4">
        <v>483</v>
      </c>
      <c r="AF355" s="6">
        <v>74</v>
      </c>
      <c r="AG355" s="6">
        <v>60</v>
      </c>
      <c r="AH355" s="7">
        <v>1</v>
      </c>
      <c r="AI355" s="4"/>
      <c r="AJ355" s="4">
        <f>=ROUNDDOWN({0},0)</f>
      </c>
      <c r="AK355" s="5"/>
      <c r="AL355" s="2" t="s">
        <v>1729</v>
      </c>
      <c r="AM355" s="4">
        <v>132</v>
      </c>
      <c r="AN355" s="4">
        <v>372</v>
      </c>
      <c r="AO355" s="7">
        <v>0</v>
      </c>
      <c r="AP355" s="4"/>
      <c r="AQ355" s="8"/>
      <c r="AR355" s="4">
        <v>4</v>
      </c>
      <c r="AS355" s="8">
        <v>926.08</v>
      </c>
      <c r="AT355" s="7">
        <v>-1</v>
      </c>
      <c r="AU355" s="7">
        <v>-1</v>
      </c>
      <c r="AV355" s="4"/>
      <c r="AW355" s="8"/>
      <c r="AX355" s="4">
        <v>4</v>
      </c>
      <c r="AY355" s="8">
        <v>926.08</v>
      </c>
      <c r="AZ355" s="7">
        <v>-1</v>
      </c>
      <c r="BA355" s="7">
        <v>-1</v>
      </c>
      <c r="BB355" s="7"/>
      <c r="BC355" s="4" t="s">
        <v>98</v>
      </c>
      <c r="BD355" s="8" t="s">
        <v>98</v>
      </c>
      <c r="BE355" s="4" t="s">
        <v>98</v>
      </c>
      <c r="BF355" s="8" t="s">
        <v>98</v>
      </c>
      <c r="BG355" s="7" t="s">
        <v>98</v>
      </c>
      <c r="BH355" s="7" t="s">
        <v>98</v>
      </c>
      <c r="BI355" s="7"/>
      <c r="BJ355" s="4">
        <v>33</v>
      </c>
      <c r="BK355" s="8">
        <v>7084.93</v>
      </c>
      <c r="BL355" s="2" t="s">
        <v>2083</v>
      </c>
      <c r="BM355" s="7"/>
      <c r="BN355" s="7"/>
      <c r="BO355" s="4"/>
      <c r="BP355" s="8"/>
      <c r="BQ355" s="4">
        <v>4</v>
      </c>
      <c r="BR355" s="8">
        <v>926.08</v>
      </c>
      <c r="BS355" s="7">
        <v>-1</v>
      </c>
      <c r="BT355" s="7">
        <v>-1</v>
      </c>
      <c r="BU355" s="2" t="s">
        <v>107</v>
      </c>
      <c r="BV355" s="2" t="s">
        <v>1355</v>
      </c>
      <c r="BW355" s="2" t="s">
        <v>1436</v>
      </c>
      <c r="BX355" s="2" t="s">
        <v>1095</v>
      </c>
      <c r="BY355" s="2" t="s">
        <v>110</v>
      </c>
      <c r="BZ355" s="2" t="s">
        <v>98</v>
      </c>
    </row>
    <row r="356">
      <c r="A356" s="2" t="s">
        <v>2084</v>
      </c>
      <c r="B356" s="2" t="s">
        <v>1345</v>
      </c>
      <c r="C356" s="2" t="s">
        <v>88</v>
      </c>
      <c r="D356" s="2" t="s">
        <v>1946</v>
      </c>
      <c r="E356" s="2" t="s">
        <v>1947</v>
      </c>
      <c r="F356" s="2" t="s">
        <v>2072</v>
      </c>
      <c r="G356" s="2" t="s">
        <v>2073</v>
      </c>
      <c r="H356" s="2" t="s">
        <v>1715</v>
      </c>
      <c r="I356" s="2" t="s">
        <v>1980</v>
      </c>
      <c r="J356" s="2" t="s">
        <v>93</v>
      </c>
      <c r="K356" s="2" t="s">
        <v>2085</v>
      </c>
      <c r="L356" s="3">
        <v>207</v>
      </c>
      <c r="M356" s="3">
        <v>217.35</v>
      </c>
      <c r="N356" s="3">
        <v>439</v>
      </c>
      <c r="O356" s="2" t="s">
        <v>95</v>
      </c>
      <c r="P356" s="2" t="s">
        <v>96</v>
      </c>
      <c r="Q356" s="2" t="s">
        <v>97</v>
      </c>
      <c r="R356" s="2" t="s">
        <v>98</v>
      </c>
      <c r="S356" s="2" t="s">
        <v>98</v>
      </c>
      <c r="T356" s="2" t="s">
        <v>98</v>
      </c>
      <c r="U356" s="2" t="s">
        <v>117</v>
      </c>
      <c r="V356" s="2" t="s">
        <v>439</v>
      </c>
      <c r="W356" s="2" t="s">
        <v>103</v>
      </c>
      <c r="X356" s="2" t="s">
        <v>98</v>
      </c>
      <c r="Y356" s="2" t="s">
        <v>1476</v>
      </c>
      <c r="Z356" s="4">
        <v>4</v>
      </c>
      <c r="AA356" s="4">
        <f>=ROUNDDOWN(0.217391304347826,0)</f>
      </c>
      <c r="AB356" s="5">
        <v>18.4</v>
      </c>
      <c r="AC356" s="2" t="s">
        <v>1757</v>
      </c>
      <c r="AD356" s="4">
        <v>116</v>
      </c>
      <c r="AE356" s="4">
        <v>362</v>
      </c>
      <c r="AF356" s="6">
        <v>74</v>
      </c>
      <c r="AG356" s="6">
        <v>60</v>
      </c>
      <c r="AH356" s="7">
        <v>0.4286</v>
      </c>
      <c r="AI356" s="4"/>
      <c r="AJ356" s="4">
        <f>=ROUNDDOWN({0},0)</f>
      </c>
      <c r="AK356" s="5"/>
      <c r="AL356" s="2" t="s">
        <v>1729</v>
      </c>
      <c r="AM356" s="4">
        <v>50</v>
      </c>
      <c r="AN356" s="4">
        <v>242</v>
      </c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 t="s">
        <v>98</v>
      </c>
      <c r="BD356" s="8" t="s">
        <v>98</v>
      </c>
      <c r="BE356" s="4" t="s">
        <v>98</v>
      </c>
      <c r="BF356" s="8" t="s">
        <v>98</v>
      </c>
      <c r="BG356" s="7" t="s">
        <v>98</v>
      </c>
      <c r="BH356" s="7" t="s">
        <v>98</v>
      </c>
      <c r="BI356" s="7"/>
      <c r="BJ356" s="4">
        <v>36</v>
      </c>
      <c r="BK356" s="8">
        <v>6393.05</v>
      </c>
      <c r="BL356" s="2" t="s">
        <v>2086</v>
      </c>
      <c r="BM356" s="7"/>
      <c r="BN356" s="7"/>
      <c r="BO356" s="4"/>
      <c r="BP356" s="8"/>
      <c r="BQ356" s="4"/>
      <c r="BR356" s="8"/>
      <c r="BS356" s="7"/>
      <c r="BT356" s="7"/>
      <c r="BU356" s="2" t="s">
        <v>107</v>
      </c>
      <c r="BV356" s="2" t="s">
        <v>1355</v>
      </c>
      <c r="BW356" s="2" t="s">
        <v>707</v>
      </c>
      <c r="BX356" s="2" t="s">
        <v>2087</v>
      </c>
      <c r="BY356" s="2" t="s">
        <v>110</v>
      </c>
      <c r="BZ356" s="2" t="s">
        <v>98</v>
      </c>
    </row>
    <row r="357">
      <c r="A357" s="2" t="s">
        <v>2088</v>
      </c>
      <c r="B357" s="2" t="s">
        <v>1345</v>
      </c>
      <c r="C357" s="2" t="s">
        <v>88</v>
      </c>
      <c r="D357" s="2" t="s">
        <v>1946</v>
      </c>
      <c r="E357" s="2" t="s">
        <v>2089</v>
      </c>
      <c r="F357" s="2" t="s">
        <v>2090</v>
      </c>
      <c r="G357" s="2" t="s">
        <v>2091</v>
      </c>
      <c r="H357" s="2" t="s">
        <v>2092</v>
      </c>
      <c r="I357" s="2" t="s">
        <v>2093</v>
      </c>
      <c r="J357" s="2" t="s">
        <v>93</v>
      </c>
      <c r="K357" s="2" t="s">
        <v>2094</v>
      </c>
      <c r="L357" s="3">
        <v>261.25</v>
      </c>
      <c r="M357" s="3">
        <v>274.31</v>
      </c>
      <c r="N357" s="3">
        <v>549</v>
      </c>
      <c r="O357" s="2" t="s">
        <v>95</v>
      </c>
      <c r="P357" s="2" t="s">
        <v>134</v>
      </c>
      <c r="Q357" s="2" t="s">
        <v>97</v>
      </c>
      <c r="R357" s="2" t="s">
        <v>98</v>
      </c>
      <c r="S357" s="2" t="s">
        <v>2095</v>
      </c>
      <c r="T357" s="2" t="s">
        <v>98</v>
      </c>
      <c r="U357" s="2" t="s">
        <v>98</v>
      </c>
      <c r="V357" s="2" t="s">
        <v>296</v>
      </c>
      <c r="W357" s="2" t="s">
        <v>204</v>
      </c>
      <c r="X357" s="2" t="s">
        <v>103</v>
      </c>
      <c r="Y357" s="2" t="s">
        <v>2096</v>
      </c>
      <c r="Z357" s="4">
        <v>141</v>
      </c>
      <c r="AA357" s="4">
        <f>=ROUNDDOWN(28.2,0)</f>
      </c>
      <c r="AB357" s="5">
        <v>5</v>
      </c>
      <c r="AC357" s="2" t="s">
        <v>98</v>
      </c>
      <c r="AD357" s="4"/>
      <c r="AE357" s="4"/>
      <c r="AF357" s="6">
        <v>65</v>
      </c>
      <c r="AG357" s="6">
        <v>48</v>
      </c>
      <c r="AH357" s="7">
        <v>1</v>
      </c>
      <c r="AI357" s="4"/>
      <c r="AJ357" s="4">
        <f>=ROUNDDOWN({0},0)</f>
      </c>
      <c r="AK357" s="5"/>
      <c r="AL357" s="2" t="s">
        <v>98</v>
      </c>
      <c r="AM357" s="4"/>
      <c r="AN357" s="4"/>
      <c r="AO357" s="7">
        <v>0</v>
      </c>
      <c r="AP357" s="4">
        <v>2</v>
      </c>
      <c r="AQ357" s="8">
        <v>478.48</v>
      </c>
      <c r="AR357" s="4"/>
      <c r="AS357" s="8"/>
      <c r="AT357" s="7"/>
      <c r="AU357" s="7"/>
      <c r="AV357" s="4">
        <v>2</v>
      </c>
      <c r="AW357" s="8">
        <v>478.48</v>
      </c>
      <c r="AX357" s="4"/>
      <c r="AY357" s="8"/>
      <c r="AZ357" s="7"/>
      <c r="BA357" s="7"/>
      <c r="BB357" s="7">
        <v>1</v>
      </c>
      <c r="BC357" s="4">
        <v>2</v>
      </c>
      <c r="BD357" s="8">
        <v>478.48</v>
      </c>
      <c r="BE357" s="4"/>
      <c r="BF357" s="8"/>
      <c r="BG357" s="7"/>
      <c r="BH357" s="7"/>
      <c r="BI357" s="7">
        <v>1</v>
      </c>
      <c r="BJ357" s="4">
        <v>2</v>
      </c>
      <c r="BK357" s="8">
        <v>478.48</v>
      </c>
      <c r="BL357" s="2" t="s">
        <v>1559</v>
      </c>
      <c r="BM357" s="7">
        <v>1</v>
      </c>
      <c r="BN357" s="7">
        <v>1</v>
      </c>
      <c r="BO357" s="4">
        <v>2</v>
      </c>
      <c r="BP357" s="8">
        <v>478.48</v>
      </c>
      <c r="BQ357" s="4"/>
      <c r="BR357" s="8"/>
      <c r="BS357" s="7"/>
      <c r="BT357" s="7"/>
      <c r="BU357" s="2" t="s">
        <v>107</v>
      </c>
      <c r="BV357" s="2" t="s">
        <v>1355</v>
      </c>
      <c r="BW357" s="2" t="s">
        <v>2097</v>
      </c>
      <c r="BX357" s="2" t="s">
        <v>98</v>
      </c>
      <c r="BY357" s="2" t="s">
        <v>110</v>
      </c>
      <c r="BZ357" s="2" t="s">
        <v>98</v>
      </c>
    </row>
    <row r="358">
      <c r="A358" s="2" t="s">
        <v>2098</v>
      </c>
      <c r="B358" s="2" t="s">
        <v>1345</v>
      </c>
      <c r="C358" s="2" t="s">
        <v>88</v>
      </c>
      <c r="D358" s="2" t="s">
        <v>1946</v>
      </c>
      <c r="E358" s="2" t="s">
        <v>2089</v>
      </c>
      <c r="F358" s="2" t="s">
        <v>2099</v>
      </c>
      <c r="G358" s="2" t="s">
        <v>2100</v>
      </c>
      <c r="H358" s="2" t="s">
        <v>2101</v>
      </c>
      <c r="I358" s="2" t="s">
        <v>2102</v>
      </c>
      <c r="J358" s="2" t="s">
        <v>93</v>
      </c>
      <c r="K358" s="2" t="s">
        <v>595</v>
      </c>
      <c r="L358" s="3">
        <v>262.35</v>
      </c>
      <c r="M358" s="3">
        <v>275.47</v>
      </c>
      <c r="N358" s="3">
        <v>549</v>
      </c>
      <c r="O358" s="2" t="s">
        <v>95</v>
      </c>
      <c r="P358" s="2" t="s">
        <v>134</v>
      </c>
      <c r="Q358" s="2" t="s">
        <v>97</v>
      </c>
      <c r="R358" s="2" t="s">
        <v>98</v>
      </c>
      <c r="S358" s="2" t="s">
        <v>98</v>
      </c>
      <c r="T358" s="2" t="s">
        <v>98</v>
      </c>
      <c r="U358" s="2" t="s">
        <v>98</v>
      </c>
      <c r="V358" s="2" t="s">
        <v>1360</v>
      </c>
      <c r="W358" s="2" t="s">
        <v>103</v>
      </c>
      <c r="X358" s="2" t="s">
        <v>98</v>
      </c>
      <c r="Y358" s="2" t="s">
        <v>2103</v>
      </c>
      <c r="Z358" s="4">
        <v>110</v>
      </c>
      <c r="AA358" s="4">
        <f>=ROUNDDOWN(12.2222222222222,0)</f>
      </c>
      <c r="AB358" s="5">
        <v>9</v>
      </c>
      <c r="AC358" s="2" t="s">
        <v>323</v>
      </c>
      <c r="AD358" s="4">
        <v>97</v>
      </c>
      <c r="AE358" s="4">
        <v>190</v>
      </c>
      <c r="AF358" s="6">
        <v>65</v>
      </c>
      <c r="AG358" s="6">
        <v>48</v>
      </c>
      <c r="AH358" s="7">
        <v>1</v>
      </c>
      <c r="AI358" s="4"/>
      <c r="AJ358" s="4">
        <f>=ROUNDDOWN({0},0)</f>
      </c>
      <c r="AK358" s="5"/>
      <c r="AL358" s="2" t="s">
        <v>98</v>
      </c>
      <c r="AM358" s="4"/>
      <c r="AN358" s="4"/>
      <c r="AO358" s="7">
        <v>0</v>
      </c>
      <c r="AP358" s="4">
        <v>2</v>
      </c>
      <c r="AQ358" s="8">
        <v>463.76</v>
      </c>
      <c r="AR358" s="4"/>
      <c r="AS358" s="8"/>
      <c r="AT358" s="7"/>
      <c r="AU358" s="7"/>
      <c r="AV358" s="4">
        <v>2</v>
      </c>
      <c r="AW358" s="8">
        <v>463.76</v>
      </c>
      <c r="AX358" s="4"/>
      <c r="AY358" s="8"/>
      <c r="AZ358" s="7"/>
      <c r="BA358" s="7"/>
      <c r="BB358" s="7">
        <v>1</v>
      </c>
      <c r="BC358" s="4">
        <v>2</v>
      </c>
      <c r="BD358" s="8">
        <v>463.76</v>
      </c>
      <c r="BE358" s="4"/>
      <c r="BF358" s="8"/>
      <c r="BG358" s="7"/>
      <c r="BH358" s="7"/>
      <c r="BI358" s="7">
        <v>1</v>
      </c>
      <c r="BJ358" s="4">
        <v>4</v>
      </c>
      <c r="BK358" s="8">
        <v>838.62</v>
      </c>
      <c r="BL358" s="2" t="s">
        <v>2104</v>
      </c>
      <c r="BM358" s="7">
        <v>0.5</v>
      </c>
      <c r="BN358" s="7">
        <v>0.553</v>
      </c>
      <c r="BO358" s="4">
        <v>2</v>
      </c>
      <c r="BP358" s="8">
        <v>463.76</v>
      </c>
      <c r="BQ358" s="4"/>
      <c r="BR358" s="8"/>
      <c r="BS358" s="7"/>
      <c r="BT358" s="7"/>
      <c r="BU358" s="2" t="s">
        <v>107</v>
      </c>
      <c r="BV358" s="2" t="s">
        <v>1355</v>
      </c>
      <c r="BW358" s="2" t="s">
        <v>2105</v>
      </c>
      <c r="BX358" s="2" t="s">
        <v>2106</v>
      </c>
      <c r="BY358" s="2" t="s">
        <v>110</v>
      </c>
      <c r="BZ358" s="2" t="s">
        <v>98</v>
      </c>
    </row>
    <row r="359">
      <c r="A359" s="2" t="s">
        <v>2107</v>
      </c>
      <c r="B359" s="2" t="s">
        <v>1345</v>
      </c>
      <c r="C359" s="2" t="s">
        <v>88</v>
      </c>
      <c r="D359" s="2" t="s">
        <v>1946</v>
      </c>
      <c r="E359" s="2" t="s">
        <v>2089</v>
      </c>
      <c r="F359" s="2" t="s">
        <v>2108</v>
      </c>
      <c r="G359" s="2" t="s">
        <v>2109</v>
      </c>
      <c r="H359" s="2" t="s">
        <v>2110</v>
      </c>
      <c r="I359" s="2" t="s">
        <v>2093</v>
      </c>
      <c r="J359" s="2" t="s">
        <v>93</v>
      </c>
      <c r="K359" s="2" t="s">
        <v>1262</v>
      </c>
      <c r="L359" s="3">
        <v>270.75</v>
      </c>
      <c r="M359" s="3">
        <v>284.29</v>
      </c>
      <c r="N359" s="3">
        <v>569</v>
      </c>
      <c r="O359" s="2" t="s">
        <v>95</v>
      </c>
      <c r="P359" s="2" t="s">
        <v>142</v>
      </c>
      <c r="Q359" s="2" t="s">
        <v>97</v>
      </c>
      <c r="R359" s="2" t="s">
        <v>98</v>
      </c>
      <c r="S359" s="2" t="s">
        <v>98</v>
      </c>
      <c r="T359" s="2" t="s">
        <v>98</v>
      </c>
      <c r="U359" s="2" t="s">
        <v>117</v>
      </c>
      <c r="V359" s="2" t="s">
        <v>439</v>
      </c>
      <c r="W359" s="2" t="s">
        <v>314</v>
      </c>
      <c r="X359" s="2" t="s">
        <v>98</v>
      </c>
      <c r="Y359" s="2" t="s">
        <v>1779</v>
      </c>
      <c r="Z359" s="4">
        <v>74</v>
      </c>
      <c r="AA359" s="4">
        <f>=ROUNDDOWN(24.6666666666667,0)</f>
      </c>
      <c r="AB359" s="5">
        <v>3</v>
      </c>
      <c r="AC359" s="2" t="s">
        <v>177</v>
      </c>
      <c r="AD359" s="4">
        <v>30</v>
      </c>
      <c r="AE359" s="4">
        <v>50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98</v>
      </c>
      <c r="AM359" s="4"/>
      <c r="AN359" s="4"/>
      <c r="AO359" s="7">
        <v>0</v>
      </c>
      <c r="AP359" s="4">
        <v>1</v>
      </c>
      <c r="AQ359" s="8">
        <v>179.11</v>
      </c>
      <c r="AR359" s="4"/>
      <c r="AS359" s="8"/>
      <c r="AT359" s="7"/>
      <c r="AU359" s="7"/>
      <c r="AV359" s="4">
        <v>1</v>
      </c>
      <c r="AW359" s="8">
        <v>179.11</v>
      </c>
      <c r="AX359" s="4"/>
      <c r="AY359" s="8"/>
      <c r="AZ359" s="7"/>
      <c r="BA359" s="7"/>
      <c r="BB359" s="7">
        <v>1</v>
      </c>
      <c r="BC359" s="4">
        <v>1</v>
      </c>
      <c r="BD359" s="8">
        <v>179.11</v>
      </c>
      <c r="BE359" s="4" t="s">
        <v>98</v>
      </c>
      <c r="BF359" s="8" t="s">
        <v>98</v>
      </c>
      <c r="BG359" s="7" t="s">
        <v>98</v>
      </c>
      <c r="BH359" s="7" t="s">
        <v>98</v>
      </c>
      <c r="BI359" s="7">
        <v>1</v>
      </c>
      <c r="BJ359" s="4">
        <v>1</v>
      </c>
      <c r="BK359" s="8">
        <v>179.11</v>
      </c>
      <c r="BL359" s="2" t="s">
        <v>1445</v>
      </c>
      <c r="BM359" s="7">
        <v>1</v>
      </c>
      <c r="BN359" s="7">
        <v>1</v>
      </c>
      <c r="BO359" s="4">
        <v>1</v>
      </c>
      <c r="BP359" s="8">
        <v>179.11</v>
      </c>
      <c r="BQ359" s="4"/>
      <c r="BR359" s="8"/>
      <c r="BS359" s="7"/>
      <c r="BT359" s="7"/>
      <c r="BU359" s="2" t="s">
        <v>1376</v>
      </c>
      <c r="BV359" s="2" t="s">
        <v>95</v>
      </c>
      <c r="BW359" s="2" t="s">
        <v>98</v>
      </c>
      <c r="BX359" s="2" t="s">
        <v>98</v>
      </c>
      <c r="BY359" s="2" t="s">
        <v>110</v>
      </c>
      <c r="BZ359" s="2" t="s">
        <v>98</v>
      </c>
    </row>
    <row r="360">
      <c r="A360" s="2" t="s">
        <v>2111</v>
      </c>
      <c r="B360" s="2" t="s">
        <v>1345</v>
      </c>
      <c r="C360" s="2" t="s">
        <v>88</v>
      </c>
      <c r="D360" s="2" t="s">
        <v>1946</v>
      </c>
      <c r="E360" s="2" t="s">
        <v>2089</v>
      </c>
      <c r="F360" s="2" t="s">
        <v>2108</v>
      </c>
      <c r="G360" s="2" t="s">
        <v>2109</v>
      </c>
      <c r="H360" s="2" t="s">
        <v>2110</v>
      </c>
      <c r="I360" s="2" t="s">
        <v>2093</v>
      </c>
      <c r="J360" s="2" t="s">
        <v>93</v>
      </c>
      <c r="K360" s="2" t="s">
        <v>277</v>
      </c>
      <c r="L360" s="3">
        <v>270.75</v>
      </c>
      <c r="M360" s="3">
        <v>284.29</v>
      </c>
      <c r="N360" s="3">
        <v>569</v>
      </c>
      <c r="O360" s="2" t="s">
        <v>95</v>
      </c>
      <c r="P360" s="2" t="s">
        <v>142</v>
      </c>
      <c r="Q360" s="2" t="s">
        <v>97</v>
      </c>
      <c r="R360" s="2" t="s">
        <v>98</v>
      </c>
      <c r="S360" s="2" t="s">
        <v>98</v>
      </c>
      <c r="T360" s="2" t="s">
        <v>98</v>
      </c>
      <c r="U360" s="2" t="s">
        <v>117</v>
      </c>
      <c r="V360" s="2" t="s">
        <v>439</v>
      </c>
      <c r="W360" s="2" t="s">
        <v>314</v>
      </c>
      <c r="X360" s="2" t="s">
        <v>98</v>
      </c>
      <c r="Y360" s="2" t="s">
        <v>1582</v>
      </c>
      <c r="Z360" s="4">
        <v>140</v>
      </c>
      <c r="AA360" s="4">
        <f>=ROUNDDOWN(46.6666666666667,0)</f>
      </c>
      <c r="AB360" s="5">
        <v>3</v>
      </c>
      <c r="AC360" s="2" t="s">
        <v>98</v>
      </c>
      <c r="AD360" s="4"/>
      <c r="AE360" s="4"/>
      <c r="AF360" s="6">
        <v>65</v>
      </c>
      <c r="AG360" s="6">
        <v>48</v>
      </c>
      <c r="AH360" s="7">
        <v>1</v>
      </c>
      <c r="AI360" s="4"/>
      <c r="AJ360" s="4">
        <f>=ROUNDDOWN({0},0)</f>
      </c>
      <c r="AK360" s="5"/>
      <c r="AL360" s="2" t="s">
        <v>98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 t="s">
        <v>98</v>
      </c>
      <c r="BD360" s="8" t="s">
        <v>98</v>
      </c>
      <c r="BE360" s="4" t="s">
        <v>98</v>
      </c>
      <c r="BF360" s="8" t="s">
        <v>98</v>
      </c>
      <c r="BG360" s="7" t="s">
        <v>98</v>
      </c>
      <c r="BH360" s="7" t="s">
        <v>98</v>
      </c>
      <c r="BI360" s="7"/>
      <c r="BJ360" s="4">
        <v>1</v>
      </c>
      <c r="BK360" s="8">
        <v>315.02</v>
      </c>
      <c r="BL360" s="2" t="s">
        <v>269</v>
      </c>
      <c r="BM360" s="7"/>
      <c r="BN360" s="7"/>
      <c r="BO360" s="4"/>
      <c r="BP360" s="8"/>
      <c r="BQ360" s="4"/>
      <c r="BR360" s="8"/>
      <c r="BS360" s="7"/>
      <c r="BT360" s="7"/>
      <c r="BU360" s="2" t="s">
        <v>107</v>
      </c>
      <c r="BV360" s="2" t="s">
        <v>1355</v>
      </c>
      <c r="BW360" s="2" t="s">
        <v>1584</v>
      </c>
      <c r="BX360" s="2" t="s">
        <v>98</v>
      </c>
      <c r="BY360" s="2" t="s">
        <v>110</v>
      </c>
      <c r="BZ360" s="2" t="s">
        <v>98</v>
      </c>
    </row>
    <row r="361">
      <c r="A361" s="2" t="s">
        <v>2112</v>
      </c>
      <c r="B361" s="2" t="s">
        <v>1345</v>
      </c>
      <c r="C361" s="2" t="s">
        <v>88</v>
      </c>
      <c r="D361" s="2" t="s">
        <v>1946</v>
      </c>
      <c r="E361" s="2" t="s">
        <v>2089</v>
      </c>
      <c r="F361" s="2" t="s">
        <v>2108</v>
      </c>
      <c r="G361" s="2" t="s">
        <v>2109</v>
      </c>
      <c r="H361" s="2" t="s">
        <v>2110</v>
      </c>
      <c r="I361" s="2" t="s">
        <v>2093</v>
      </c>
      <c r="J361" s="2" t="s">
        <v>93</v>
      </c>
      <c r="K361" s="2" t="s">
        <v>127</v>
      </c>
      <c r="L361" s="3">
        <v>270.75</v>
      </c>
      <c r="M361" s="3">
        <v>284.29</v>
      </c>
      <c r="N361" s="3">
        <v>569</v>
      </c>
      <c r="O361" s="2" t="s">
        <v>95</v>
      </c>
      <c r="P361" s="2" t="s">
        <v>134</v>
      </c>
      <c r="Q361" s="2" t="s">
        <v>97</v>
      </c>
      <c r="R361" s="2" t="s">
        <v>98</v>
      </c>
      <c r="S361" s="2" t="s">
        <v>98</v>
      </c>
      <c r="T361" s="2" t="s">
        <v>98</v>
      </c>
      <c r="U361" s="2" t="s">
        <v>117</v>
      </c>
      <c r="V361" s="2" t="s">
        <v>439</v>
      </c>
      <c r="W361" s="2" t="s">
        <v>314</v>
      </c>
      <c r="X361" s="2" t="s">
        <v>98</v>
      </c>
      <c r="Y361" s="2" t="s">
        <v>1779</v>
      </c>
      <c r="Z361" s="4">
        <v>1</v>
      </c>
      <c r="AA361" s="4">
        <f>=ROUNDDOWN(0.25,0)</f>
      </c>
      <c r="AB361" s="5">
        <v>4</v>
      </c>
      <c r="AC361" s="2" t="s">
        <v>1757</v>
      </c>
      <c r="AD361" s="4">
        <v>12</v>
      </c>
      <c r="AE361" s="4">
        <v>166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98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 t="s">
        <v>98</v>
      </c>
      <c r="BD361" s="8" t="s">
        <v>98</v>
      </c>
      <c r="BE361" s="4" t="s">
        <v>98</v>
      </c>
      <c r="BF361" s="8" t="s">
        <v>98</v>
      </c>
      <c r="BG361" s="7" t="s">
        <v>98</v>
      </c>
      <c r="BH361" s="7" t="s">
        <v>98</v>
      </c>
      <c r="BI361" s="7"/>
      <c r="BJ361" s="4"/>
      <c r="BK361" s="8"/>
      <c r="BL361" s="2" t="s">
        <v>269</v>
      </c>
      <c r="BM361" s="7"/>
      <c r="BN361" s="7"/>
      <c r="BO361" s="4"/>
      <c r="BP361" s="8"/>
      <c r="BQ361" s="4"/>
      <c r="BR361" s="8"/>
      <c r="BS361" s="7"/>
      <c r="BT361" s="7"/>
      <c r="BU361" s="2" t="s">
        <v>1376</v>
      </c>
      <c r="BV361" s="2" t="s">
        <v>95</v>
      </c>
      <c r="BW361" s="2" t="s">
        <v>98</v>
      </c>
      <c r="BX361" s="2" t="s">
        <v>98</v>
      </c>
      <c r="BY361" s="2" t="s">
        <v>110</v>
      </c>
      <c r="BZ361" s="2" t="s">
        <v>98</v>
      </c>
    </row>
    <row r="362">
      <c r="A362" s="2" t="s">
        <v>2113</v>
      </c>
      <c r="B362" s="2" t="s">
        <v>1345</v>
      </c>
      <c r="C362" s="2" t="s">
        <v>88</v>
      </c>
      <c r="D362" s="2" t="s">
        <v>1946</v>
      </c>
      <c r="E362" s="2" t="s">
        <v>2089</v>
      </c>
      <c r="F362" s="2" t="s">
        <v>1348</v>
      </c>
      <c r="G362" s="2" t="s">
        <v>1349</v>
      </c>
      <c r="H362" s="2" t="s">
        <v>1350</v>
      </c>
      <c r="I362" s="2" t="s">
        <v>2093</v>
      </c>
      <c r="J362" s="2" t="s">
        <v>93</v>
      </c>
      <c r="K362" s="2" t="s">
        <v>2114</v>
      </c>
      <c r="L362" s="3">
        <v>252.45</v>
      </c>
      <c r="M362" s="3">
        <v>265.07</v>
      </c>
      <c r="N362" s="3">
        <v>529</v>
      </c>
      <c r="O362" s="2" t="s">
        <v>95</v>
      </c>
      <c r="P362" s="2" t="s">
        <v>142</v>
      </c>
      <c r="Q362" s="2" t="s">
        <v>97</v>
      </c>
      <c r="R362" s="2" t="s">
        <v>98</v>
      </c>
      <c r="S362" s="2" t="s">
        <v>2115</v>
      </c>
      <c r="T362" s="2" t="s">
        <v>98</v>
      </c>
      <c r="U362" s="2" t="s">
        <v>117</v>
      </c>
      <c r="V362" s="2" t="s">
        <v>439</v>
      </c>
      <c r="W362" s="2" t="s">
        <v>103</v>
      </c>
      <c r="X362" s="2" t="s">
        <v>98</v>
      </c>
      <c r="Y362" s="2" t="s">
        <v>2116</v>
      </c>
      <c r="Z362" s="4">
        <v>120</v>
      </c>
      <c r="AA362" s="4">
        <f>=ROUNDDOWN(40,0)</f>
      </c>
      <c r="AB362" s="5">
        <v>3</v>
      </c>
      <c r="AC362" s="2" t="s">
        <v>98</v>
      </c>
      <c r="AD362" s="4"/>
      <c r="AE362" s="4"/>
      <c r="AF362" s="6">
        <v>65</v>
      </c>
      <c r="AG362" s="6">
        <v>48</v>
      </c>
      <c r="AH362" s="7">
        <v>1</v>
      </c>
      <c r="AI362" s="4"/>
      <c r="AJ362" s="4">
        <f>=ROUNDDOWN({0},0)</f>
      </c>
      <c r="AK362" s="5"/>
      <c r="AL362" s="2" t="s">
        <v>98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/>
      <c r="BD362" s="8"/>
      <c r="BE362" s="4"/>
      <c r="BF362" s="8"/>
      <c r="BG362" s="7"/>
      <c r="BH362" s="7"/>
      <c r="BI362" s="7"/>
      <c r="BJ362" s="4"/>
      <c r="BK362" s="8"/>
      <c r="BL362" s="2" t="s">
        <v>1200</v>
      </c>
      <c r="BM362" s="7"/>
      <c r="BN362" s="7"/>
      <c r="BO362" s="4"/>
      <c r="BP362" s="8"/>
      <c r="BQ362" s="4"/>
      <c r="BR362" s="8"/>
      <c r="BS362" s="7"/>
      <c r="BT362" s="7"/>
      <c r="BU362" s="2" t="s">
        <v>107</v>
      </c>
      <c r="BV362" s="2" t="s">
        <v>1355</v>
      </c>
      <c r="BW362" s="2" t="s">
        <v>1512</v>
      </c>
      <c r="BX362" s="2" t="s">
        <v>98</v>
      </c>
      <c r="BY362" s="2" t="s">
        <v>110</v>
      </c>
      <c r="BZ362" s="2" t="s">
        <v>98</v>
      </c>
    </row>
    <row r="363">
      <c r="A363" s="2" t="s">
        <v>2117</v>
      </c>
      <c r="B363" s="2" t="s">
        <v>1345</v>
      </c>
      <c r="C363" s="2" t="s">
        <v>88</v>
      </c>
      <c r="D363" s="2" t="s">
        <v>1946</v>
      </c>
      <c r="E363" s="2" t="s">
        <v>2089</v>
      </c>
      <c r="F363" s="2" t="s">
        <v>2118</v>
      </c>
      <c r="G363" s="2" t="s">
        <v>2119</v>
      </c>
      <c r="H363" s="2" t="s">
        <v>2120</v>
      </c>
      <c r="I363" s="2" t="s">
        <v>2093</v>
      </c>
      <c r="J363" s="2" t="s">
        <v>93</v>
      </c>
      <c r="K363" s="2" t="s">
        <v>1439</v>
      </c>
      <c r="L363" s="3">
        <v>237.5</v>
      </c>
      <c r="M363" s="3">
        <v>249.38</v>
      </c>
      <c r="N363" s="3">
        <v>499</v>
      </c>
      <c r="O363" s="2" t="s">
        <v>95</v>
      </c>
      <c r="P363" s="2" t="s">
        <v>134</v>
      </c>
      <c r="Q363" s="2" t="s">
        <v>97</v>
      </c>
      <c r="R363" s="2" t="s">
        <v>98</v>
      </c>
      <c r="S363" s="2" t="s">
        <v>2121</v>
      </c>
      <c r="T363" s="2" t="s">
        <v>98</v>
      </c>
      <c r="U363" s="2" t="s">
        <v>117</v>
      </c>
      <c r="V363" s="2" t="s">
        <v>439</v>
      </c>
      <c r="W363" s="2" t="s">
        <v>103</v>
      </c>
      <c r="X363" s="2" t="s">
        <v>98</v>
      </c>
      <c r="Y363" s="2" t="s">
        <v>2122</v>
      </c>
      <c r="Z363" s="4">
        <v>20</v>
      </c>
      <c r="AA363" s="4">
        <f>=ROUNDDOWN(1.66666666666667,0)</f>
      </c>
      <c r="AB363" s="5">
        <v>12</v>
      </c>
      <c r="AC363" s="2" t="s">
        <v>1757</v>
      </c>
      <c r="AD363" s="4">
        <v>35</v>
      </c>
      <c r="AE363" s="4">
        <v>386</v>
      </c>
      <c r="AF363" s="6">
        <v>67</v>
      </c>
      <c r="AG363" s="6">
        <v>50</v>
      </c>
      <c r="AH363" s="7">
        <v>1</v>
      </c>
      <c r="AI363" s="4"/>
      <c r="AJ363" s="4">
        <f>=ROUNDDOWN({0},0)</f>
      </c>
      <c r="AK363" s="5"/>
      <c r="AL363" s="2" t="s">
        <v>98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98</v>
      </c>
      <c r="BD363" s="8" t="s">
        <v>98</v>
      </c>
      <c r="BE363" s="4" t="s">
        <v>98</v>
      </c>
      <c r="BF363" s="8" t="s">
        <v>98</v>
      </c>
      <c r="BG363" s="7" t="s">
        <v>98</v>
      </c>
      <c r="BH363" s="7" t="s">
        <v>98</v>
      </c>
      <c r="BI363" s="7"/>
      <c r="BJ363" s="4"/>
      <c r="BK363" s="8"/>
      <c r="BL363" s="2" t="s">
        <v>895</v>
      </c>
      <c r="BM363" s="7"/>
      <c r="BN363" s="7"/>
      <c r="BO363" s="4"/>
      <c r="BP363" s="8"/>
      <c r="BQ363" s="4"/>
      <c r="BR363" s="8"/>
      <c r="BS363" s="7"/>
      <c r="BT363" s="7"/>
      <c r="BU363" s="2" t="s">
        <v>107</v>
      </c>
      <c r="BV363" s="2" t="s">
        <v>1355</v>
      </c>
      <c r="BW363" s="2" t="s">
        <v>1454</v>
      </c>
      <c r="BX363" s="2" t="s">
        <v>970</v>
      </c>
      <c r="BY363" s="2" t="s">
        <v>110</v>
      </c>
      <c r="BZ363" s="2" t="s">
        <v>98</v>
      </c>
    </row>
    <row r="364">
      <c r="A364" s="2" t="s">
        <v>2123</v>
      </c>
      <c r="B364" s="2" t="s">
        <v>1345</v>
      </c>
      <c r="C364" s="2" t="s">
        <v>88</v>
      </c>
      <c r="D364" s="2" t="s">
        <v>1946</v>
      </c>
      <c r="E364" s="2" t="s">
        <v>2089</v>
      </c>
      <c r="F364" s="2" t="s">
        <v>2118</v>
      </c>
      <c r="G364" s="2" t="s">
        <v>2119</v>
      </c>
      <c r="H364" s="2" t="s">
        <v>2120</v>
      </c>
      <c r="I364" s="2" t="s">
        <v>2093</v>
      </c>
      <c r="J364" s="2" t="s">
        <v>93</v>
      </c>
      <c r="K364" s="2" t="s">
        <v>2124</v>
      </c>
      <c r="L364" s="3">
        <v>237.5</v>
      </c>
      <c r="M364" s="3">
        <v>249.38</v>
      </c>
      <c r="N364" s="3">
        <v>499</v>
      </c>
      <c r="O364" s="2" t="s">
        <v>95</v>
      </c>
      <c r="P364" s="2" t="s">
        <v>134</v>
      </c>
      <c r="Q364" s="2" t="s">
        <v>97</v>
      </c>
      <c r="R364" s="2" t="s">
        <v>98</v>
      </c>
      <c r="S364" s="2" t="s">
        <v>98</v>
      </c>
      <c r="T364" s="2" t="s">
        <v>98</v>
      </c>
      <c r="U364" s="2" t="s">
        <v>117</v>
      </c>
      <c r="V364" s="2" t="s">
        <v>439</v>
      </c>
      <c r="W364" s="2" t="s">
        <v>103</v>
      </c>
      <c r="X364" s="2" t="s">
        <v>98</v>
      </c>
      <c r="Y364" s="2" t="s">
        <v>2125</v>
      </c>
      <c r="Z364" s="4">
        <v>1</v>
      </c>
      <c r="AA364" s="4">
        <f>=ROUNDDOWN(0.111111111111111,0)</f>
      </c>
      <c r="AB364" s="5">
        <v>9</v>
      </c>
      <c r="AC364" s="2" t="s">
        <v>1757</v>
      </c>
      <c r="AD364" s="4">
        <v>100</v>
      </c>
      <c r="AE364" s="4">
        <v>200</v>
      </c>
      <c r="AF364" s="6">
        <v>67</v>
      </c>
      <c r="AG364" s="6"/>
      <c r="AH364" s="7">
        <v>0</v>
      </c>
      <c r="AI364" s="4"/>
      <c r="AJ364" s="4">
        <f>=ROUNDDOWN({0},0)</f>
      </c>
      <c r="AK364" s="5"/>
      <c r="AL364" s="2" t="s">
        <v>98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 t="s">
        <v>98</v>
      </c>
      <c r="BD364" s="8" t="s">
        <v>98</v>
      </c>
      <c r="BE364" s="4" t="s">
        <v>98</v>
      </c>
      <c r="BF364" s="8" t="s">
        <v>98</v>
      </c>
      <c r="BG364" s="7" t="s">
        <v>98</v>
      </c>
      <c r="BH364" s="7" t="s">
        <v>98</v>
      </c>
      <c r="BI364" s="7"/>
      <c r="BJ364" s="4"/>
      <c r="BK364" s="8"/>
      <c r="BL364" s="2" t="s">
        <v>1375</v>
      </c>
      <c r="BM364" s="7"/>
      <c r="BN364" s="7"/>
      <c r="BO364" s="4"/>
      <c r="BP364" s="8"/>
      <c r="BQ364" s="4"/>
      <c r="BR364" s="8"/>
      <c r="BS364" s="7"/>
      <c r="BT364" s="7"/>
      <c r="BU364" s="2" t="s">
        <v>107</v>
      </c>
      <c r="BV364" s="2" t="s">
        <v>1355</v>
      </c>
      <c r="BW364" s="2" t="s">
        <v>1843</v>
      </c>
      <c r="BX364" s="2" t="s">
        <v>98</v>
      </c>
      <c r="BY364" s="2" t="s">
        <v>110</v>
      </c>
      <c r="BZ364" s="2" t="s">
        <v>98</v>
      </c>
    </row>
    <row r="365">
      <c r="A365" s="2" t="s">
        <v>2126</v>
      </c>
      <c r="B365" s="2" t="s">
        <v>1345</v>
      </c>
      <c r="C365" s="2" t="s">
        <v>88</v>
      </c>
      <c r="D365" s="2" t="s">
        <v>1946</v>
      </c>
      <c r="E365" s="2" t="s">
        <v>2089</v>
      </c>
      <c r="F365" s="2" t="s">
        <v>2118</v>
      </c>
      <c r="G365" s="2" t="s">
        <v>2119</v>
      </c>
      <c r="H365" s="2" t="s">
        <v>2120</v>
      </c>
      <c r="I365" s="2" t="s">
        <v>2093</v>
      </c>
      <c r="J365" s="2" t="s">
        <v>93</v>
      </c>
      <c r="K365" s="2" t="s">
        <v>2127</v>
      </c>
      <c r="L365" s="3">
        <v>237.5</v>
      </c>
      <c r="M365" s="3">
        <v>249.38</v>
      </c>
      <c r="N365" s="3">
        <v>499</v>
      </c>
      <c r="O365" s="2" t="s">
        <v>95</v>
      </c>
      <c r="P365" s="2" t="s">
        <v>115</v>
      </c>
      <c r="Q365" s="2" t="s">
        <v>97</v>
      </c>
      <c r="R365" s="2" t="s">
        <v>98</v>
      </c>
      <c r="S365" s="2" t="s">
        <v>98</v>
      </c>
      <c r="T365" s="2" t="s">
        <v>98</v>
      </c>
      <c r="U365" s="2" t="s">
        <v>117</v>
      </c>
      <c r="V365" s="2" t="s">
        <v>439</v>
      </c>
      <c r="W365" s="2" t="s">
        <v>103</v>
      </c>
      <c r="X365" s="2" t="s">
        <v>98</v>
      </c>
      <c r="Y365" s="2" t="s">
        <v>1614</v>
      </c>
      <c r="Z365" s="4">
        <v>44</v>
      </c>
      <c r="AA365" s="4">
        <f>=ROUNDDOWN(44,0)</f>
      </c>
      <c r="AB365" s="5">
        <v>1</v>
      </c>
      <c r="AC365" s="2" t="s">
        <v>98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98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98</v>
      </c>
      <c r="BD365" s="8" t="s">
        <v>98</v>
      </c>
      <c r="BE365" s="4" t="s">
        <v>98</v>
      </c>
      <c r="BF365" s="8" t="s">
        <v>98</v>
      </c>
      <c r="BG365" s="7" t="s">
        <v>98</v>
      </c>
      <c r="BH365" s="7" t="s">
        <v>98</v>
      </c>
      <c r="BI365" s="7"/>
      <c r="BJ365" s="4"/>
      <c r="BK365" s="8"/>
      <c r="BL365" s="2" t="s">
        <v>895</v>
      </c>
      <c r="BM365" s="7"/>
      <c r="BN365" s="7"/>
      <c r="BO365" s="4"/>
      <c r="BP365" s="8"/>
      <c r="BQ365" s="4"/>
      <c r="BR365" s="8"/>
      <c r="BS365" s="7"/>
      <c r="BT365" s="7"/>
      <c r="BU365" s="2" t="s">
        <v>1376</v>
      </c>
      <c r="BV365" s="2" t="s">
        <v>95</v>
      </c>
      <c r="BW365" s="2" t="s">
        <v>98</v>
      </c>
      <c r="BX365" s="2" t="s">
        <v>98</v>
      </c>
      <c r="BY365" s="2" t="s">
        <v>110</v>
      </c>
      <c r="BZ365" s="2" t="s">
        <v>98</v>
      </c>
    </row>
    <row r="366">
      <c r="A366" s="2" t="s">
        <v>2128</v>
      </c>
      <c r="B366" s="2" t="s">
        <v>1345</v>
      </c>
      <c r="C366" s="2" t="s">
        <v>88</v>
      </c>
      <c r="D366" s="2" t="s">
        <v>1946</v>
      </c>
      <c r="E366" s="2" t="s">
        <v>2089</v>
      </c>
      <c r="F366" s="2" t="s">
        <v>209</v>
      </c>
      <c r="G366" s="2" t="s">
        <v>2129</v>
      </c>
      <c r="H366" s="2" t="s">
        <v>2130</v>
      </c>
      <c r="I366" s="2" t="s">
        <v>2093</v>
      </c>
      <c r="J366" s="2" t="s">
        <v>93</v>
      </c>
      <c r="K366" s="2" t="s">
        <v>1439</v>
      </c>
      <c r="L366" s="3">
        <v>292.05</v>
      </c>
      <c r="M366" s="3">
        <v>306.65</v>
      </c>
      <c r="N366" s="3">
        <v>609</v>
      </c>
      <c r="O366" s="2" t="s">
        <v>95</v>
      </c>
      <c r="P366" s="2" t="s">
        <v>142</v>
      </c>
      <c r="Q366" s="2" t="s">
        <v>97</v>
      </c>
      <c r="R366" s="2" t="s">
        <v>98</v>
      </c>
      <c r="S366" s="2" t="s">
        <v>98</v>
      </c>
      <c r="T366" s="2" t="s">
        <v>98</v>
      </c>
      <c r="U366" s="2" t="s">
        <v>98</v>
      </c>
      <c r="V366" s="2" t="s">
        <v>439</v>
      </c>
      <c r="W366" s="2" t="s">
        <v>103</v>
      </c>
      <c r="X366" s="2" t="s">
        <v>98</v>
      </c>
      <c r="Y366" s="2" t="s">
        <v>2131</v>
      </c>
      <c r="Z366" s="4">
        <v>51</v>
      </c>
      <c r="AA366" s="4">
        <f>=ROUNDDOWN(24.2857142857143,0)</f>
      </c>
      <c r="AB366" s="5">
        <v>2.1</v>
      </c>
      <c r="AC366" s="2" t="s">
        <v>194</v>
      </c>
      <c r="AD366" s="4">
        <v>89</v>
      </c>
      <c r="AE366" s="4">
        <v>89</v>
      </c>
      <c r="AF366" s="6">
        <v>65</v>
      </c>
      <c r="AG366" s="6">
        <v>48</v>
      </c>
      <c r="AH366" s="7">
        <v>1</v>
      </c>
      <c r="AI366" s="4"/>
      <c r="AJ366" s="4">
        <f>=ROUNDDOWN({0},0)</f>
      </c>
      <c r="AK366" s="5"/>
      <c r="AL366" s="2" t="s">
        <v>98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>
        <v>2</v>
      </c>
      <c r="BK366" s="8">
        <v>598.5</v>
      </c>
      <c r="BL366" s="2" t="s">
        <v>2132</v>
      </c>
      <c r="BM366" s="7"/>
      <c r="BN366" s="7"/>
      <c r="BO366" s="4"/>
      <c r="BP366" s="8"/>
      <c r="BQ366" s="4"/>
      <c r="BR366" s="8"/>
      <c r="BS366" s="7"/>
      <c r="BT366" s="7"/>
      <c r="BU366" s="2" t="s">
        <v>107</v>
      </c>
      <c r="BV366" s="2" t="s">
        <v>1355</v>
      </c>
      <c r="BW366" s="2" t="s">
        <v>2133</v>
      </c>
      <c r="BX366" s="2" t="s">
        <v>2134</v>
      </c>
      <c r="BY366" s="2" t="s">
        <v>110</v>
      </c>
      <c r="BZ366" s="2" t="s">
        <v>98</v>
      </c>
    </row>
    <row r="367">
      <c r="A367" s="2" t="s">
        <v>2135</v>
      </c>
      <c r="B367" s="2" t="s">
        <v>1345</v>
      </c>
      <c r="C367" s="2" t="s">
        <v>88</v>
      </c>
      <c r="D367" s="2" t="s">
        <v>1946</v>
      </c>
      <c r="E367" s="2" t="s">
        <v>2089</v>
      </c>
      <c r="F367" s="2" t="s">
        <v>2136</v>
      </c>
      <c r="G367" s="2" t="s">
        <v>2137</v>
      </c>
      <c r="H367" s="2" t="s">
        <v>2138</v>
      </c>
      <c r="I367" s="2" t="s">
        <v>2093</v>
      </c>
      <c r="J367" s="2" t="s">
        <v>93</v>
      </c>
      <c r="K367" s="2" t="s">
        <v>2139</v>
      </c>
      <c r="L367" s="3">
        <v>270.75</v>
      </c>
      <c r="M367" s="3">
        <v>284.29</v>
      </c>
      <c r="N367" s="3">
        <v>569</v>
      </c>
      <c r="O367" s="2" t="s">
        <v>95</v>
      </c>
      <c r="P367" s="2" t="s">
        <v>134</v>
      </c>
      <c r="Q367" s="2" t="s">
        <v>97</v>
      </c>
      <c r="R367" s="2" t="s">
        <v>98</v>
      </c>
      <c r="S367" s="2" t="s">
        <v>98</v>
      </c>
      <c r="T367" s="2" t="s">
        <v>98</v>
      </c>
      <c r="U367" s="2" t="s">
        <v>117</v>
      </c>
      <c r="V367" s="2" t="s">
        <v>439</v>
      </c>
      <c r="W367" s="2" t="s">
        <v>103</v>
      </c>
      <c r="X367" s="2" t="s">
        <v>98</v>
      </c>
      <c r="Y367" s="2" t="s">
        <v>2140</v>
      </c>
      <c r="Z367" s="4">
        <v>168</v>
      </c>
      <c r="AA367" s="4">
        <f>=ROUNDDOWN(28,0)</f>
      </c>
      <c r="AB367" s="5">
        <v>6</v>
      </c>
      <c r="AC367" s="2" t="s">
        <v>194</v>
      </c>
      <c r="AD367" s="4">
        <v>96</v>
      </c>
      <c r="AE367" s="4">
        <v>120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98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>
        <v>4</v>
      </c>
      <c r="BK367" s="8">
        <v>1277.15</v>
      </c>
      <c r="BL367" s="2" t="s">
        <v>1990</v>
      </c>
      <c r="BM367" s="7"/>
      <c r="BN367" s="7"/>
      <c r="BO367" s="4"/>
      <c r="BP367" s="8"/>
      <c r="BQ367" s="4"/>
      <c r="BR367" s="8"/>
      <c r="BS367" s="7"/>
      <c r="BT367" s="7"/>
      <c r="BU367" s="2" t="s">
        <v>107</v>
      </c>
      <c r="BV367" s="2" t="s">
        <v>1355</v>
      </c>
      <c r="BW367" s="2" t="s">
        <v>1584</v>
      </c>
      <c r="BX367" s="2" t="s">
        <v>98</v>
      </c>
      <c r="BY367" s="2" t="s">
        <v>110</v>
      </c>
      <c r="BZ367" s="2" t="s">
        <v>98</v>
      </c>
    </row>
    <row r="368">
      <c r="A368" s="2" t="s">
        <v>2141</v>
      </c>
      <c r="B368" s="2" t="s">
        <v>1345</v>
      </c>
      <c r="C368" s="2" t="s">
        <v>88</v>
      </c>
      <c r="D368" s="2" t="s">
        <v>1946</v>
      </c>
      <c r="E368" s="2" t="s">
        <v>2142</v>
      </c>
      <c r="F368" s="2" t="s">
        <v>2143</v>
      </c>
      <c r="G368" s="2" t="s">
        <v>2144</v>
      </c>
      <c r="H368" s="2" t="s">
        <v>2145</v>
      </c>
      <c r="I368" s="2" t="s">
        <v>2146</v>
      </c>
      <c r="J368" s="2" t="s">
        <v>93</v>
      </c>
      <c r="K368" s="2" t="s">
        <v>1423</v>
      </c>
      <c r="L368" s="3">
        <v>261.25</v>
      </c>
      <c r="M368" s="3">
        <v>274.31</v>
      </c>
      <c r="N368" s="3">
        <v>549</v>
      </c>
      <c r="O368" s="2" t="s">
        <v>95</v>
      </c>
      <c r="P368" s="2" t="s">
        <v>134</v>
      </c>
      <c r="Q368" s="2" t="s">
        <v>97</v>
      </c>
      <c r="R368" s="2" t="s">
        <v>98</v>
      </c>
      <c r="S368" s="2" t="s">
        <v>2147</v>
      </c>
      <c r="T368" s="2" t="s">
        <v>98</v>
      </c>
      <c r="U368" s="2" t="s">
        <v>98</v>
      </c>
      <c r="V368" s="2" t="s">
        <v>439</v>
      </c>
      <c r="W368" s="2" t="s">
        <v>103</v>
      </c>
      <c r="X368" s="2" t="s">
        <v>98</v>
      </c>
      <c r="Y368" s="2" t="s">
        <v>2148</v>
      </c>
      <c r="Z368" s="4">
        <v>157</v>
      </c>
      <c r="AA368" s="4">
        <f>=ROUNDDOWN(26.1666666666667,0)</f>
      </c>
      <c r="AB368" s="5">
        <v>6</v>
      </c>
      <c r="AC368" s="2" t="s">
        <v>2149</v>
      </c>
      <c r="AD368" s="4">
        <v>81</v>
      </c>
      <c r="AE368" s="4">
        <v>81</v>
      </c>
      <c r="AF368" s="6">
        <v>65</v>
      </c>
      <c r="AG368" s="6">
        <v>48</v>
      </c>
      <c r="AH368" s="7">
        <v>1</v>
      </c>
      <c r="AI368" s="4"/>
      <c r="AJ368" s="4">
        <f>=ROUNDDOWN({0},0)</f>
      </c>
      <c r="AK368" s="5"/>
      <c r="AL368" s="2" t="s">
        <v>98</v>
      </c>
      <c r="AM368" s="4"/>
      <c r="AN368" s="4"/>
      <c r="AO368" s="7">
        <v>0</v>
      </c>
      <c r="AP368" s="4">
        <v>1</v>
      </c>
      <c r="AQ368" s="8">
        <v>242.11</v>
      </c>
      <c r="AR368" s="4"/>
      <c r="AS368" s="8"/>
      <c r="AT368" s="7"/>
      <c r="AU368" s="7"/>
      <c r="AV368" s="4">
        <v>1</v>
      </c>
      <c r="AW368" s="8">
        <v>242.11</v>
      </c>
      <c r="AX368" s="4"/>
      <c r="AY368" s="8"/>
      <c r="AZ368" s="7"/>
      <c r="BA368" s="7"/>
      <c r="BB368" s="7">
        <v>1</v>
      </c>
      <c r="BC368" s="4">
        <v>1</v>
      </c>
      <c r="BD368" s="8">
        <v>242.11</v>
      </c>
      <c r="BE368" s="4"/>
      <c r="BF368" s="8"/>
      <c r="BG368" s="7"/>
      <c r="BH368" s="7"/>
      <c r="BI368" s="7">
        <v>1</v>
      </c>
      <c r="BJ368" s="4">
        <v>3</v>
      </c>
      <c r="BK368" s="8">
        <v>762.11</v>
      </c>
      <c r="BL368" s="2" t="s">
        <v>2150</v>
      </c>
      <c r="BM368" s="7">
        <v>0.3333</v>
      </c>
      <c r="BN368" s="7">
        <v>0.3177</v>
      </c>
      <c r="BO368" s="4">
        <v>1</v>
      </c>
      <c r="BP368" s="8">
        <v>242.11</v>
      </c>
      <c r="BQ368" s="4"/>
      <c r="BR368" s="8"/>
      <c r="BS368" s="7"/>
      <c r="BT368" s="7"/>
      <c r="BU368" s="2" t="s">
        <v>107</v>
      </c>
      <c r="BV368" s="2" t="s">
        <v>1355</v>
      </c>
      <c r="BW368" s="2" t="s">
        <v>1436</v>
      </c>
      <c r="BX368" s="2" t="s">
        <v>1141</v>
      </c>
      <c r="BY368" s="2" t="s">
        <v>110</v>
      </c>
      <c r="BZ368" s="2" t="s">
        <v>98</v>
      </c>
    </row>
    <row r="369">
      <c r="A369" s="2" t="s">
        <v>2151</v>
      </c>
      <c r="B369" s="2" t="s">
        <v>1345</v>
      </c>
      <c r="C369" s="2" t="s">
        <v>88</v>
      </c>
      <c r="D369" s="2" t="s">
        <v>1946</v>
      </c>
      <c r="E369" s="2" t="s">
        <v>2142</v>
      </c>
      <c r="F369" s="2" t="s">
        <v>2152</v>
      </c>
      <c r="G369" s="2" t="s">
        <v>2153</v>
      </c>
      <c r="H369" s="2" t="s">
        <v>2154</v>
      </c>
      <c r="I369" s="2" t="s">
        <v>2146</v>
      </c>
      <c r="J369" s="2" t="s">
        <v>93</v>
      </c>
      <c r="K369" s="2" t="s">
        <v>1385</v>
      </c>
      <c r="L369" s="3">
        <v>270.75</v>
      </c>
      <c r="M369" s="3">
        <v>284.29</v>
      </c>
      <c r="N369" s="3">
        <v>569</v>
      </c>
      <c r="O369" s="2" t="s">
        <v>95</v>
      </c>
      <c r="P369" s="2" t="s">
        <v>134</v>
      </c>
      <c r="Q369" s="2" t="s">
        <v>97</v>
      </c>
      <c r="R369" s="2" t="s">
        <v>98</v>
      </c>
      <c r="S369" s="2" t="s">
        <v>2155</v>
      </c>
      <c r="T369" s="2" t="s">
        <v>98</v>
      </c>
      <c r="U369" s="2" t="s">
        <v>98</v>
      </c>
      <c r="V369" s="2" t="s">
        <v>439</v>
      </c>
      <c r="W369" s="2" t="s">
        <v>103</v>
      </c>
      <c r="X369" s="2" t="s">
        <v>98</v>
      </c>
      <c r="Y369" s="2" t="s">
        <v>2156</v>
      </c>
      <c r="Z369" s="4">
        <v>93</v>
      </c>
      <c r="AA369" s="4">
        <f>=ROUNDDOWN(13.2857142857143,0)</f>
      </c>
      <c r="AB369" s="5">
        <v>7</v>
      </c>
      <c r="AC369" s="2" t="s">
        <v>323</v>
      </c>
      <c r="AD369" s="4">
        <v>50</v>
      </c>
      <c r="AE369" s="4">
        <v>94</v>
      </c>
      <c r="AF369" s="6">
        <v>65</v>
      </c>
      <c r="AG369" s="6">
        <v>48</v>
      </c>
      <c r="AH369" s="7">
        <v>1</v>
      </c>
      <c r="AI369" s="4"/>
      <c r="AJ369" s="4">
        <f>=ROUNDDOWN({0},0)</f>
      </c>
      <c r="AK369" s="5"/>
      <c r="AL369" s="2" t="s">
        <v>98</v>
      </c>
      <c r="AM369" s="4"/>
      <c r="AN369" s="4"/>
      <c r="AO369" s="7">
        <v>0</v>
      </c>
      <c r="AP369" s="4">
        <v>1</v>
      </c>
      <c r="AQ369" s="8">
        <v>239.24</v>
      </c>
      <c r="AR369" s="4"/>
      <c r="AS369" s="8"/>
      <c r="AT369" s="7"/>
      <c r="AU369" s="7"/>
      <c r="AV369" s="4">
        <v>1</v>
      </c>
      <c r="AW369" s="8">
        <v>239.24</v>
      </c>
      <c r="AX369" s="4"/>
      <c r="AY369" s="8"/>
      <c r="AZ369" s="7"/>
      <c r="BA369" s="7"/>
      <c r="BB369" s="7">
        <v>1</v>
      </c>
      <c r="BC369" s="4">
        <v>1</v>
      </c>
      <c r="BD369" s="8">
        <v>239.24</v>
      </c>
      <c r="BE369" s="4"/>
      <c r="BF369" s="8"/>
      <c r="BG369" s="7"/>
      <c r="BH369" s="7"/>
      <c r="BI369" s="7">
        <v>1</v>
      </c>
      <c r="BJ369" s="4">
        <v>5</v>
      </c>
      <c r="BK369" s="8">
        <v>1370.24</v>
      </c>
      <c r="BL369" s="2" t="s">
        <v>2157</v>
      </c>
      <c r="BM369" s="7">
        <v>0.2</v>
      </c>
      <c r="BN369" s="7">
        <v>0.1746</v>
      </c>
      <c r="BO369" s="4">
        <v>1</v>
      </c>
      <c r="BP369" s="8">
        <v>239.24</v>
      </c>
      <c r="BQ369" s="4"/>
      <c r="BR369" s="8"/>
      <c r="BS369" s="7"/>
      <c r="BT369" s="7"/>
      <c r="BU369" s="2" t="s">
        <v>107</v>
      </c>
      <c r="BV369" s="2" t="s">
        <v>1355</v>
      </c>
      <c r="BW369" s="2" t="s">
        <v>1436</v>
      </c>
      <c r="BX369" s="2" t="s">
        <v>1141</v>
      </c>
      <c r="BY369" s="2" t="s">
        <v>110</v>
      </c>
      <c r="BZ369" s="2" t="s">
        <v>98</v>
      </c>
    </row>
    <row r="370">
      <c r="A370" s="2" t="s">
        <v>2158</v>
      </c>
      <c r="B370" s="2" t="s">
        <v>1345</v>
      </c>
      <c r="C370" s="2" t="s">
        <v>88</v>
      </c>
      <c r="D370" s="2" t="s">
        <v>1946</v>
      </c>
      <c r="E370" s="2" t="s">
        <v>2142</v>
      </c>
      <c r="F370" s="2" t="s">
        <v>2159</v>
      </c>
      <c r="G370" s="2" t="s">
        <v>2160</v>
      </c>
      <c r="H370" s="2" t="s">
        <v>2161</v>
      </c>
      <c r="I370" s="2" t="s">
        <v>2162</v>
      </c>
      <c r="J370" s="2" t="s">
        <v>93</v>
      </c>
      <c r="K370" s="2" t="s">
        <v>277</v>
      </c>
      <c r="L370" s="3">
        <v>282.15</v>
      </c>
      <c r="M370" s="3">
        <v>296.26</v>
      </c>
      <c r="N370" s="3">
        <v>599</v>
      </c>
      <c r="O370" s="2" t="s">
        <v>95</v>
      </c>
      <c r="P370" s="2" t="s">
        <v>134</v>
      </c>
      <c r="Q370" s="2" t="s">
        <v>97</v>
      </c>
      <c r="R370" s="2" t="s">
        <v>98</v>
      </c>
      <c r="S370" s="2" t="s">
        <v>98</v>
      </c>
      <c r="T370" s="2" t="s">
        <v>98</v>
      </c>
      <c r="U370" s="2" t="s">
        <v>117</v>
      </c>
      <c r="V370" s="2" t="s">
        <v>439</v>
      </c>
      <c r="W370" s="2" t="s">
        <v>103</v>
      </c>
      <c r="X370" s="2" t="s">
        <v>314</v>
      </c>
      <c r="Y370" s="2" t="s">
        <v>2163</v>
      </c>
      <c r="Z370" s="4">
        <v>70</v>
      </c>
      <c r="AA370" s="4">
        <f>=ROUNDDOWN(11.6666666666667,0)</f>
      </c>
      <c r="AB370" s="5">
        <v>6</v>
      </c>
      <c r="AC370" s="2" t="s">
        <v>1757</v>
      </c>
      <c r="AD370" s="4">
        <v>135</v>
      </c>
      <c r="AE370" s="4">
        <v>249</v>
      </c>
      <c r="AF370" s="6">
        <v>65</v>
      </c>
      <c r="AG370" s="6">
        <v>48</v>
      </c>
      <c r="AH370" s="7">
        <v>1</v>
      </c>
      <c r="AI370" s="4"/>
      <c r="AJ370" s="4">
        <f>=ROUNDDOWN({0},0)</f>
      </c>
      <c r="AK370" s="5"/>
      <c r="AL370" s="2" t="s">
        <v>98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98</v>
      </c>
      <c r="BD370" s="8" t="s">
        <v>98</v>
      </c>
      <c r="BE370" s="4" t="s">
        <v>98</v>
      </c>
      <c r="BF370" s="8" t="s">
        <v>98</v>
      </c>
      <c r="BG370" s="7" t="s">
        <v>98</v>
      </c>
      <c r="BH370" s="7" t="s">
        <v>98</v>
      </c>
      <c r="BI370" s="7"/>
      <c r="BJ370" s="4">
        <v>1</v>
      </c>
      <c r="BK370" s="8">
        <v>317.42</v>
      </c>
      <c r="BL370" s="2" t="s">
        <v>269</v>
      </c>
      <c r="BM370" s="7"/>
      <c r="BN370" s="7"/>
      <c r="BO370" s="4"/>
      <c r="BP370" s="8"/>
      <c r="BQ370" s="4"/>
      <c r="BR370" s="8"/>
      <c r="BS370" s="7"/>
      <c r="BT370" s="7"/>
      <c r="BU370" s="2" t="s">
        <v>1376</v>
      </c>
      <c r="BV370" s="2" t="s">
        <v>95</v>
      </c>
      <c r="BW370" s="2" t="s">
        <v>98</v>
      </c>
      <c r="BX370" s="2" t="s">
        <v>98</v>
      </c>
      <c r="BY370" s="2" t="s">
        <v>110</v>
      </c>
      <c r="BZ370" s="2" t="s">
        <v>98</v>
      </c>
    </row>
    <row r="371">
      <c r="A371" s="2" t="s">
        <v>2164</v>
      </c>
      <c r="B371" s="2" t="s">
        <v>1345</v>
      </c>
      <c r="C371" s="2" t="s">
        <v>88</v>
      </c>
      <c r="D371" s="2" t="s">
        <v>1946</v>
      </c>
      <c r="E371" s="2" t="s">
        <v>2142</v>
      </c>
      <c r="F371" s="2" t="s">
        <v>2159</v>
      </c>
      <c r="G371" s="2" t="s">
        <v>2160</v>
      </c>
      <c r="H371" s="2" t="s">
        <v>2161</v>
      </c>
      <c r="I371" s="2" t="s">
        <v>2146</v>
      </c>
      <c r="J371" s="2" t="s">
        <v>93</v>
      </c>
      <c r="K371" s="2" t="s">
        <v>1439</v>
      </c>
      <c r="L371" s="3">
        <v>282.15</v>
      </c>
      <c r="M371" s="3">
        <v>296.26</v>
      </c>
      <c r="N371" s="3">
        <v>599</v>
      </c>
      <c r="O371" s="2" t="s">
        <v>95</v>
      </c>
      <c r="P371" s="2" t="s">
        <v>96</v>
      </c>
      <c r="Q371" s="2" t="s">
        <v>97</v>
      </c>
      <c r="R371" s="2" t="s">
        <v>98</v>
      </c>
      <c r="S371" s="2" t="s">
        <v>2165</v>
      </c>
      <c r="T371" s="2" t="s">
        <v>98</v>
      </c>
      <c r="U371" s="2" t="s">
        <v>98</v>
      </c>
      <c r="V371" s="2" t="s">
        <v>439</v>
      </c>
      <c r="W371" s="2" t="s">
        <v>103</v>
      </c>
      <c r="X371" s="2" t="s">
        <v>98</v>
      </c>
      <c r="Y371" s="2" t="s">
        <v>2122</v>
      </c>
      <c r="Z371" s="4">
        <v>214</v>
      </c>
      <c r="AA371" s="4">
        <f>=ROUNDDOWN(10.7,0)</f>
      </c>
      <c r="AB371" s="5">
        <v>20</v>
      </c>
      <c r="AC371" s="2" t="s">
        <v>1374</v>
      </c>
      <c r="AD371" s="4">
        <v>18</v>
      </c>
      <c r="AE371" s="4">
        <v>289</v>
      </c>
      <c r="AF371" s="6">
        <v>65</v>
      </c>
      <c r="AG371" s="6">
        <v>48</v>
      </c>
      <c r="AH371" s="7">
        <v>1</v>
      </c>
      <c r="AI371" s="4"/>
      <c r="AJ371" s="4">
        <f>=ROUNDDOWN({0},0)</f>
      </c>
      <c r="AK371" s="5"/>
      <c r="AL371" s="2" t="s">
        <v>98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98</v>
      </c>
      <c r="BD371" s="8" t="s">
        <v>98</v>
      </c>
      <c r="BE371" s="4" t="s">
        <v>98</v>
      </c>
      <c r="BF371" s="8" t="s">
        <v>98</v>
      </c>
      <c r="BG371" s="7" t="s">
        <v>98</v>
      </c>
      <c r="BH371" s="7" t="s">
        <v>98</v>
      </c>
      <c r="BI371" s="7"/>
      <c r="BJ371" s="4">
        <v>19</v>
      </c>
      <c r="BK371" s="8">
        <v>5536.78</v>
      </c>
      <c r="BL371" s="2" t="s">
        <v>2166</v>
      </c>
      <c r="BM371" s="7"/>
      <c r="BN371" s="7"/>
      <c r="BO371" s="4"/>
      <c r="BP371" s="8"/>
      <c r="BQ371" s="4"/>
      <c r="BR371" s="8"/>
      <c r="BS371" s="7"/>
      <c r="BT371" s="7"/>
      <c r="BU371" s="2" t="s">
        <v>107</v>
      </c>
      <c r="BV371" s="2" t="s">
        <v>1355</v>
      </c>
      <c r="BW371" s="2" t="s">
        <v>1454</v>
      </c>
      <c r="BX371" s="2" t="s">
        <v>2167</v>
      </c>
      <c r="BY371" s="2" t="s">
        <v>110</v>
      </c>
      <c r="BZ371" s="2" t="s">
        <v>98</v>
      </c>
    </row>
    <row r="372">
      <c r="A372" s="2" t="s">
        <v>2168</v>
      </c>
      <c r="B372" s="2" t="s">
        <v>1345</v>
      </c>
      <c r="C372" s="2" t="s">
        <v>88</v>
      </c>
      <c r="D372" s="2" t="s">
        <v>1946</v>
      </c>
      <c r="E372" s="2" t="s">
        <v>2142</v>
      </c>
      <c r="F372" s="2" t="s">
        <v>2159</v>
      </c>
      <c r="G372" s="2" t="s">
        <v>2160</v>
      </c>
      <c r="H372" s="2" t="s">
        <v>2161</v>
      </c>
      <c r="I372" s="2" t="s">
        <v>2146</v>
      </c>
      <c r="J372" s="2" t="s">
        <v>93</v>
      </c>
      <c r="K372" s="2" t="s">
        <v>133</v>
      </c>
      <c r="L372" s="3">
        <v>282.15</v>
      </c>
      <c r="M372" s="3">
        <v>296.26</v>
      </c>
      <c r="N372" s="3">
        <v>599</v>
      </c>
      <c r="O372" s="2" t="s">
        <v>95</v>
      </c>
      <c r="P372" s="2" t="s">
        <v>134</v>
      </c>
      <c r="Q372" s="2" t="s">
        <v>97</v>
      </c>
      <c r="R372" s="2" t="s">
        <v>98</v>
      </c>
      <c r="S372" s="2" t="s">
        <v>98</v>
      </c>
      <c r="T372" s="2" t="s">
        <v>98</v>
      </c>
      <c r="U372" s="2" t="s">
        <v>117</v>
      </c>
      <c r="V372" s="2" t="s">
        <v>439</v>
      </c>
      <c r="W372" s="2" t="s">
        <v>103</v>
      </c>
      <c r="X372" s="2" t="s">
        <v>98</v>
      </c>
      <c r="Y372" s="2" t="s">
        <v>2169</v>
      </c>
      <c r="Z372" s="4">
        <v>87</v>
      </c>
      <c r="AA372" s="4">
        <f>=ROUNDDOWN(26.3636363636364,0)</f>
      </c>
      <c r="AB372" s="5">
        <v>3.3</v>
      </c>
      <c r="AC372" s="2" t="s">
        <v>194</v>
      </c>
      <c r="AD372" s="4">
        <v>100</v>
      </c>
      <c r="AE372" s="4">
        <v>262</v>
      </c>
      <c r="AF372" s="6">
        <v>65</v>
      </c>
      <c r="AG372" s="6">
        <v>48</v>
      </c>
      <c r="AH372" s="7">
        <v>1</v>
      </c>
      <c r="AI372" s="4"/>
      <c r="AJ372" s="4">
        <f>=ROUNDDOWN({0},0)</f>
      </c>
      <c r="AK372" s="5"/>
      <c r="AL372" s="2" t="s">
        <v>98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 t="s">
        <v>98</v>
      </c>
      <c r="BD372" s="8" t="s">
        <v>98</v>
      </c>
      <c r="BE372" s="4" t="s">
        <v>98</v>
      </c>
      <c r="BF372" s="8" t="s">
        <v>98</v>
      </c>
      <c r="BG372" s="7" t="s">
        <v>98</v>
      </c>
      <c r="BH372" s="7" t="s">
        <v>98</v>
      </c>
      <c r="BI372" s="7"/>
      <c r="BJ372" s="4">
        <v>6</v>
      </c>
      <c r="BK372" s="8">
        <v>1621.95</v>
      </c>
      <c r="BL372" s="2" t="s">
        <v>2170</v>
      </c>
      <c r="BM372" s="7"/>
      <c r="BN372" s="7"/>
      <c r="BO372" s="4"/>
      <c r="BP372" s="8"/>
      <c r="BQ372" s="4"/>
      <c r="BR372" s="8"/>
      <c r="BS372" s="7"/>
      <c r="BT372" s="7"/>
      <c r="BU372" s="2" t="s">
        <v>107</v>
      </c>
      <c r="BV372" s="2" t="s">
        <v>1355</v>
      </c>
      <c r="BW372" s="2" t="s">
        <v>2133</v>
      </c>
      <c r="BX372" s="2" t="s">
        <v>2028</v>
      </c>
      <c r="BY372" s="2" t="s">
        <v>110</v>
      </c>
      <c r="BZ372" s="2" t="s">
        <v>98</v>
      </c>
    </row>
    <row r="373">
      <c r="A373" s="2" t="s">
        <v>2171</v>
      </c>
      <c r="B373" s="2" t="s">
        <v>1345</v>
      </c>
      <c r="C373" s="2" t="s">
        <v>88</v>
      </c>
      <c r="D373" s="2" t="s">
        <v>1946</v>
      </c>
      <c r="E373" s="2" t="s">
        <v>2142</v>
      </c>
      <c r="F373" s="2" t="s">
        <v>2172</v>
      </c>
      <c r="G373" s="2" t="s">
        <v>2173</v>
      </c>
      <c r="H373" s="2" t="s">
        <v>2174</v>
      </c>
      <c r="I373" s="2" t="s">
        <v>2146</v>
      </c>
      <c r="J373" s="2" t="s">
        <v>93</v>
      </c>
      <c r="K373" s="2" t="s">
        <v>967</v>
      </c>
      <c r="L373" s="3">
        <v>270.75</v>
      </c>
      <c r="M373" s="3">
        <v>284.29</v>
      </c>
      <c r="N373" s="3">
        <v>569</v>
      </c>
      <c r="O373" s="2" t="s">
        <v>95</v>
      </c>
      <c r="P373" s="2" t="s">
        <v>142</v>
      </c>
      <c r="Q373" s="2" t="s">
        <v>97</v>
      </c>
      <c r="R373" s="2" t="s">
        <v>98</v>
      </c>
      <c r="S373" s="2" t="s">
        <v>98</v>
      </c>
      <c r="T373" s="2" t="s">
        <v>98</v>
      </c>
      <c r="U373" s="2" t="s">
        <v>117</v>
      </c>
      <c r="V373" s="2" t="s">
        <v>439</v>
      </c>
      <c r="W373" s="2" t="s">
        <v>103</v>
      </c>
      <c r="X373" s="2" t="s">
        <v>98</v>
      </c>
      <c r="Y373" s="2" t="s">
        <v>2175</v>
      </c>
      <c r="Z373" s="4">
        <v>14</v>
      </c>
      <c r="AA373" s="4">
        <f>=ROUNDDOWN(3.5,0)</f>
      </c>
      <c r="AB373" s="5">
        <v>4</v>
      </c>
      <c r="AC373" s="2" t="s">
        <v>1757</v>
      </c>
      <c r="AD373" s="4">
        <v>72</v>
      </c>
      <c r="AE373" s="4">
        <v>153</v>
      </c>
      <c r="AF373" s="6">
        <v>65</v>
      </c>
      <c r="AG373" s="6">
        <v>48</v>
      </c>
      <c r="AH373" s="7">
        <v>1</v>
      </c>
      <c r="AI373" s="4"/>
      <c r="AJ373" s="4">
        <f>=ROUNDDOWN({0},0)</f>
      </c>
      <c r="AK373" s="5"/>
      <c r="AL373" s="2" t="s">
        <v>98</v>
      </c>
      <c r="AM373" s="4"/>
      <c r="AN373" s="4"/>
      <c r="AO373" s="7">
        <v>0</v>
      </c>
      <c r="AP373" s="4"/>
      <c r="AQ373" s="8"/>
      <c r="AR373" s="4">
        <v>1</v>
      </c>
      <c r="AS373" s="8">
        <v>265.27</v>
      </c>
      <c r="AT373" s="7">
        <v>-1</v>
      </c>
      <c r="AU373" s="7">
        <v>-1</v>
      </c>
      <c r="AV373" s="4"/>
      <c r="AW373" s="8"/>
      <c r="AX373" s="4">
        <v>1</v>
      </c>
      <c r="AY373" s="8">
        <v>265.27</v>
      </c>
      <c r="AZ373" s="7">
        <v>-1</v>
      </c>
      <c r="BA373" s="7">
        <v>-1</v>
      </c>
      <c r="BB373" s="7"/>
      <c r="BC373" s="4"/>
      <c r="BD373" s="8"/>
      <c r="BE373" s="4">
        <v>1</v>
      </c>
      <c r="BF373" s="8">
        <v>265.27</v>
      </c>
      <c r="BG373" s="7">
        <v>-1</v>
      </c>
      <c r="BH373" s="7">
        <v>-1</v>
      </c>
      <c r="BI373" s="7"/>
      <c r="BJ373" s="4"/>
      <c r="BK373" s="8"/>
      <c r="BL373" s="2" t="s">
        <v>1387</v>
      </c>
      <c r="BM373" s="7"/>
      <c r="BN373" s="7"/>
      <c r="BO373" s="4"/>
      <c r="BP373" s="8"/>
      <c r="BQ373" s="4">
        <v>1</v>
      </c>
      <c r="BR373" s="8">
        <v>265.27</v>
      </c>
      <c r="BS373" s="7">
        <v>-1</v>
      </c>
      <c r="BT373" s="7">
        <v>-1</v>
      </c>
      <c r="BU373" s="2" t="s">
        <v>107</v>
      </c>
      <c r="BV373" s="2" t="s">
        <v>1355</v>
      </c>
      <c r="BW373" s="2" t="s">
        <v>1584</v>
      </c>
      <c r="BX373" s="2" t="s">
        <v>98</v>
      </c>
      <c r="BY373" s="2" t="s">
        <v>110</v>
      </c>
      <c r="BZ373" s="2" t="s">
        <v>98</v>
      </c>
    </row>
    <row r="374">
      <c r="A374" s="2" t="s">
        <v>2176</v>
      </c>
      <c r="B374" s="2" t="s">
        <v>1345</v>
      </c>
      <c r="C374" s="2" t="s">
        <v>88</v>
      </c>
      <c r="D374" s="2" t="s">
        <v>1946</v>
      </c>
      <c r="E374" s="2" t="s">
        <v>2142</v>
      </c>
      <c r="F374" s="2" t="s">
        <v>2177</v>
      </c>
      <c r="G374" s="2" t="s">
        <v>2178</v>
      </c>
      <c r="H374" s="2" t="s">
        <v>2179</v>
      </c>
      <c r="I374" s="2" t="s">
        <v>2180</v>
      </c>
      <c r="J374" s="2" t="s">
        <v>93</v>
      </c>
      <c r="K374" s="2" t="s">
        <v>967</v>
      </c>
      <c r="L374" s="3">
        <v>243.68</v>
      </c>
      <c r="M374" s="3">
        <v>255.86</v>
      </c>
      <c r="N374" s="3">
        <v>509</v>
      </c>
      <c r="O374" s="2" t="s">
        <v>95</v>
      </c>
      <c r="P374" s="2" t="s">
        <v>295</v>
      </c>
      <c r="Q374" s="2" t="s">
        <v>97</v>
      </c>
      <c r="R374" s="2" t="s">
        <v>98</v>
      </c>
      <c r="S374" s="2" t="s">
        <v>98</v>
      </c>
      <c r="T374" s="2" t="s">
        <v>98</v>
      </c>
      <c r="U374" s="2" t="s">
        <v>117</v>
      </c>
      <c r="V374" s="2" t="s">
        <v>296</v>
      </c>
      <c r="W374" s="2" t="s">
        <v>102</v>
      </c>
      <c r="X374" s="2" t="s">
        <v>119</v>
      </c>
      <c r="Y374" s="2" t="s">
        <v>2181</v>
      </c>
      <c r="Z374" s="4">
        <v>11</v>
      </c>
      <c r="AA374" s="4">
        <f>=ROUNDDOWN(3.66666666666667,0)</f>
      </c>
      <c r="AB374" s="5">
        <v>3</v>
      </c>
      <c r="AC374" s="2" t="s">
        <v>194</v>
      </c>
      <c r="AD374" s="4">
        <v>70</v>
      </c>
      <c r="AE374" s="4">
        <v>97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98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/>
      <c r="BK374" s="8"/>
      <c r="BL374" s="2" t="s">
        <v>98</v>
      </c>
      <c r="BM374" s="7"/>
      <c r="BN374" s="7"/>
      <c r="BO374" s="4"/>
      <c r="BP374" s="8"/>
      <c r="BQ374" s="4"/>
      <c r="BR374" s="8"/>
      <c r="BS374" s="7"/>
      <c r="BT374" s="7"/>
      <c r="BU374" s="2" t="s">
        <v>1376</v>
      </c>
      <c r="BV374" s="2" t="s">
        <v>95</v>
      </c>
      <c r="BW374" s="2" t="s">
        <v>98</v>
      </c>
      <c r="BX374" s="2" t="s">
        <v>98</v>
      </c>
      <c r="BY374" s="2" t="s">
        <v>110</v>
      </c>
      <c r="BZ374" s="2" t="s">
        <v>98</v>
      </c>
    </row>
    <row r="375">
      <c r="A375" s="2" t="s">
        <v>2182</v>
      </c>
      <c r="B375" s="2" t="s">
        <v>1345</v>
      </c>
      <c r="C375" s="2" t="s">
        <v>88</v>
      </c>
      <c r="D375" s="2" t="s">
        <v>1946</v>
      </c>
      <c r="E375" s="2" t="s">
        <v>2142</v>
      </c>
      <c r="F375" s="2" t="s">
        <v>2183</v>
      </c>
      <c r="G375" s="2" t="s">
        <v>2184</v>
      </c>
      <c r="H375" s="2" t="s">
        <v>2185</v>
      </c>
      <c r="I375" s="2" t="s">
        <v>2146</v>
      </c>
      <c r="J375" s="2" t="s">
        <v>93</v>
      </c>
      <c r="K375" s="2" t="s">
        <v>133</v>
      </c>
      <c r="L375" s="3">
        <v>270.75</v>
      </c>
      <c r="M375" s="3">
        <v>284.29</v>
      </c>
      <c r="N375" s="3">
        <v>569</v>
      </c>
      <c r="O375" s="2" t="s">
        <v>95</v>
      </c>
      <c r="P375" s="2" t="s">
        <v>134</v>
      </c>
      <c r="Q375" s="2" t="s">
        <v>97</v>
      </c>
      <c r="R375" s="2" t="s">
        <v>98</v>
      </c>
      <c r="S375" s="2" t="s">
        <v>2186</v>
      </c>
      <c r="T375" s="2" t="s">
        <v>98</v>
      </c>
      <c r="U375" s="2" t="s">
        <v>98</v>
      </c>
      <c r="V375" s="2" t="s">
        <v>1360</v>
      </c>
      <c r="W375" s="2" t="s">
        <v>103</v>
      </c>
      <c r="X375" s="2" t="s">
        <v>98</v>
      </c>
      <c r="Y375" s="2" t="s">
        <v>2122</v>
      </c>
      <c r="Z375" s="4">
        <v>184</v>
      </c>
      <c r="AA375" s="4">
        <f>=ROUNDDOWN(20.4444444444444,0)</f>
      </c>
      <c r="AB375" s="5">
        <v>9</v>
      </c>
      <c r="AC375" s="2" t="s">
        <v>194</v>
      </c>
      <c r="AD375" s="4">
        <v>44</v>
      </c>
      <c r="AE375" s="4">
        <v>97</v>
      </c>
      <c r="AF375" s="6">
        <v>65</v>
      </c>
      <c r="AG375" s="6">
        <v>48</v>
      </c>
      <c r="AH375" s="7">
        <v>1</v>
      </c>
      <c r="AI375" s="4"/>
      <c r="AJ375" s="4">
        <f>=ROUNDDOWN({0},0)</f>
      </c>
      <c r="AK375" s="5"/>
      <c r="AL375" s="2" t="s">
        <v>98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 t="s">
        <v>98</v>
      </c>
      <c r="BD375" s="8" t="s">
        <v>98</v>
      </c>
      <c r="BE375" s="4" t="s">
        <v>98</v>
      </c>
      <c r="BF375" s="8" t="s">
        <v>98</v>
      </c>
      <c r="BG375" s="7" t="s">
        <v>98</v>
      </c>
      <c r="BH375" s="7" t="s">
        <v>98</v>
      </c>
      <c r="BI375" s="7"/>
      <c r="BJ375" s="4">
        <v>1</v>
      </c>
      <c r="BK375" s="8">
        <v>298.11</v>
      </c>
      <c r="BL375" s="2" t="s">
        <v>2187</v>
      </c>
      <c r="BM375" s="7"/>
      <c r="BN375" s="7"/>
      <c r="BO375" s="4"/>
      <c r="BP375" s="8"/>
      <c r="BQ375" s="4"/>
      <c r="BR375" s="8"/>
      <c r="BS375" s="7"/>
      <c r="BT375" s="7"/>
      <c r="BU375" s="2" t="s">
        <v>107</v>
      </c>
      <c r="BV375" s="2" t="s">
        <v>1355</v>
      </c>
      <c r="BW375" s="2" t="s">
        <v>1454</v>
      </c>
      <c r="BX375" s="2" t="s">
        <v>2188</v>
      </c>
      <c r="BY375" s="2" t="s">
        <v>110</v>
      </c>
      <c r="BZ375" s="2" t="s">
        <v>98</v>
      </c>
    </row>
    <row r="376">
      <c r="A376" s="2" t="s">
        <v>2189</v>
      </c>
      <c r="B376" s="2" t="s">
        <v>1345</v>
      </c>
      <c r="C376" s="2" t="s">
        <v>88</v>
      </c>
      <c r="D376" s="2" t="s">
        <v>1946</v>
      </c>
      <c r="E376" s="2" t="s">
        <v>2142</v>
      </c>
      <c r="F376" s="2" t="s">
        <v>2183</v>
      </c>
      <c r="G376" s="2" t="s">
        <v>2184</v>
      </c>
      <c r="H376" s="2" t="s">
        <v>2185</v>
      </c>
      <c r="I376" s="2" t="s">
        <v>2146</v>
      </c>
      <c r="J376" s="2" t="s">
        <v>93</v>
      </c>
      <c r="K376" s="2" t="s">
        <v>2190</v>
      </c>
      <c r="L376" s="3">
        <v>270.75</v>
      </c>
      <c r="M376" s="3">
        <v>284.29</v>
      </c>
      <c r="N376" s="3">
        <v>569</v>
      </c>
      <c r="O376" s="2" t="s">
        <v>95</v>
      </c>
      <c r="P376" s="2" t="s">
        <v>134</v>
      </c>
      <c r="Q376" s="2" t="s">
        <v>97</v>
      </c>
      <c r="R376" s="2" t="s">
        <v>98</v>
      </c>
      <c r="S376" s="2" t="s">
        <v>98</v>
      </c>
      <c r="T376" s="2" t="s">
        <v>98</v>
      </c>
      <c r="U376" s="2" t="s">
        <v>117</v>
      </c>
      <c r="V376" s="2" t="s">
        <v>118</v>
      </c>
      <c r="W376" s="2" t="s">
        <v>103</v>
      </c>
      <c r="X376" s="2" t="s">
        <v>314</v>
      </c>
      <c r="Y376" s="2" t="s">
        <v>2191</v>
      </c>
      <c r="Z376" s="4">
        <v>2</v>
      </c>
      <c r="AA376" s="4">
        <f>=ROUNDDOWN(0.25,0)</f>
      </c>
      <c r="AB376" s="5">
        <v>8</v>
      </c>
      <c r="AC376" s="2" t="s">
        <v>2027</v>
      </c>
      <c r="AD376" s="4">
        <v>100</v>
      </c>
      <c r="AE376" s="4">
        <v>193</v>
      </c>
      <c r="AF376" s="6">
        <v>65</v>
      </c>
      <c r="AG376" s="6">
        <v>48</v>
      </c>
      <c r="AH376" s="7">
        <v>0</v>
      </c>
      <c r="AI376" s="4"/>
      <c r="AJ376" s="4">
        <f>=ROUNDDOWN({0},0)</f>
      </c>
      <c r="AK376" s="5"/>
      <c r="AL376" s="2" t="s">
        <v>98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98</v>
      </c>
      <c r="BD376" s="8" t="s">
        <v>98</v>
      </c>
      <c r="BE376" s="4" t="s">
        <v>98</v>
      </c>
      <c r="BF376" s="8" t="s">
        <v>98</v>
      </c>
      <c r="BG376" s="7" t="s">
        <v>98</v>
      </c>
      <c r="BH376" s="7" t="s">
        <v>98</v>
      </c>
      <c r="BI376" s="7"/>
      <c r="BJ376" s="4"/>
      <c r="BK376" s="8"/>
      <c r="BL376" s="2" t="s">
        <v>98</v>
      </c>
      <c r="BM376" s="7"/>
      <c r="BN376" s="7"/>
      <c r="BO376" s="4"/>
      <c r="BP376" s="8"/>
      <c r="BQ376" s="4"/>
      <c r="BR376" s="8"/>
      <c r="BS376" s="7"/>
      <c r="BT376" s="7"/>
      <c r="BU376" s="2" t="s">
        <v>1376</v>
      </c>
      <c r="BV376" s="2" t="s">
        <v>95</v>
      </c>
      <c r="BW376" s="2" t="s">
        <v>98</v>
      </c>
      <c r="BX376" s="2" t="s">
        <v>98</v>
      </c>
      <c r="BY376" s="2" t="s">
        <v>110</v>
      </c>
      <c r="BZ376" s="2" t="s">
        <v>98</v>
      </c>
    </row>
    <row r="377">
      <c r="A377" s="2" t="s">
        <v>2192</v>
      </c>
      <c r="B377" s="2" t="s">
        <v>1345</v>
      </c>
      <c r="C377" s="2" t="s">
        <v>88</v>
      </c>
      <c r="D377" s="2" t="s">
        <v>1946</v>
      </c>
      <c r="E377" s="2" t="s">
        <v>2142</v>
      </c>
      <c r="F377" s="2" t="s">
        <v>2193</v>
      </c>
      <c r="G377" s="2" t="s">
        <v>2194</v>
      </c>
      <c r="H377" s="2" t="s">
        <v>2195</v>
      </c>
      <c r="I377" s="2" t="s">
        <v>2146</v>
      </c>
      <c r="J377" s="2" t="s">
        <v>93</v>
      </c>
      <c r="K377" s="2" t="s">
        <v>133</v>
      </c>
      <c r="L377" s="3">
        <v>265</v>
      </c>
      <c r="M377" s="3">
        <v>278.25</v>
      </c>
      <c r="N377" s="3">
        <v>559</v>
      </c>
      <c r="O377" s="2" t="s">
        <v>155</v>
      </c>
      <c r="P377" s="2" t="s">
        <v>115</v>
      </c>
      <c r="Q377" s="2" t="s">
        <v>97</v>
      </c>
      <c r="R377" s="2" t="s">
        <v>98</v>
      </c>
      <c r="S377" s="2" t="s">
        <v>2196</v>
      </c>
      <c r="T377" s="2" t="s">
        <v>98</v>
      </c>
      <c r="U377" s="2" t="s">
        <v>98</v>
      </c>
      <c r="V377" s="2" t="s">
        <v>439</v>
      </c>
      <c r="W377" s="2" t="s">
        <v>103</v>
      </c>
      <c r="X377" s="2" t="s">
        <v>98</v>
      </c>
      <c r="Y377" s="2" t="s">
        <v>427</v>
      </c>
      <c r="Z377" s="4"/>
      <c r="AA377" s="4">
        <f>=ROUNDDOWN({0},0)</f>
      </c>
      <c r="AB377" s="5"/>
      <c r="AC377" s="2" t="s">
        <v>98</v>
      </c>
      <c r="AD377" s="4"/>
      <c r="AE377" s="4"/>
      <c r="AF377" s="6">
        <v>65</v>
      </c>
      <c r="AG377" s="6">
        <v>48</v>
      </c>
      <c r="AH377" s="7">
        <v>0</v>
      </c>
      <c r="AI377" s="4"/>
      <c r="AJ377" s="4">
        <f>=ROUNDDOWN({0},0)</f>
      </c>
      <c r="AK377" s="5"/>
      <c r="AL377" s="2" t="s">
        <v>98</v>
      </c>
      <c r="AM377" s="4"/>
      <c r="AN377" s="4"/>
      <c r="AO377" s="7">
        <v>0</v>
      </c>
      <c r="AP377" s="4"/>
      <c r="AQ377" s="8"/>
      <c r="AR377" s="4">
        <v>2</v>
      </c>
      <c r="AS377" s="8">
        <v>463.18</v>
      </c>
      <c r="AT377" s="7">
        <v>-1</v>
      </c>
      <c r="AU377" s="7">
        <v>-1</v>
      </c>
      <c r="AV377" s="4"/>
      <c r="AW377" s="8"/>
      <c r="AX377" s="4">
        <v>2</v>
      </c>
      <c r="AY377" s="8">
        <v>463.18</v>
      </c>
      <c r="AZ377" s="7">
        <v>-1</v>
      </c>
      <c r="BA377" s="7">
        <v>-1</v>
      </c>
      <c r="BB377" s="7"/>
      <c r="BC377" s="4"/>
      <c r="BD377" s="8"/>
      <c r="BE377" s="4">
        <v>2</v>
      </c>
      <c r="BF377" s="8">
        <v>463.18</v>
      </c>
      <c r="BG377" s="7">
        <v>-1</v>
      </c>
      <c r="BH377" s="7">
        <v>-1</v>
      </c>
      <c r="BI377" s="7"/>
      <c r="BJ377" s="4"/>
      <c r="BK377" s="8"/>
      <c r="BL377" s="2" t="s">
        <v>2197</v>
      </c>
      <c r="BM377" s="7"/>
      <c r="BN377" s="7"/>
      <c r="BO377" s="4"/>
      <c r="BP377" s="8"/>
      <c r="BQ377" s="4">
        <v>2</v>
      </c>
      <c r="BR377" s="8">
        <v>463.18</v>
      </c>
      <c r="BS377" s="7">
        <v>-1</v>
      </c>
      <c r="BT377" s="7">
        <v>-1</v>
      </c>
      <c r="BU377" s="2" t="s">
        <v>107</v>
      </c>
      <c r="BV377" s="2" t="s">
        <v>1355</v>
      </c>
      <c r="BW377" s="2" t="s">
        <v>1472</v>
      </c>
      <c r="BX377" s="2" t="s">
        <v>2198</v>
      </c>
      <c r="BY377" s="2" t="s">
        <v>110</v>
      </c>
      <c r="BZ377" s="2" t="s">
        <v>98</v>
      </c>
    </row>
    <row r="378">
      <c r="A378" s="2" t="s">
        <v>2199</v>
      </c>
      <c r="B378" s="2" t="s">
        <v>1345</v>
      </c>
      <c r="C378" s="2" t="s">
        <v>88</v>
      </c>
      <c r="D378" s="2" t="s">
        <v>1946</v>
      </c>
      <c r="E378" s="2" t="s">
        <v>2142</v>
      </c>
      <c r="F378" s="2" t="s">
        <v>2200</v>
      </c>
      <c r="G378" s="2" t="s">
        <v>2201</v>
      </c>
      <c r="H378" s="2" t="s">
        <v>2202</v>
      </c>
      <c r="I378" s="2" t="s">
        <v>2146</v>
      </c>
      <c r="J378" s="2" t="s">
        <v>93</v>
      </c>
      <c r="K378" s="2" t="s">
        <v>133</v>
      </c>
      <c r="L378" s="3">
        <v>217.8</v>
      </c>
      <c r="M378" s="3">
        <v>228.69</v>
      </c>
      <c r="N378" s="3">
        <v>459</v>
      </c>
      <c r="O378" s="2" t="s">
        <v>95</v>
      </c>
      <c r="P378" s="2" t="s">
        <v>142</v>
      </c>
      <c r="Q378" s="2" t="s">
        <v>97</v>
      </c>
      <c r="R378" s="2" t="s">
        <v>98</v>
      </c>
      <c r="S378" s="2" t="s">
        <v>98</v>
      </c>
      <c r="T378" s="2" t="s">
        <v>98</v>
      </c>
      <c r="U378" s="2" t="s">
        <v>117</v>
      </c>
      <c r="V378" s="2" t="s">
        <v>296</v>
      </c>
      <c r="W378" s="2" t="s">
        <v>103</v>
      </c>
      <c r="X378" s="2" t="s">
        <v>119</v>
      </c>
      <c r="Y378" s="2" t="s">
        <v>2203</v>
      </c>
      <c r="Z378" s="4">
        <v>68</v>
      </c>
      <c r="AA378" s="4">
        <f>=ROUNDDOWN(13.6,0)</f>
      </c>
      <c r="AB378" s="5">
        <v>5</v>
      </c>
      <c r="AC378" s="2" t="s">
        <v>1088</v>
      </c>
      <c r="AD378" s="4">
        <v>100</v>
      </c>
      <c r="AE378" s="4">
        <v>100</v>
      </c>
      <c r="AF378" s="6">
        <v>67</v>
      </c>
      <c r="AG378" s="6">
        <v>50</v>
      </c>
      <c r="AH378" s="7">
        <v>1</v>
      </c>
      <c r="AI378" s="4"/>
      <c r="AJ378" s="4">
        <f>=ROUNDDOWN({0},0)</f>
      </c>
      <c r="AK378" s="5"/>
      <c r="AL378" s="2" t="s">
        <v>98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>
        <v>3</v>
      </c>
      <c r="BK378" s="8">
        <v>695.7</v>
      </c>
      <c r="BL378" s="2" t="s">
        <v>1625</v>
      </c>
      <c r="BM378" s="7"/>
      <c r="BN378" s="7"/>
      <c r="BO378" s="4"/>
      <c r="BP378" s="8"/>
      <c r="BQ378" s="4"/>
      <c r="BR378" s="8"/>
      <c r="BS378" s="7"/>
      <c r="BT378" s="7"/>
      <c r="BU378" s="2" t="s">
        <v>1376</v>
      </c>
      <c r="BV378" s="2" t="s">
        <v>95</v>
      </c>
      <c r="BW378" s="2" t="s">
        <v>98</v>
      </c>
      <c r="BX378" s="2" t="s">
        <v>98</v>
      </c>
      <c r="BY378" s="2" t="s">
        <v>110</v>
      </c>
      <c r="BZ378" s="2" t="s">
        <v>98</v>
      </c>
    </row>
    <row r="379">
      <c r="A379" s="2" t="s">
        <v>2204</v>
      </c>
      <c r="B379" s="2" t="s">
        <v>1345</v>
      </c>
      <c r="C379" s="2" t="s">
        <v>88</v>
      </c>
      <c r="D379" s="2" t="s">
        <v>2205</v>
      </c>
      <c r="E379" s="2" t="s">
        <v>1876</v>
      </c>
      <c r="F379" s="2" t="s">
        <v>2206</v>
      </c>
      <c r="G379" s="2" t="s">
        <v>2207</v>
      </c>
      <c r="H379" s="2" t="s">
        <v>2208</v>
      </c>
      <c r="I379" s="2" t="s">
        <v>2209</v>
      </c>
      <c r="J379" s="2" t="s">
        <v>93</v>
      </c>
      <c r="K379" s="2" t="s">
        <v>1439</v>
      </c>
      <c r="L379" s="3">
        <v>284.75</v>
      </c>
      <c r="M379" s="3">
        <v>298.99</v>
      </c>
      <c r="N379" s="3">
        <v>599</v>
      </c>
      <c r="O379" s="2" t="s">
        <v>95</v>
      </c>
      <c r="P379" s="2" t="s">
        <v>163</v>
      </c>
      <c r="Q379" s="2" t="s">
        <v>97</v>
      </c>
      <c r="R379" s="2" t="s">
        <v>98</v>
      </c>
      <c r="S379" s="2" t="s">
        <v>98</v>
      </c>
      <c r="T379" s="2" t="s">
        <v>98</v>
      </c>
      <c r="U379" s="2" t="s">
        <v>100</v>
      </c>
      <c r="V379" s="2" t="s">
        <v>439</v>
      </c>
      <c r="W379" s="2" t="s">
        <v>102</v>
      </c>
      <c r="X379" s="2" t="s">
        <v>98</v>
      </c>
      <c r="Y379" s="2" t="s">
        <v>2210</v>
      </c>
      <c r="Z379" s="4">
        <v>364</v>
      </c>
      <c r="AA379" s="4">
        <f>=ROUNDDOWN(11.375,0)</f>
      </c>
      <c r="AB379" s="5">
        <v>32</v>
      </c>
      <c r="AC379" s="2" t="s">
        <v>1533</v>
      </c>
      <c r="AD379" s="4">
        <v>180</v>
      </c>
      <c r="AE379" s="4">
        <v>659</v>
      </c>
      <c r="AF379" s="6">
        <v>67</v>
      </c>
      <c r="AG379" s="6">
        <v>50</v>
      </c>
      <c r="AH379" s="7">
        <v>1</v>
      </c>
      <c r="AI379" s="4"/>
      <c r="AJ379" s="4">
        <f>=ROUNDDOWN({0},0)</f>
      </c>
      <c r="AK379" s="5"/>
      <c r="AL379" s="2" t="s">
        <v>98</v>
      </c>
      <c r="AM379" s="4"/>
      <c r="AN379" s="4"/>
      <c r="AO379" s="7">
        <v>0</v>
      </c>
      <c r="AP379" s="4">
        <v>4</v>
      </c>
      <c r="AQ379" s="8">
        <v>1022.6</v>
      </c>
      <c r="AR379" s="4"/>
      <c r="AS379" s="8"/>
      <c r="AT379" s="7"/>
      <c r="AU379" s="7"/>
      <c r="AV379" s="4">
        <v>4</v>
      </c>
      <c r="AW379" s="8">
        <v>1022.6</v>
      </c>
      <c r="AX379" s="4"/>
      <c r="AY379" s="8"/>
      <c r="AZ379" s="7"/>
      <c r="BA379" s="7"/>
      <c r="BB379" s="7">
        <v>1</v>
      </c>
      <c r="BC379" s="4">
        <v>4</v>
      </c>
      <c r="BD379" s="8">
        <v>1022.6</v>
      </c>
      <c r="BE379" s="4" t="s">
        <v>98</v>
      </c>
      <c r="BF379" s="8" t="s">
        <v>98</v>
      </c>
      <c r="BG379" s="7" t="s">
        <v>98</v>
      </c>
      <c r="BH379" s="7" t="s">
        <v>98</v>
      </c>
      <c r="BI379" s="7">
        <v>1</v>
      </c>
      <c r="BJ379" s="4">
        <v>13</v>
      </c>
      <c r="BK379" s="8">
        <v>3645.52</v>
      </c>
      <c r="BL379" s="2" t="s">
        <v>2211</v>
      </c>
      <c r="BM379" s="7">
        <v>0.3077</v>
      </c>
      <c r="BN379" s="7">
        <v>0.2805</v>
      </c>
      <c r="BO379" s="4">
        <v>4</v>
      </c>
      <c r="BP379" s="8">
        <v>1022.6</v>
      </c>
      <c r="BQ379" s="4"/>
      <c r="BR379" s="8"/>
      <c r="BS379" s="7"/>
      <c r="BT379" s="7"/>
      <c r="BU379" s="2" t="s">
        <v>107</v>
      </c>
      <c r="BV379" s="2" t="s">
        <v>1355</v>
      </c>
      <c r="BW379" s="2" t="s">
        <v>1512</v>
      </c>
      <c r="BX379" s="2" t="s">
        <v>2212</v>
      </c>
      <c r="BY379" s="2" t="s">
        <v>110</v>
      </c>
      <c r="BZ379" s="2" t="s">
        <v>98</v>
      </c>
    </row>
    <row r="380">
      <c r="A380" s="2" t="s">
        <v>2213</v>
      </c>
      <c r="B380" s="2" t="s">
        <v>1345</v>
      </c>
      <c r="C380" s="2" t="s">
        <v>88</v>
      </c>
      <c r="D380" s="2" t="s">
        <v>2205</v>
      </c>
      <c r="E380" s="2" t="s">
        <v>1876</v>
      </c>
      <c r="F380" s="2" t="s">
        <v>2206</v>
      </c>
      <c r="G380" s="2" t="s">
        <v>2207</v>
      </c>
      <c r="H380" s="2" t="s">
        <v>2208</v>
      </c>
      <c r="I380" s="2" t="s">
        <v>2209</v>
      </c>
      <c r="J380" s="2" t="s">
        <v>93</v>
      </c>
      <c r="K380" s="2" t="s">
        <v>133</v>
      </c>
      <c r="L380" s="3">
        <v>284.75</v>
      </c>
      <c r="M380" s="3">
        <v>298.99</v>
      </c>
      <c r="N380" s="3">
        <v>599</v>
      </c>
      <c r="O380" s="2" t="s">
        <v>95</v>
      </c>
      <c r="P380" s="2" t="s">
        <v>134</v>
      </c>
      <c r="Q380" s="2" t="s">
        <v>97</v>
      </c>
      <c r="R380" s="2" t="s">
        <v>98</v>
      </c>
      <c r="S380" s="2" t="s">
        <v>98</v>
      </c>
      <c r="T380" s="2" t="s">
        <v>98</v>
      </c>
      <c r="U380" s="2" t="s">
        <v>100</v>
      </c>
      <c r="V380" s="2" t="s">
        <v>296</v>
      </c>
      <c r="W380" s="2" t="s">
        <v>102</v>
      </c>
      <c r="X380" s="2" t="s">
        <v>98</v>
      </c>
      <c r="Y380" s="2" t="s">
        <v>2214</v>
      </c>
      <c r="Z380" s="4">
        <v>83</v>
      </c>
      <c r="AA380" s="4">
        <f>=ROUNDDOWN(7.54545454545455,0)</f>
      </c>
      <c r="AB380" s="5">
        <v>11</v>
      </c>
      <c r="AC380" s="2" t="s">
        <v>1533</v>
      </c>
      <c r="AD380" s="4">
        <v>80</v>
      </c>
      <c r="AE380" s="4">
        <v>230</v>
      </c>
      <c r="AF380" s="6">
        <v>67</v>
      </c>
      <c r="AG380" s="6">
        <v>50</v>
      </c>
      <c r="AH380" s="7">
        <v>1</v>
      </c>
      <c r="AI380" s="4"/>
      <c r="AJ380" s="4">
        <f>=ROUNDDOWN({0},0)</f>
      </c>
      <c r="AK380" s="5"/>
      <c r="AL380" s="2" t="s">
        <v>98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 t="s">
        <v>98</v>
      </c>
      <c r="BD380" s="8" t="s">
        <v>98</v>
      </c>
      <c r="BE380" s="4" t="s">
        <v>98</v>
      </c>
      <c r="BF380" s="8" t="s">
        <v>98</v>
      </c>
      <c r="BG380" s="7" t="s">
        <v>98</v>
      </c>
      <c r="BH380" s="7" t="s">
        <v>98</v>
      </c>
      <c r="BI380" s="7"/>
      <c r="BJ380" s="4">
        <v>17</v>
      </c>
      <c r="BK380" s="8">
        <v>4968.68</v>
      </c>
      <c r="BL380" s="2" t="s">
        <v>2215</v>
      </c>
      <c r="BM380" s="7"/>
      <c r="BN380" s="7"/>
      <c r="BO380" s="4"/>
      <c r="BP380" s="8"/>
      <c r="BQ380" s="4"/>
      <c r="BR380" s="8"/>
      <c r="BS380" s="7"/>
      <c r="BT380" s="7"/>
      <c r="BU380" s="2" t="s">
        <v>1376</v>
      </c>
      <c r="BV380" s="2" t="s">
        <v>1355</v>
      </c>
      <c r="BW380" s="2" t="s">
        <v>98</v>
      </c>
      <c r="BX380" s="2" t="s">
        <v>98</v>
      </c>
      <c r="BY380" s="2" t="s">
        <v>110</v>
      </c>
      <c r="BZ380" s="2" t="s">
        <v>98</v>
      </c>
    </row>
    <row r="381">
      <c r="A381" s="2" t="s">
        <v>2216</v>
      </c>
      <c r="B381" s="2" t="s">
        <v>1345</v>
      </c>
      <c r="C381" s="2" t="s">
        <v>88</v>
      </c>
      <c r="D381" s="2" t="s">
        <v>2205</v>
      </c>
      <c r="E381" s="2" t="s">
        <v>1876</v>
      </c>
      <c r="F381" s="2" t="s">
        <v>2217</v>
      </c>
      <c r="G381" s="2" t="s">
        <v>2218</v>
      </c>
      <c r="H381" s="2" t="s">
        <v>2219</v>
      </c>
      <c r="I381" s="2" t="s">
        <v>2220</v>
      </c>
      <c r="J381" s="2" t="s">
        <v>93</v>
      </c>
      <c r="K381" s="2" t="s">
        <v>1419</v>
      </c>
      <c r="L381" s="3">
        <v>142.6</v>
      </c>
      <c r="M381" s="3">
        <v>149.73</v>
      </c>
      <c r="N381" s="3">
        <v>299</v>
      </c>
      <c r="O381" s="2" t="s">
        <v>95</v>
      </c>
      <c r="P381" s="2" t="s">
        <v>134</v>
      </c>
      <c r="Q381" s="2" t="s">
        <v>97</v>
      </c>
      <c r="R381" s="2" t="s">
        <v>98</v>
      </c>
      <c r="S381" s="2" t="s">
        <v>2221</v>
      </c>
      <c r="T381" s="2" t="s">
        <v>98</v>
      </c>
      <c r="U381" s="2" t="s">
        <v>98</v>
      </c>
      <c r="V381" s="2" t="s">
        <v>439</v>
      </c>
      <c r="W381" s="2" t="s">
        <v>102</v>
      </c>
      <c r="X381" s="2" t="s">
        <v>98</v>
      </c>
      <c r="Y381" s="2" t="s">
        <v>366</v>
      </c>
      <c r="Z381" s="4">
        <v>142</v>
      </c>
      <c r="AA381" s="4">
        <f>=ROUNDDOWN(34.6341463414634,0)</f>
      </c>
      <c r="AB381" s="5">
        <v>4.1</v>
      </c>
      <c r="AC381" s="2" t="s">
        <v>2222</v>
      </c>
      <c r="AD381" s="4">
        <v>100</v>
      </c>
      <c r="AE381" s="4">
        <v>100</v>
      </c>
      <c r="AF381" s="6">
        <v>74</v>
      </c>
      <c r="AG381" s="6"/>
      <c r="AH381" s="7">
        <v>1</v>
      </c>
      <c r="AI381" s="4"/>
      <c r="AJ381" s="4">
        <f>=ROUNDDOWN({0},0)</f>
      </c>
      <c r="AK381" s="5"/>
      <c r="AL381" s="2" t="s">
        <v>98</v>
      </c>
      <c r="AM381" s="4"/>
      <c r="AN381" s="4"/>
      <c r="AO381" s="7">
        <v>0</v>
      </c>
      <c r="AP381" s="4">
        <v>2</v>
      </c>
      <c r="AQ381" s="8">
        <v>305.7</v>
      </c>
      <c r="AR381" s="4"/>
      <c r="AS381" s="8"/>
      <c r="AT381" s="7"/>
      <c r="AU381" s="7"/>
      <c r="AV381" s="4">
        <v>2</v>
      </c>
      <c r="AW381" s="8">
        <v>305.7</v>
      </c>
      <c r="AX381" s="4"/>
      <c r="AY381" s="8"/>
      <c r="AZ381" s="7"/>
      <c r="BA381" s="7"/>
      <c r="BB381" s="7">
        <v>1</v>
      </c>
      <c r="BC381" s="4">
        <v>3</v>
      </c>
      <c r="BD381" s="8">
        <v>458.55</v>
      </c>
      <c r="BE381" s="4">
        <v>2</v>
      </c>
      <c r="BF381" s="8">
        <v>305.7</v>
      </c>
      <c r="BG381" s="7">
        <v>0.5</v>
      </c>
      <c r="BH381" s="7">
        <v>0.5</v>
      </c>
      <c r="BI381" s="7">
        <v>0.6667</v>
      </c>
      <c r="BJ381" s="4">
        <v>4</v>
      </c>
      <c r="BK381" s="8">
        <v>593.76</v>
      </c>
      <c r="BL381" s="2" t="s">
        <v>2223</v>
      </c>
      <c r="BM381" s="7">
        <v>0.5</v>
      </c>
      <c r="BN381" s="7">
        <v>0.5149</v>
      </c>
      <c r="BO381" s="4">
        <v>2</v>
      </c>
      <c r="BP381" s="8">
        <v>305.7</v>
      </c>
      <c r="BQ381" s="4"/>
      <c r="BR381" s="8"/>
      <c r="BS381" s="7"/>
      <c r="BT381" s="7"/>
      <c r="BU381" s="2" t="s">
        <v>107</v>
      </c>
      <c r="BV381" s="2" t="s">
        <v>1355</v>
      </c>
      <c r="BW381" s="2" t="s">
        <v>1356</v>
      </c>
      <c r="BX381" s="2" t="s">
        <v>2224</v>
      </c>
      <c r="BY381" s="2" t="s">
        <v>110</v>
      </c>
      <c r="BZ381" s="2" t="s">
        <v>98</v>
      </c>
    </row>
    <row r="382">
      <c r="A382" s="2" t="s">
        <v>2225</v>
      </c>
      <c r="B382" s="2" t="s">
        <v>1345</v>
      </c>
      <c r="C382" s="2" t="s">
        <v>88</v>
      </c>
      <c r="D382" s="2" t="s">
        <v>2205</v>
      </c>
      <c r="E382" s="2" t="s">
        <v>1876</v>
      </c>
      <c r="F382" s="2" t="s">
        <v>2217</v>
      </c>
      <c r="G382" s="2" t="s">
        <v>2218</v>
      </c>
      <c r="H382" s="2" t="s">
        <v>2219</v>
      </c>
      <c r="I382" s="2" t="s">
        <v>2220</v>
      </c>
      <c r="J382" s="2" t="s">
        <v>93</v>
      </c>
      <c r="K382" s="2" t="s">
        <v>1450</v>
      </c>
      <c r="L382" s="3">
        <v>142.6</v>
      </c>
      <c r="M382" s="3">
        <v>149.73</v>
      </c>
      <c r="N382" s="3">
        <v>299</v>
      </c>
      <c r="O382" s="2" t="s">
        <v>95</v>
      </c>
      <c r="P382" s="2" t="s">
        <v>134</v>
      </c>
      <c r="Q382" s="2" t="s">
        <v>97</v>
      </c>
      <c r="R382" s="2" t="s">
        <v>98</v>
      </c>
      <c r="S382" s="2" t="s">
        <v>2226</v>
      </c>
      <c r="T382" s="2" t="s">
        <v>98</v>
      </c>
      <c r="U382" s="2" t="s">
        <v>98</v>
      </c>
      <c r="V382" s="2" t="s">
        <v>439</v>
      </c>
      <c r="W382" s="2" t="s">
        <v>102</v>
      </c>
      <c r="X382" s="2" t="s">
        <v>98</v>
      </c>
      <c r="Y382" s="2" t="s">
        <v>366</v>
      </c>
      <c r="Z382" s="4">
        <v>78</v>
      </c>
      <c r="AA382" s="4">
        <f>=ROUNDDOWN(14.1818181818182,0)</f>
      </c>
      <c r="AB382" s="5">
        <v>5.5</v>
      </c>
      <c r="AC382" s="2" t="s">
        <v>1374</v>
      </c>
      <c r="AD382" s="4">
        <v>58</v>
      </c>
      <c r="AE382" s="4">
        <v>220</v>
      </c>
      <c r="AF382" s="6">
        <v>74</v>
      </c>
      <c r="AG382" s="6">
        <v>60</v>
      </c>
      <c r="AH382" s="7">
        <v>1</v>
      </c>
      <c r="AI382" s="4"/>
      <c r="AJ382" s="4">
        <f>=ROUNDDOWN({0},0)</f>
      </c>
      <c r="AK382" s="5"/>
      <c r="AL382" s="2" t="s">
        <v>98</v>
      </c>
      <c r="AM382" s="4"/>
      <c r="AN382" s="4"/>
      <c r="AO382" s="7">
        <v>0</v>
      </c>
      <c r="AP382" s="4">
        <v>1</v>
      </c>
      <c r="AQ382" s="8">
        <v>152.85</v>
      </c>
      <c r="AR382" s="4">
        <v>1</v>
      </c>
      <c r="AS382" s="8">
        <v>152.85</v>
      </c>
      <c r="AT382" s="7"/>
      <c r="AU382" s="7"/>
      <c r="AV382" s="4">
        <v>1</v>
      </c>
      <c r="AW382" s="8">
        <v>152.85</v>
      </c>
      <c r="AX382" s="4">
        <v>1</v>
      </c>
      <c r="AY382" s="8">
        <v>152.85</v>
      </c>
      <c r="AZ382" s="7"/>
      <c r="BA382" s="7"/>
      <c r="BB382" s="7">
        <v>1</v>
      </c>
      <c r="BC382" s="4" t="s">
        <v>98</v>
      </c>
      <c r="BD382" s="8" t="s">
        <v>98</v>
      </c>
      <c r="BE382" s="4" t="s">
        <v>98</v>
      </c>
      <c r="BF382" s="8" t="s">
        <v>98</v>
      </c>
      <c r="BG382" s="7" t="s">
        <v>98</v>
      </c>
      <c r="BH382" s="7" t="s">
        <v>98</v>
      </c>
      <c r="BI382" s="7">
        <v>0.3333</v>
      </c>
      <c r="BJ382" s="4">
        <v>4</v>
      </c>
      <c r="BK382" s="8">
        <v>512.85</v>
      </c>
      <c r="BL382" s="2" t="s">
        <v>2227</v>
      </c>
      <c r="BM382" s="7">
        <v>0.25</v>
      </c>
      <c r="BN382" s="7">
        <v>0.298</v>
      </c>
      <c r="BO382" s="4">
        <v>1</v>
      </c>
      <c r="BP382" s="8">
        <v>152.85</v>
      </c>
      <c r="BQ382" s="4">
        <v>1</v>
      </c>
      <c r="BR382" s="8">
        <v>152.85</v>
      </c>
      <c r="BS382" s="7"/>
      <c r="BT382" s="7"/>
      <c r="BU382" s="2" t="s">
        <v>107</v>
      </c>
      <c r="BV382" s="2" t="s">
        <v>1355</v>
      </c>
      <c r="BW382" s="2" t="s">
        <v>1356</v>
      </c>
      <c r="BX382" s="2" t="s">
        <v>2228</v>
      </c>
      <c r="BY382" s="2" t="s">
        <v>110</v>
      </c>
      <c r="BZ382" s="2" t="s">
        <v>98</v>
      </c>
    </row>
    <row r="383">
      <c r="A383" s="2" t="s">
        <v>2229</v>
      </c>
      <c r="B383" s="2" t="s">
        <v>1345</v>
      </c>
      <c r="C383" s="2" t="s">
        <v>88</v>
      </c>
      <c r="D383" s="2" t="s">
        <v>2205</v>
      </c>
      <c r="E383" s="2" t="s">
        <v>1876</v>
      </c>
      <c r="F383" s="2" t="s">
        <v>2217</v>
      </c>
      <c r="G383" s="2" t="s">
        <v>2218</v>
      </c>
      <c r="H383" s="2" t="s">
        <v>2219</v>
      </c>
      <c r="I383" s="2" t="s">
        <v>2220</v>
      </c>
      <c r="J383" s="2" t="s">
        <v>93</v>
      </c>
      <c r="K383" s="2" t="s">
        <v>514</v>
      </c>
      <c r="L383" s="3">
        <v>142.6</v>
      </c>
      <c r="M383" s="3">
        <v>149.73</v>
      </c>
      <c r="N383" s="3">
        <v>299</v>
      </c>
      <c r="O383" s="2" t="s">
        <v>95</v>
      </c>
      <c r="P383" s="2" t="s">
        <v>134</v>
      </c>
      <c r="Q383" s="2" t="s">
        <v>97</v>
      </c>
      <c r="R383" s="2" t="s">
        <v>98</v>
      </c>
      <c r="S383" s="2" t="s">
        <v>2230</v>
      </c>
      <c r="T383" s="2" t="s">
        <v>98</v>
      </c>
      <c r="U383" s="2" t="s">
        <v>98</v>
      </c>
      <c r="V383" s="2" t="s">
        <v>439</v>
      </c>
      <c r="W383" s="2" t="s">
        <v>102</v>
      </c>
      <c r="X383" s="2" t="s">
        <v>98</v>
      </c>
      <c r="Y383" s="2" t="s">
        <v>366</v>
      </c>
      <c r="Z383" s="4">
        <v>158</v>
      </c>
      <c r="AA383" s="4">
        <f>=ROUNDDOWN(33.6170212765957,0)</f>
      </c>
      <c r="AB383" s="5">
        <v>4.7</v>
      </c>
      <c r="AC383" s="2" t="s">
        <v>98</v>
      </c>
      <c r="AD383" s="4"/>
      <c r="AE383" s="4"/>
      <c r="AF383" s="6">
        <v>74</v>
      </c>
      <c r="AG383" s="6"/>
      <c r="AH383" s="7">
        <v>1</v>
      </c>
      <c r="AI383" s="4"/>
      <c r="AJ383" s="4">
        <f>=ROUNDDOWN({0},0)</f>
      </c>
      <c r="AK383" s="5"/>
      <c r="AL383" s="2" t="s">
        <v>98</v>
      </c>
      <c r="AM383" s="4"/>
      <c r="AN383" s="4"/>
      <c r="AO383" s="7">
        <v>0</v>
      </c>
      <c r="AP383" s="4"/>
      <c r="AQ383" s="8"/>
      <c r="AR383" s="4">
        <v>1</v>
      </c>
      <c r="AS383" s="8">
        <v>152.85</v>
      </c>
      <c r="AT383" s="7">
        <v>-1</v>
      </c>
      <c r="AU383" s="7">
        <v>-1</v>
      </c>
      <c r="AV383" s="4"/>
      <c r="AW383" s="8"/>
      <c r="AX383" s="4">
        <v>1</v>
      </c>
      <c r="AY383" s="8">
        <v>152.85</v>
      </c>
      <c r="AZ383" s="7">
        <v>-1</v>
      </c>
      <c r="BA383" s="7">
        <v>-1</v>
      </c>
      <c r="BB383" s="7"/>
      <c r="BC383" s="4" t="s">
        <v>98</v>
      </c>
      <c r="BD383" s="8" t="s">
        <v>98</v>
      </c>
      <c r="BE383" s="4" t="s">
        <v>98</v>
      </c>
      <c r="BF383" s="8" t="s">
        <v>98</v>
      </c>
      <c r="BG383" s="7" t="s">
        <v>98</v>
      </c>
      <c r="BH383" s="7" t="s">
        <v>98</v>
      </c>
      <c r="BI383" s="7"/>
      <c r="BJ383" s="4">
        <v>2</v>
      </c>
      <c r="BK383" s="8">
        <v>336.02</v>
      </c>
      <c r="BL383" s="2" t="s">
        <v>2231</v>
      </c>
      <c r="BM383" s="7"/>
      <c r="BN383" s="7"/>
      <c r="BO383" s="4"/>
      <c r="BP383" s="8"/>
      <c r="BQ383" s="4">
        <v>1</v>
      </c>
      <c r="BR383" s="8">
        <v>152.85</v>
      </c>
      <c r="BS383" s="7">
        <v>-1</v>
      </c>
      <c r="BT383" s="7">
        <v>-1</v>
      </c>
      <c r="BU383" s="2" t="s">
        <v>107</v>
      </c>
      <c r="BV383" s="2" t="s">
        <v>1355</v>
      </c>
      <c r="BW383" s="2" t="s">
        <v>2232</v>
      </c>
      <c r="BX383" s="2" t="s">
        <v>2233</v>
      </c>
      <c r="BY383" s="2" t="s">
        <v>110</v>
      </c>
      <c r="BZ383" s="2" t="s">
        <v>98</v>
      </c>
    </row>
    <row r="384">
      <c r="A384" s="2" t="s">
        <v>2234</v>
      </c>
      <c r="B384" s="2" t="s">
        <v>1345</v>
      </c>
      <c r="C384" s="2" t="s">
        <v>88</v>
      </c>
      <c r="D384" s="2" t="s">
        <v>2205</v>
      </c>
      <c r="E384" s="2" t="s">
        <v>1876</v>
      </c>
      <c r="F384" s="2" t="s">
        <v>2217</v>
      </c>
      <c r="G384" s="2" t="s">
        <v>2218</v>
      </c>
      <c r="H384" s="2" t="s">
        <v>2219</v>
      </c>
      <c r="I384" s="2" t="s">
        <v>2220</v>
      </c>
      <c r="J384" s="2" t="s">
        <v>93</v>
      </c>
      <c r="K384" s="2" t="s">
        <v>133</v>
      </c>
      <c r="L384" s="3">
        <v>142.6</v>
      </c>
      <c r="M384" s="3">
        <v>149.73</v>
      </c>
      <c r="N384" s="3">
        <v>299</v>
      </c>
      <c r="O384" s="2" t="s">
        <v>95</v>
      </c>
      <c r="P384" s="2" t="s">
        <v>134</v>
      </c>
      <c r="Q384" s="2" t="s">
        <v>97</v>
      </c>
      <c r="R384" s="2" t="s">
        <v>98</v>
      </c>
      <c r="S384" s="2" t="s">
        <v>2235</v>
      </c>
      <c r="T384" s="2" t="s">
        <v>98</v>
      </c>
      <c r="U384" s="2" t="s">
        <v>98</v>
      </c>
      <c r="V384" s="2" t="s">
        <v>439</v>
      </c>
      <c r="W384" s="2" t="s">
        <v>102</v>
      </c>
      <c r="X384" s="2" t="s">
        <v>98</v>
      </c>
      <c r="Y384" s="2" t="s">
        <v>366</v>
      </c>
      <c r="Z384" s="4">
        <v>162</v>
      </c>
      <c r="AA384" s="4">
        <f>=ROUNDDOWN(62.3076923076923,0)</f>
      </c>
      <c r="AB384" s="5">
        <v>2.6</v>
      </c>
      <c r="AC384" s="2" t="s">
        <v>98</v>
      </c>
      <c r="AD384" s="4"/>
      <c r="AE384" s="4"/>
      <c r="AF384" s="6">
        <v>74</v>
      </c>
      <c r="AG384" s="6">
        <v>60</v>
      </c>
      <c r="AH384" s="7">
        <v>1</v>
      </c>
      <c r="AI384" s="4"/>
      <c r="AJ384" s="4">
        <f>=ROUNDDOWN({0},0)</f>
      </c>
      <c r="AK384" s="5"/>
      <c r="AL384" s="2" t="s">
        <v>98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98</v>
      </c>
      <c r="BD384" s="8" t="s">
        <v>98</v>
      </c>
      <c r="BE384" s="4" t="s">
        <v>98</v>
      </c>
      <c r="BF384" s="8" t="s">
        <v>98</v>
      </c>
      <c r="BG384" s="7" t="s">
        <v>98</v>
      </c>
      <c r="BH384" s="7" t="s">
        <v>98</v>
      </c>
      <c r="BI384" s="7"/>
      <c r="BJ384" s="4"/>
      <c r="BK384" s="8"/>
      <c r="BL384" s="2" t="s">
        <v>1701</v>
      </c>
      <c r="BM384" s="7"/>
      <c r="BN384" s="7"/>
      <c r="BO384" s="4"/>
      <c r="BP384" s="8"/>
      <c r="BQ384" s="4"/>
      <c r="BR384" s="8"/>
      <c r="BS384" s="7"/>
      <c r="BT384" s="7"/>
      <c r="BU384" s="2" t="s">
        <v>107</v>
      </c>
      <c r="BV384" s="2" t="s">
        <v>1355</v>
      </c>
      <c r="BW384" s="2" t="s">
        <v>1356</v>
      </c>
      <c r="BX384" s="2" t="s">
        <v>2236</v>
      </c>
      <c r="BY384" s="2" t="s">
        <v>110</v>
      </c>
      <c r="BZ384" s="2" t="s">
        <v>98</v>
      </c>
    </row>
    <row r="385">
      <c r="A385" s="2" t="s">
        <v>2237</v>
      </c>
      <c r="B385" s="2" t="s">
        <v>1345</v>
      </c>
      <c r="C385" s="2" t="s">
        <v>88</v>
      </c>
      <c r="D385" s="2" t="s">
        <v>2205</v>
      </c>
      <c r="E385" s="2" t="s">
        <v>1876</v>
      </c>
      <c r="F385" s="2" t="s">
        <v>2217</v>
      </c>
      <c r="G385" s="2" t="s">
        <v>2218</v>
      </c>
      <c r="H385" s="2" t="s">
        <v>2219</v>
      </c>
      <c r="I385" s="2" t="s">
        <v>2220</v>
      </c>
      <c r="J385" s="2" t="s">
        <v>93</v>
      </c>
      <c r="K385" s="2" t="s">
        <v>1404</v>
      </c>
      <c r="L385" s="3">
        <v>142.6</v>
      </c>
      <c r="M385" s="3">
        <v>149.73</v>
      </c>
      <c r="N385" s="3">
        <v>299</v>
      </c>
      <c r="O385" s="2" t="s">
        <v>95</v>
      </c>
      <c r="P385" s="2" t="s">
        <v>142</v>
      </c>
      <c r="Q385" s="2" t="s">
        <v>97</v>
      </c>
      <c r="R385" s="2" t="s">
        <v>98</v>
      </c>
      <c r="S385" s="2" t="s">
        <v>98</v>
      </c>
      <c r="T385" s="2" t="s">
        <v>98</v>
      </c>
      <c r="U385" s="2" t="s">
        <v>117</v>
      </c>
      <c r="V385" s="2" t="s">
        <v>439</v>
      </c>
      <c r="W385" s="2" t="s">
        <v>102</v>
      </c>
      <c r="X385" s="2" t="s">
        <v>103</v>
      </c>
      <c r="Y385" s="2" t="s">
        <v>1814</v>
      </c>
      <c r="Z385" s="4">
        <v>58</v>
      </c>
      <c r="AA385" s="4">
        <f>=ROUNDDOWN(14.5,0)</f>
      </c>
      <c r="AB385" s="5">
        <v>4</v>
      </c>
      <c r="AC385" s="2" t="s">
        <v>2238</v>
      </c>
      <c r="AD385" s="4">
        <v>100</v>
      </c>
      <c r="AE385" s="4">
        <v>100</v>
      </c>
      <c r="AF385" s="6">
        <v>74</v>
      </c>
      <c r="AG385" s="6">
        <v>60</v>
      </c>
      <c r="AH385" s="7">
        <v>1</v>
      </c>
      <c r="AI385" s="4"/>
      <c r="AJ385" s="4">
        <f>=ROUNDDOWN({0},0)</f>
      </c>
      <c r="AK385" s="5"/>
      <c r="AL385" s="2" t="s">
        <v>98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98</v>
      </c>
      <c r="BD385" s="8" t="s">
        <v>98</v>
      </c>
      <c r="BE385" s="4" t="s">
        <v>98</v>
      </c>
      <c r="BF385" s="8" t="s">
        <v>98</v>
      </c>
      <c r="BG385" s="7" t="s">
        <v>98</v>
      </c>
      <c r="BH385" s="7" t="s">
        <v>98</v>
      </c>
      <c r="BI385" s="7"/>
      <c r="BJ385" s="4">
        <v>2</v>
      </c>
      <c r="BK385" s="8">
        <v>259.26</v>
      </c>
      <c r="BL385" s="2" t="s">
        <v>2239</v>
      </c>
      <c r="BM385" s="7"/>
      <c r="BN385" s="7"/>
      <c r="BO385" s="4"/>
      <c r="BP385" s="8"/>
      <c r="BQ385" s="4"/>
      <c r="BR385" s="8"/>
      <c r="BS385" s="7"/>
      <c r="BT385" s="7"/>
      <c r="BU385" s="2" t="s">
        <v>1376</v>
      </c>
      <c r="BV385" s="2" t="s">
        <v>95</v>
      </c>
      <c r="BW385" s="2" t="s">
        <v>98</v>
      </c>
      <c r="BX385" s="2" t="s">
        <v>98</v>
      </c>
      <c r="BY385" s="2" t="s">
        <v>110</v>
      </c>
      <c r="BZ385" s="2" t="s">
        <v>98</v>
      </c>
    </row>
    <row r="386">
      <c r="A386" s="2" t="s">
        <v>2240</v>
      </c>
      <c r="B386" s="2" t="s">
        <v>1345</v>
      </c>
      <c r="C386" s="2" t="s">
        <v>88</v>
      </c>
      <c r="D386" s="2" t="s">
        <v>2205</v>
      </c>
      <c r="E386" s="2" t="s">
        <v>1876</v>
      </c>
      <c r="F386" s="2" t="s">
        <v>2241</v>
      </c>
      <c r="G386" s="2" t="s">
        <v>1267</v>
      </c>
      <c r="H386" s="2" t="s">
        <v>2242</v>
      </c>
      <c r="I386" s="2" t="s">
        <v>2243</v>
      </c>
      <c r="J386" s="2" t="s">
        <v>93</v>
      </c>
      <c r="K386" s="2" t="s">
        <v>127</v>
      </c>
      <c r="L386" s="3">
        <v>263.5</v>
      </c>
      <c r="M386" s="3">
        <v>276.68</v>
      </c>
      <c r="N386" s="3">
        <v>549</v>
      </c>
      <c r="O386" s="2" t="s">
        <v>95</v>
      </c>
      <c r="P386" s="2" t="s">
        <v>134</v>
      </c>
      <c r="Q386" s="2" t="s">
        <v>97</v>
      </c>
      <c r="R386" s="2" t="s">
        <v>98</v>
      </c>
      <c r="S386" s="2" t="s">
        <v>98</v>
      </c>
      <c r="T386" s="2" t="s">
        <v>98</v>
      </c>
      <c r="U386" s="2" t="s">
        <v>100</v>
      </c>
      <c r="V386" s="2" t="s">
        <v>296</v>
      </c>
      <c r="W386" s="2" t="s">
        <v>204</v>
      </c>
      <c r="X386" s="2" t="s">
        <v>98</v>
      </c>
      <c r="Y386" s="2" t="s">
        <v>1862</v>
      </c>
      <c r="Z386" s="4">
        <v>124</v>
      </c>
      <c r="AA386" s="4">
        <f>=ROUNDDOWN(31.7948717948718,0)</f>
      </c>
      <c r="AB386" s="5">
        <v>3.9</v>
      </c>
      <c r="AC386" s="2" t="s">
        <v>222</v>
      </c>
      <c r="AD386" s="4">
        <v>100</v>
      </c>
      <c r="AE386" s="4">
        <v>100</v>
      </c>
      <c r="AF386" s="6">
        <v>65</v>
      </c>
      <c r="AG386" s="6">
        <v>48</v>
      </c>
      <c r="AH386" s="7">
        <v>1</v>
      </c>
      <c r="AI386" s="4"/>
      <c r="AJ386" s="4">
        <f>=ROUNDDOWN({0},0)</f>
      </c>
      <c r="AK386" s="5"/>
      <c r="AL386" s="2" t="s">
        <v>98</v>
      </c>
      <c r="AM386" s="4"/>
      <c r="AN386" s="4"/>
      <c r="AO386" s="7">
        <v>0</v>
      </c>
      <c r="AP386" s="4">
        <v>1</v>
      </c>
      <c r="AQ386" s="8">
        <v>276.33</v>
      </c>
      <c r="AR386" s="4"/>
      <c r="AS386" s="8"/>
      <c r="AT386" s="7"/>
      <c r="AU386" s="7"/>
      <c r="AV386" s="4">
        <v>1</v>
      </c>
      <c r="AW386" s="8">
        <v>276.33</v>
      </c>
      <c r="AX386" s="4"/>
      <c r="AY386" s="8"/>
      <c r="AZ386" s="7"/>
      <c r="BA386" s="7"/>
      <c r="BB386" s="7">
        <v>1</v>
      </c>
      <c r="BC386" s="4">
        <v>1</v>
      </c>
      <c r="BD386" s="8">
        <v>276.33</v>
      </c>
      <c r="BE386" s="4"/>
      <c r="BF386" s="8"/>
      <c r="BG386" s="7"/>
      <c r="BH386" s="7"/>
      <c r="BI386" s="7">
        <v>1</v>
      </c>
      <c r="BJ386" s="4">
        <v>4</v>
      </c>
      <c r="BK386" s="8">
        <v>1142.37</v>
      </c>
      <c r="BL386" s="2" t="s">
        <v>2244</v>
      </c>
      <c r="BM386" s="7">
        <v>0.25</v>
      </c>
      <c r="BN386" s="7">
        <v>0.2419</v>
      </c>
      <c r="BO386" s="4">
        <v>1</v>
      </c>
      <c r="BP386" s="8">
        <v>276.33</v>
      </c>
      <c r="BQ386" s="4"/>
      <c r="BR386" s="8"/>
      <c r="BS386" s="7"/>
      <c r="BT386" s="7"/>
      <c r="BU386" s="2" t="s">
        <v>107</v>
      </c>
      <c r="BV386" s="2" t="s">
        <v>1355</v>
      </c>
      <c r="BW386" s="2" t="s">
        <v>1512</v>
      </c>
      <c r="BX386" s="2" t="s">
        <v>2245</v>
      </c>
      <c r="BY386" s="2" t="s">
        <v>110</v>
      </c>
      <c r="BZ386" s="2" t="s">
        <v>98</v>
      </c>
    </row>
    <row r="387">
      <c r="A387" s="2" t="s">
        <v>2246</v>
      </c>
      <c r="B387" s="2" t="s">
        <v>1345</v>
      </c>
      <c r="C387" s="2" t="s">
        <v>88</v>
      </c>
      <c r="D387" s="2" t="s">
        <v>2205</v>
      </c>
      <c r="E387" s="2" t="s">
        <v>1876</v>
      </c>
      <c r="F387" s="2" t="s">
        <v>2247</v>
      </c>
      <c r="G387" s="2" t="s">
        <v>2248</v>
      </c>
      <c r="H387" s="2" t="s">
        <v>2249</v>
      </c>
      <c r="I387" s="2" t="s">
        <v>2250</v>
      </c>
      <c r="J387" s="2" t="s">
        <v>93</v>
      </c>
      <c r="K387" s="2" t="s">
        <v>2139</v>
      </c>
      <c r="L387" s="3">
        <v>285.2</v>
      </c>
      <c r="M387" s="3">
        <v>299.46</v>
      </c>
      <c r="N387" s="3">
        <v>599</v>
      </c>
      <c r="O387" s="2" t="s">
        <v>95</v>
      </c>
      <c r="P387" s="2" t="s">
        <v>134</v>
      </c>
      <c r="Q387" s="2" t="s">
        <v>97</v>
      </c>
      <c r="R387" s="2" t="s">
        <v>98</v>
      </c>
      <c r="S387" s="2" t="s">
        <v>98</v>
      </c>
      <c r="T387" s="2" t="s">
        <v>98</v>
      </c>
      <c r="U387" s="2" t="s">
        <v>100</v>
      </c>
      <c r="V387" s="2" t="s">
        <v>296</v>
      </c>
      <c r="W387" s="2" t="s">
        <v>103</v>
      </c>
      <c r="X387" s="2" t="s">
        <v>98</v>
      </c>
      <c r="Y387" s="2" t="s">
        <v>1862</v>
      </c>
      <c r="Z387" s="4">
        <v>78</v>
      </c>
      <c r="AA387" s="4">
        <f>=ROUNDDOWN(8.66666666666667,0)</f>
      </c>
      <c r="AB387" s="5">
        <v>9</v>
      </c>
      <c r="AC387" s="2" t="s">
        <v>222</v>
      </c>
      <c r="AD387" s="4">
        <v>66</v>
      </c>
      <c r="AE387" s="4">
        <v>210</v>
      </c>
      <c r="AF387" s="6">
        <v>65</v>
      </c>
      <c r="AG387" s="6">
        <v>48</v>
      </c>
      <c r="AH387" s="7">
        <v>1</v>
      </c>
      <c r="AI387" s="4"/>
      <c r="AJ387" s="4">
        <f>=ROUNDDOWN({0},0)</f>
      </c>
      <c r="AK387" s="5"/>
      <c r="AL387" s="2" t="s">
        <v>98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>
        <v>4</v>
      </c>
      <c r="BK387" s="8">
        <v>1146</v>
      </c>
      <c r="BL387" s="2" t="s">
        <v>333</v>
      </c>
      <c r="BM387" s="7"/>
      <c r="BN387" s="7"/>
      <c r="BO387" s="4"/>
      <c r="BP387" s="8"/>
      <c r="BQ387" s="4"/>
      <c r="BR387" s="8"/>
      <c r="BS387" s="7"/>
      <c r="BT387" s="7"/>
      <c r="BU387" s="2" t="s">
        <v>107</v>
      </c>
      <c r="BV387" s="2" t="s">
        <v>1355</v>
      </c>
      <c r="BW387" s="2" t="s">
        <v>1512</v>
      </c>
      <c r="BX387" s="2" t="s">
        <v>2097</v>
      </c>
      <c r="BY387" s="2" t="s">
        <v>110</v>
      </c>
      <c r="BZ387" s="2" t="s">
        <v>98</v>
      </c>
    </row>
    <row r="388">
      <c r="A388" s="2" t="s">
        <v>2251</v>
      </c>
      <c r="B388" s="2" t="s">
        <v>1345</v>
      </c>
      <c r="C388" s="2" t="s">
        <v>88</v>
      </c>
      <c r="D388" s="2" t="s">
        <v>2205</v>
      </c>
      <c r="E388" s="2" t="s">
        <v>1876</v>
      </c>
      <c r="F388" s="2" t="s">
        <v>2252</v>
      </c>
      <c r="G388" s="2" t="s">
        <v>2253</v>
      </c>
      <c r="H388" s="2" t="s">
        <v>2254</v>
      </c>
      <c r="I388" s="2" t="s">
        <v>2255</v>
      </c>
      <c r="J388" s="2" t="s">
        <v>93</v>
      </c>
      <c r="K388" s="2" t="s">
        <v>277</v>
      </c>
      <c r="L388" s="3">
        <v>125.4</v>
      </c>
      <c r="M388" s="3">
        <v>131.67</v>
      </c>
      <c r="N388" s="3">
        <v>259</v>
      </c>
      <c r="O388" s="2" t="s">
        <v>95</v>
      </c>
      <c r="P388" s="2" t="s">
        <v>134</v>
      </c>
      <c r="Q388" s="2" t="s">
        <v>97</v>
      </c>
      <c r="R388" s="2" t="s">
        <v>98</v>
      </c>
      <c r="S388" s="2" t="s">
        <v>2256</v>
      </c>
      <c r="T388" s="2" t="s">
        <v>98</v>
      </c>
      <c r="U388" s="2" t="s">
        <v>98</v>
      </c>
      <c r="V388" s="2" t="s">
        <v>439</v>
      </c>
      <c r="W388" s="2" t="s">
        <v>102</v>
      </c>
      <c r="X388" s="2" t="s">
        <v>98</v>
      </c>
      <c r="Y388" s="2" t="s">
        <v>366</v>
      </c>
      <c r="Z388" s="4">
        <v>188</v>
      </c>
      <c r="AA388" s="4">
        <f>=ROUNDDOWN(36.8627450980392,0)</f>
      </c>
      <c r="AB388" s="5">
        <v>5.1</v>
      </c>
      <c r="AC388" s="2" t="s">
        <v>1499</v>
      </c>
      <c r="AD388" s="4">
        <v>100</v>
      </c>
      <c r="AE388" s="4">
        <v>100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98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98</v>
      </c>
      <c r="BD388" s="8" t="s">
        <v>98</v>
      </c>
      <c r="BE388" s="4" t="s">
        <v>98</v>
      </c>
      <c r="BF388" s="8" t="s">
        <v>98</v>
      </c>
      <c r="BG388" s="7" t="s">
        <v>98</v>
      </c>
      <c r="BH388" s="7" t="s">
        <v>98</v>
      </c>
      <c r="BI388" s="7"/>
      <c r="BJ388" s="4">
        <v>7</v>
      </c>
      <c r="BK388" s="8">
        <v>996.17</v>
      </c>
      <c r="BL388" s="2" t="s">
        <v>1701</v>
      </c>
      <c r="BM388" s="7"/>
      <c r="BN388" s="7"/>
      <c r="BO388" s="4"/>
      <c r="BP388" s="8"/>
      <c r="BQ388" s="4"/>
      <c r="BR388" s="8"/>
      <c r="BS388" s="7"/>
      <c r="BT388" s="7"/>
      <c r="BU388" s="2" t="s">
        <v>107</v>
      </c>
      <c r="BV388" s="2" t="s">
        <v>1355</v>
      </c>
      <c r="BW388" s="2" t="s">
        <v>497</v>
      </c>
      <c r="BX388" s="2" t="s">
        <v>2257</v>
      </c>
      <c r="BY388" s="2" t="s">
        <v>110</v>
      </c>
      <c r="BZ388" s="2" t="s">
        <v>98</v>
      </c>
    </row>
    <row r="389">
      <c r="A389" s="2" t="s">
        <v>2258</v>
      </c>
      <c r="B389" s="2" t="s">
        <v>1345</v>
      </c>
      <c r="C389" s="2" t="s">
        <v>88</v>
      </c>
      <c r="D389" s="2" t="s">
        <v>2205</v>
      </c>
      <c r="E389" s="2" t="s">
        <v>1876</v>
      </c>
      <c r="F389" s="2" t="s">
        <v>2252</v>
      </c>
      <c r="G389" s="2" t="s">
        <v>2253</v>
      </c>
      <c r="H389" s="2" t="s">
        <v>2254</v>
      </c>
      <c r="I389" s="2" t="s">
        <v>2255</v>
      </c>
      <c r="J389" s="2" t="s">
        <v>93</v>
      </c>
      <c r="K389" s="2" t="s">
        <v>1419</v>
      </c>
      <c r="L389" s="3">
        <v>125.4</v>
      </c>
      <c r="M389" s="3">
        <v>131.67</v>
      </c>
      <c r="N389" s="3">
        <v>259</v>
      </c>
      <c r="O389" s="2" t="s">
        <v>95</v>
      </c>
      <c r="P389" s="2" t="s">
        <v>134</v>
      </c>
      <c r="Q389" s="2" t="s">
        <v>97</v>
      </c>
      <c r="R389" s="2" t="s">
        <v>98</v>
      </c>
      <c r="S389" s="2" t="s">
        <v>2259</v>
      </c>
      <c r="T389" s="2" t="s">
        <v>98</v>
      </c>
      <c r="U389" s="2" t="s">
        <v>98</v>
      </c>
      <c r="V389" s="2" t="s">
        <v>439</v>
      </c>
      <c r="W389" s="2" t="s">
        <v>102</v>
      </c>
      <c r="X389" s="2" t="s">
        <v>98</v>
      </c>
      <c r="Y389" s="2" t="s">
        <v>366</v>
      </c>
      <c r="Z389" s="4">
        <v>55</v>
      </c>
      <c r="AA389" s="4">
        <f>=ROUNDDOWN(11.4583333333333,0)</f>
      </c>
      <c r="AB389" s="5">
        <v>4.8</v>
      </c>
      <c r="AC389" s="2" t="s">
        <v>1457</v>
      </c>
      <c r="AD389" s="4">
        <v>100</v>
      </c>
      <c r="AE389" s="4">
        <v>200</v>
      </c>
      <c r="AF389" s="6">
        <v>67</v>
      </c>
      <c r="AG389" s="6"/>
      <c r="AH389" s="7">
        <v>1</v>
      </c>
      <c r="AI389" s="4"/>
      <c r="AJ389" s="4">
        <f>=ROUNDDOWN({0},0)</f>
      </c>
      <c r="AK389" s="5"/>
      <c r="AL389" s="2" t="s">
        <v>98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98</v>
      </c>
      <c r="BD389" s="8" t="s">
        <v>98</v>
      </c>
      <c r="BE389" s="4" t="s">
        <v>98</v>
      </c>
      <c r="BF389" s="8" t="s">
        <v>98</v>
      </c>
      <c r="BG389" s="7" t="s">
        <v>98</v>
      </c>
      <c r="BH389" s="7" t="s">
        <v>98</v>
      </c>
      <c r="BI389" s="7"/>
      <c r="BJ389" s="4">
        <v>1</v>
      </c>
      <c r="BK389" s="8">
        <v>127.64</v>
      </c>
      <c r="BL389" s="2" t="s">
        <v>2260</v>
      </c>
      <c r="BM389" s="7"/>
      <c r="BN389" s="7"/>
      <c r="BO389" s="4"/>
      <c r="BP389" s="8"/>
      <c r="BQ389" s="4"/>
      <c r="BR389" s="8"/>
      <c r="BS389" s="7"/>
      <c r="BT389" s="7"/>
      <c r="BU389" s="2" t="s">
        <v>107</v>
      </c>
      <c r="BV389" s="2" t="s">
        <v>1355</v>
      </c>
      <c r="BW389" s="2" t="s">
        <v>1356</v>
      </c>
      <c r="BX389" s="2" t="s">
        <v>1591</v>
      </c>
      <c r="BY389" s="2" t="s">
        <v>110</v>
      </c>
      <c r="BZ389" s="2" t="s">
        <v>98</v>
      </c>
    </row>
    <row r="390">
      <c r="A390" s="2" t="s">
        <v>2261</v>
      </c>
      <c r="B390" s="2" t="s">
        <v>1345</v>
      </c>
      <c r="C390" s="2" t="s">
        <v>88</v>
      </c>
      <c r="D390" s="2" t="s">
        <v>2205</v>
      </c>
      <c r="E390" s="2" t="s">
        <v>1876</v>
      </c>
      <c r="F390" s="2" t="s">
        <v>2252</v>
      </c>
      <c r="G390" s="2" t="s">
        <v>2253</v>
      </c>
      <c r="H390" s="2" t="s">
        <v>2254</v>
      </c>
      <c r="I390" s="2" t="s">
        <v>2255</v>
      </c>
      <c r="J390" s="2" t="s">
        <v>93</v>
      </c>
      <c r="K390" s="2" t="s">
        <v>127</v>
      </c>
      <c r="L390" s="3">
        <v>125.4</v>
      </c>
      <c r="M390" s="3">
        <v>131.67</v>
      </c>
      <c r="N390" s="3">
        <v>259</v>
      </c>
      <c r="O390" s="2" t="s">
        <v>95</v>
      </c>
      <c r="P390" s="2" t="s">
        <v>134</v>
      </c>
      <c r="Q390" s="2" t="s">
        <v>97</v>
      </c>
      <c r="R390" s="2" t="s">
        <v>98</v>
      </c>
      <c r="S390" s="2" t="s">
        <v>2262</v>
      </c>
      <c r="T390" s="2" t="s">
        <v>98</v>
      </c>
      <c r="U390" s="2" t="s">
        <v>98</v>
      </c>
      <c r="V390" s="2" t="s">
        <v>439</v>
      </c>
      <c r="W390" s="2" t="s">
        <v>102</v>
      </c>
      <c r="X390" s="2" t="s">
        <v>98</v>
      </c>
      <c r="Y390" s="2" t="s">
        <v>366</v>
      </c>
      <c r="Z390" s="4">
        <v>63</v>
      </c>
      <c r="AA390" s="4">
        <f>=ROUNDDOWN(5.25,0)</f>
      </c>
      <c r="AB390" s="5">
        <v>12</v>
      </c>
      <c r="AC390" s="2" t="s">
        <v>323</v>
      </c>
      <c r="AD390" s="4">
        <v>80</v>
      </c>
      <c r="AE390" s="4">
        <v>410</v>
      </c>
      <c r="AF390" s="6">
        <v>67</v>
      </c>
      <c r="AG390" s="6">
        <v>50</v>
      </c>
      <c r="AH390" s="7">
        <v>1</v>
      </c>
      <c r="AI390" s="4"/>
      <c r="AJ390" s="4">
        <f>=ROUNDDOWN({0},0)</f>
      </c>
      <c r="AK390" s="5"/>
      <c r="AL390" s="2" t="s">
        <v>98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 t="s">
        <v>98</v>
      </c>
      <c r="BD390" s="8" t="s">
        <v>98</v>
      </c>
      <c r="BE390" s="4" t="s">
        <v>98</v>
      </c>
      <c r="BF390" s="8" t="s">
        <v>98</v>
      </c>
      <c r="BG390" s="7" t="s">
        <v>98</v>
      </c>
      <c r="BH390" s="7" t="s">
        <v>98</v>
      </c>
      <c r="BI390" s="7"/>
      <c r="BJ390" s="4"/>
      <c r="BK390" s="8"/>
      <c r="BL390" s="2" t="s">
        <v>480</v>
      </c>
      <c r="BM390" s="7"/>
      <c r="BN390" s="7"/>
      <c r="BO390" s="4"/>
      <c r="BP390" s="8"/>
      <c r="BQ390" s="4"/>
      <c r="BR390" s="8"/>
      <c r="BS390" s="7"/>
      <c r="BT390" s="7"/>
      <c r="BU390" s="2" t="s">
        <v>107</v>
      </c>
      <c r="BV390" s="2" t="s">
        <v>1355</v>
      </c>
      <c r="BW390" s="2" t="s">
        <v>497</v>
      </c>
      <c r="BX390" s="2" t="s">
        <v>618</v>
      </c>
      <c r="BY390" s="2" t="s">
        <v>110</v>
      </c>
      <c r="BZ390" s="2" t="s">
        <v>98</v>
      </c>
    </row>
    <row r="391">
      <c r="A391" s="2" t="s">
        <v>2263</v>
      </c>
      <c r="B391" s="2" t="s">
        <v>1345</v>
      </c>
      <c r="C391" s="2" t="s">
        <v>88</v>
      </c>
      <c r="D391" s="2" t="s">
        <v>2205</v>
      </c>
      <c r="E391" s="2" t="s">
        <v>1876</v>
      </c>
      <c r="F391" s="2" t="s">
        <v>2264</v>
      </c>
      <c r="G391" s="2" t="s">
        <v>2265</v>
      </c>
      <c r="H391" s="2" t="s">
        <v>2266</v>
      </c>
      <c r="I391" s="2" t="s">
        <v>2209</v>
      </c>
      <c r="J391" s="2" t="s">
        <v>93</v>
      </c>
      <c r="K391" s="2" t="s">
        <v>127</v>
      </c>
      <c r="L391" s="3">
        <v>242.25</v>
      </c>
      <c r="M391" s="3">
        <v>254.36</v>
      </c>
      <c r="N391" s="3">
        <v>509</v>
      </c>
      <c r="O391" s="2" t="s">
        <v>95</v>
      </c>
      <c r="P391" s="2" t="s">
        <v>134</v>
      </c>
      <c r="Q391" s="2" t="s">
        <v>97</v>
      </c>
      <c r="R391" s="2" t="s">
        <v>98</v>
      </c>
      <c r="S391" s="2" t="s">
        <v>2267</v>
      </c>
      <c r="T391" s="2" t="s">
        <v>98</v>
      </c>
      <c r="U391" s="2" t="s">
        <v>98</v>
      </c>
      <c r="V391" s="2" t="s">
        <v>439</v>
      </c>
      <c r="W391" s="2" t="s">
        <v>103</v>
      </c>
      <c r="X391" s="2" t="s">
        <v>98</v>
      </c>
      <c r="Y391" s="2" t="s">
        <v>2268</v>
      </c>
      <c r="Z391" s="4">
        <v>98</v>
      </c>
      <c r="AA391" s="4">
        <f>=ROUNDDOWN(12.0987654320988,0)</f>
      </c>
      <c r="AB391" s="5">
        <v>8.1</v>
      </c>
      <c r="AC391" s="2" t="s">
        <v>222</v>
      </c>
      <c r="AD391" s="4">
        <v>192</v>
      </c>
      <c r="AE391" s="4">
        <v>192</v>
      </c>
      <c r="AF391" s="6">
        <v>65</v>
      </c>
      <c r="AG391" s="6">
        <v>48</v>
      </c>
      <c r="AH391" s="7">
        <v>1</v>
      </c>
      <c r="AI391" s="4"/>
      <c r="AJ391" s="4">
        <f>=ROUNDDOWN({0},0)</f>
      </c>
      <c r="AK391" s="5"/>
      <c r="AL391" s="2" t="s">
        <v>98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/>
      <c r="BD391" s="8"/>
      <c r="BE391" s="4"/>
      <c r="BF391" s="8"/>
      <c r="BG391" s="7"/>
      <c r="BH391" s="7"/>
      <c r="BI391" s="7"/>
      <c r="BJ391" s="4">
        <v>4</v>
      </c>
      <c r="BK391" s="8">
        <v>874.02</v>
      </c>
      <c r="BL391" s="2" t="s">
        <v>1379</v>
      </c>
      <c r="BM391" s="7"/>
      <c r="BN391" s="7"/>
      <c r="BO391" s="4"/>
      <c r="BP391" s="8"/>
      <c r="BQ391" s="4"/>
      <c r="BR391" s="8"/>
      <c r="BS391" s="7"/>
      <c r="BT391" s="7"/>
      <c r="BU391" s="2" t="s">
        <v>107</v>
      </c>
      <c r="BV391" s="2" t="s">
        <v>1355</v>
      </c>
      <c r="BW391" s="2" t="s">
        <v>1550</v>
      </c>
      <c r="BX391" s="2" t="s">
        <v>2269</v>
      </c>
      <c r="BY391" s="2" t="s">
        <v>110</v>
      </c>
      <c r="BZ391" s="2" t="s">
        <v>98</v>
      </c>
    </row>
    <row r="392">
      <c r="A392" s="2" t="s">
        <v>2270</v>
      </c>
      <c r="B392" s="2" t="s">
        <v>1345</v>
      </c>
      <c r="C392" s="2" t="s">
        <v>88</v>
      </c>
      <c r="D392" s="2" t="s">
        <v>2205</v>
      </c>
      <c r="E392" s="2" t="s">
        <v>1876</v>
      </c>
      <c r="F392" s="2" t="s">
        <v>2271</v>
      </c>
      <c r="G392" s="2" t="s">
        <v>2272</v>
      </c>
      <c r="H392" s="2" t="s">
        <v>1594</v>
      </c>
      <c r="I392" s="2" t="s">
        <v>2273</v>
      </c>
      <c r="J392" s="2" t="s">
        <v>93</v>
      </c>
      <c r="K392" s="2" t="s">
        <v>1439</v>
      </c>
      <c r="L392" s="3">
        <v>171</v>
      </c>
      <c r="M392" s="3">
        <v>179.55</v>
      </c>
      <c r="N392" s="3">
        <v>359</v>
      </c>
      <c r="O392" s="2" t="s">
        <v>95</v>
      </c>
      <c r="P392" s="2" t="s">
        <v>134</v>
      </c>
      <c r="Q392" s="2" t="s">
        <v>97</v>
      </c>
      <c r="R392" s="2" t="s">
        <v>98</v>
      </c>
      <c r="S392" s="2" t="s">
        <v>2274</v>
      </c>
      <c r="T392" s="2" t="s">
        <v>98</v>
      </c>
      <c r="U392" s="2" t="s">
        <v>98</v>
      </c>
      <c r="V392" s="2" t="s">
        <v>439</v>
      </c>
      <c r="W392" s="2" t="s">
        <v>102</v>
      </c>
      <c r="X392" s="2" t="s">
        <v>98</v>
      </c>
      <c r="Y392" s="2" t="s">
        <v>366</v>
      </c>
      <c r="Z392" s="4"/>
      <c r="AA392" s="4">
        <f>=ROUNDDOWN({0},0)</f>
      </c>
      <c r="AB392" s="5">
        <v>11</v>
      </c>
      <c r="AC392" s="2" t="s">
        <v>1651</v>
      </c>
      <c r="AD392" s="4">
        <v>130</v>
      </c>
      <c r="AE392" s="4">
        <v>360</v>
      </c>
      <c r="AF392" s="6">
        <v>74</v>
      </c>
      <c r="AG392" s="6">
        <v>60</v>
      </c>
      <c r="AH392" s="7">
        <v>0</v>
      </c>
      <c r="AI392" s="4"/>
      <c r="AJ392" s="4">
        <f>=ROUNDDOWN({0},0)</f>
      </c>
      <c r="AK392" s="5"/>
      <c r="AL392" s="2" t="s">
        <v>98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 t="s">
        <v>98</v>
      </c>
      <c r="BD392" s="8" t="s">
        <v>98</v>
      </c>
      <c r="BE392" s="4" t="s">
        <v>98</v>
      </c>
      <c r="BF392" s="8" t="s">
        <v>98</v>
      </c>
      <c r="BG392" s="7" t="s">
        <v>98</v>
      </c>
      <c r="BH392" s="7" t="s">
        <v>98</v>
      </c>
      <c r="BI392" s="7"/>
      <c r="BJ392" s="4"/>
      <c r="BK392" s="8"/>
      <c r="BL392" s="2" t="s">
        <v>2275</v>
      </c>
      <c r="BM392" s="7"/>
      <c r="BN392" s="7"/>
      <c r="BO392" s="4"/>
      <c r="BP392" s="8"/>
      <c r="BQ392" s="4"/>
      <c r="BR392" s="8"/>
      <c r="BS392" s="7"/>
      <c r="BT392" s="7"/>
      <c r="BU392" s="2" t="s">
        <v>107</v>
      </c>
      <c r="BV392" s="2" t="s">
        <v>1355</v>
      </c>
      <c r="BW392" s="2" t="s">
        <v>497</v>
      </c>
      <c r="BX392" s="2" t="s">
        <v>2276</v>
      </c>
      <c r="BY392" s="2" t="s">
        <v>110</v>
      </c>
      <c r="BZ392" s="2" t="s">
        <v>98</v>
      </c>
    </row>
    <row r="393">
      <c r="A393" s="2" t="s">
        <v>2277</v>
      </c>
      <c r="B393" s="2" t="s">
        <v>1345</v>
      </c>
      <c r="C393" s="2" t="s">
        <v>88</v>
      </c>
      <c r="D393" s="2" t="s">
        <v>2205</v>
      </c>
      <c r="E393" s="2" t="s">
        <v>1876</v>
      </c>
      <c r="F393" s="2" t="s">
        <v>2271</v>
      </c>
      <c r="G393" s="2" t="s">
        <v>2272</v>
      </c>
      <c r="H393" s="2" t="s">
        <v>1594</v>
      </c>
      <c r="I393" s="2" t="s">
        <v>2273</v>
      </c>
      <c r="J393" s="2" t="s">
        <v>93</v>
      </c>
      <c r="K393" s="2" t="s">
        <v>616</v>
      </c>
      <c r="L393" s="3">
        <v>171</v>
      </c>
      <c r="M393" s="3">
        <v>179.55</v>
      </c>
      <c r="N393" s="3">
        <v>359</v>
      </c>
      <c r="O393" s="2" t="s">
        <v>155</v>
      </c>
      <c r="P393" s="2" t="s">
        <v>115</v>
      </c>
      <c r="Q393" s="2" t="s">
        <v>97</v>
      </c>
      <c r="R393" s="2" t="s">
        <v>98</v>
      </c>
      <c r="S393" s="2" t="s">
        <v>2278</v>
      </c>
      <c r="T393" s="2" t="s">
        <v>98</v>
      </c>
      <c r="U393" s="2" t="s">
        <v>98</v>
      </c>
      <c r="V393" s="2" t="s">
        <v>1360</v>
      </c>
      <c r="W393" s="2" t="s">
        <v>102</v>
      </c>
      <c r="X393" s="2" t="s">
        <v>98</v>
      </c>
      <c r="Y393" s="2" t="s">
        <v>366</v>
      </c>
      <c r="Z393" s="4">
        <v>36</v>
      </c>
      <c r="AA393" s="4">
        <f>=ROUNDDOWN(8.18181818181818,0)</f>
      </c>
      <c r="AB393" s="5">
        <v>4.4</v>
      </c>
      <c r="AC393" s="2" t="s">
        <v>98</v>
      </c>
      <c r="AD393" s="4"/>
      <c r="AE393" s="4"/>
      <c r="AF393" s="6">
        <v>65</v>
      </c>
      <c r="AG393" s="6">
        <v>48</v>
      </c>
      <c r="AH393" s="7">
        <v>1</v>
      </c>
      <c r="AI393" s="4"/>
      <c r="AJ393" s="4">
        <f>=ROUNDDOWN({0},0)</f>
      </c>
      <c r="AK393" s="5"/>
      <c r="AL393" s="2" t="s">
        <v>98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 t="s">
        <v>98</v>
      </c>
      <c r="BD393" s="8" t="s">
        <v>98</v>
      </c>
      <c r="BE393" s="4" t="s">
        <v>98</v>
      </c>
      <c r="BF393" s="8" t="s">
        <v>98</v>
      </c>
      <c r="BG393" s="7" t="s">
        <v>98</v>
      </c>
      <c r="BH393" s="7" t="s">
        <v>98</v>
      </c>
      <c r="BI393" s="7"/>
      <c r="BJ393" s="4">
        <v>9</v>
      </c>
      <c r="BK393" s="8">
        <v>1535.7</v>
      </c>
      <c r="BL393" s="2" t="s">
        <v>1625</v>
      </c>
      <c r="BM393" s="7"/>
      <c r="BN393" s="7"/>
      <c r="BO393" s="4"/>
      <c r="BP393" s="8"/>
      <c r="BQ393" s="4"/>
      <c r="BR393" s="8"/>
      <c r="BS393" s="7"/>
      <c r="BT393" s="7"/>
      <c r="BU393" s="2" t="s">
        <v>107</v>
      </c>
      <c r="BV393" s="2" t="s">
        <v>1355</v>
      </c>
      <c r="BW393" s="2" t="s">
        <v>1356</v>
      </c>
      <c r="BX393" s="2" t="s">
        <v>2279</v>
      </c>
      <c r="BY393" s="2" t="s">
        <v>110</v>
      </c>
      <c r="BZ393" s="2" t="s">
        <v>98</v>
      </c>
    </row>
    <row r="394">
      <c r="A394" s="2" t="s">
        <v>2280</v>
      </c>
      <c r="B394" s="2" t="s">
        <v>1345</v>
      </c>
      <c r="C394" s="2" t="s">
        <v>88</v>
      </c>
      <c r="D394" s="2" t="s">
        <v>2205</v>
      </c>
      <c r="E394" s="2" t="s">
        <v>1876</v>
      </c>
      <c r="F394" s="2" t="s">
        <v>2281</v>
      </c>
      <c r="G394" s="2" t="s">
        <v>2282</v>
      </c>
      <c r="H394" s="2" t="s">
        <v>2283</v>
      </c>
      <c r="I394" s="2" t="s">
        <v>2209</v>
      </c>
      <c r="J394" s="2" t="s">
        <v>93</v>
      </c>
      <c r="K394" s="2" t="s">
        <v>127</v>
      </c>
      <c r="L394" s="3">
        <v>252.45</v>
      </c>
      <c r="M394" s="3">
        <v>265.07</v>
      </c>
      <c r="N394" s="3">
        <v>529</v>
      </c>
      <c r="O394" s="2" t="s">
        <v>95</v>
      </c>
      <c r="P394" s="2" t="s">
        <v>96</v>
      </c>
      <c r="Q394" s="2" t="s">
        <v>97</v>
      </c>
      <c r="R394" s="2" t="s">
        <v>98</v>
      </c>
      <c r="S394" s="2" t="s">
        <v>98</v>
      </c>
      <c r="T394" s="2" t="s">
        <v>98</v>
      </c>
      <c r="U394" s="2" t="s">
        <v>100</v>
      </c>
      <c r="V394" s="2" t="s">
        <v>439</v>
      </c>
      <c r="W394" s="2" t="s">
        <v>204</v>
      </c>
      <c r="X394" s="2" t="s">
        <v>103</v>
      </c>
      <c r="Y394" s="2" t="s">
        <v>2284</v>
      </c>
      <c r="Z394" s="4">
        <v>187</v>
      </c>
      <c r="AA394" s="4">
        <f>=ROUNDDOWN(15.5833333333333,0)</f>
      </c>
      <c r="AB394" s="5">
        <v>12</v>
      </c>
      <c r="AC394" s="2" t="s">
        <v>167</v>
      </c>
      <c r="AD394" s="4">
        <v>100</v>
      </c>
      <c r="AE394" s="4">
        <v>180</v>
      </c>
      <c r="AF394" s="6">
        <v>65</v>
      </c>
      <c r="AG394" s="6">
        <v>48</v>
      </c>
      <c r="AH394" s="7">
        <v>1</v>
      </c>
      <c r="AI394" s="4"/>
      <c r="AJ394" s="4">
        <f>=ROUNDDOWN({0},0)</f>
      </c>
      <c r="AK394" s="5"/>
      <c r="AL394" s="2" t="s">
        <v>98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/>
      <c r="AW394" s="8"/>
      <c r="AX394" s="4"/>
      <c r="AY394" s="8"/>
      <c r="AZ394" s="7"/>
      <c r="BA394" s="7"/>
      <c r="BB394" s="7"/>
      <c r="BC394" s="4"/>
      <c r="BD394" s="8"/>
      <c r="BE394" s="4"/>
      <c r="BF394" s="8"/>
      <c r="BG394" s="7"/>
      <c r="BH394" s="7"/>
      <c r="BI394" s="7"/>
      <c r="BJ394" s="4">
        <v>4</v>
      </c>
      <c r="BK394" s="8">
        <v>1034.5</v>
      </c>
      <c r="BL394" s="2" t="s">
        <v>2285</v>
      </c>
      <c r="BM394" s="7"/>
      <c r="BN394" s="7"/>
      <c r="BO394" s="4"/>
      <c r="BP394" s="8"/>
      <c r="BQ394" s="4"/>
      <c r="BR394" s="8"/>
      <c r="BS394" s="7"/>
      <c r="BT394" s="7"/>
      <c r="BU394" s="2" t="s">
        <v>1376</v>
      </c>
      <c r="BV394" s="2" t="s">
        <v>95</v>
      </c>
      <c r="BW394" s="2" t="s">
        <v>98</v>
      </c>
      <c r="BX394" s="2" t="s">
        <v>98</v>
      </c>
      <c r="BY394" s="2" t="s">
        <v>110</v>
      </c>
      <c r="BZ394" s="2" t="s">
        <v>98</v>
      </c>
    </row>
    <row r="395">
      <c r="A395" s="2" t="s">
        <v>2286</v>
      </c>
      <c r="B395" s="2" t="s">
        <v>1345</v>
      </c>
      <c r="C395" s="2" t="s">
        <v>88</v>
      </c>
      <c r="D395" s="2" t="s">
        <v>2205</v>
      </c>
      <c r="E395" s="2" t="s">
        <v>1876</v>
      </c>
      <c r="F395" s="2" t="s">
        <v>2287</v>
      </c>
      <c r="G395" s="2" t="s">
        <v>2288</v>
      </c>
      <c r="H395" s="2" t="s">
        <v>2289</v>
      </c>
      <c r="I395" s="2" t="s">
        <v>2290</v>
      </c>
      <c r="J395" s="2" t="s">
        <v>93</v>
      </c>
      <c r="K395" s="2" t="s">
        <v>1439</v>
      </c>
      <c r="L395" s="3">
        <v>226.1</v>
      </c>
      <c r="M395" s="3">
        <v>237.4</v>
      </c>
      <c r="N395" s="3">
        <v>479</v>
      </c>
      <c r="O395" s="2" t="s">
        <v>95</v>
      </c>
      <c r="P395" s="2" t="s">
        <v>134</v>
      </c>
      <c r="Q395" s="2" t="s">
        <v>97</v>
      </c>
      <c r="R395" s="2" t="s">
        <v>98</v>
      </c>
      <c r="S395" s="2" t="s">
        <v>98</v>
      </c>
      <c r="T395" s="2" t="s">
        <v>98</v>
      </c>
      <c r="U395" s="2" t="s">
        <v>100</v>
      </c>
      <c r="V395" s="2" t="s">
        <v>439</v>
      </c>
      <c r="W395" s="2" t="s">
        <v>103</v>
      </c>
      <c r="X395" s="2" t="s">
        <v>98</v>
      </c>
      <c r="Y395" s="2" t="s">
        <v>2291</v>
      </c>
      <c r="Z395" s="4">
        <v>129</v>
      </c>
      <c r="AA395" s="4">
        <f>=ROUNDDOWN(9.21428571428572,0)</f>
      </c>
      <c r="AB395" s="5">
        <v>14</v>
      </c>
      <c r="AC395" s="2" t="s">
        <v>2077</v>
      </c>
      <c r="AD395" s="4">
        <v>100</v>
      </c>
      <c r="AE395" s="4">
        <v>300</v>
      </c>
      <c r="AF395" s="6">
        <v>65</v>
      </c>
      <c r="AG395" s="6">
        <v>48</v>
      </c>
      <c r="AH395" s="7">
        <v>1</v>
      </c>
      <c r="AI395" s="4"/>
      <c r="AJ395" s="4">
        <f>=ROUNDDOWN({0},0)</f>
      </c>
      <c r="AK395" s="5"/>
      <c r="AL395" s="2" t="s">
        <v>98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/>
      <c r="AW395" s="8"/>
      <c r="AX395" s="4"/>
      <c r="AY395" s="8"/>
      <c r="AZ395" s="7"/>
      <c r="BA395" s="7"/>
      <c r="BB395" s="7"/>
      <c r="BC395" s="4"/>
      <c r="BD395" s="8"/>
      <c r="BE395" s="4"/>
      <c r="BF395" s="8"/>
      <c r="BG395" s="7"/>
      <c r="BH395" s="7"/>
      <c r="BI395" s="7"/>
      <c r="BJ395" s="4"/>
      <c r="BK395" s="8"/>
      <c r="BL395" s="2" t="s">
        <v>98</v>
      </c>
      <c r="BM395" s="7"/>
      <c r="BN395" s="7"/>
      <c r="BO395" s="4"/>
      <c r="BP395" s="8"/>
      <c r="BQ395" s="4"/>
      <c r="BR395" s="8"/>
      <c r="BS395" s="7"/>
      <c r="BT395" s="7"/>
      <c r="BU395" s="2" t="s">
        <v>107</v>
      </c>
      <c r="BV395" s="2" t="s">
        <v>1355</v>
      </c>
      <c r="BW395" s="2" t="s">
        <v>2292</v>
      </c>
      <c r="BX395" s="2" t="s">
        <v>2293</v>
      </c>
      <c r="BY395" s="2" t="s">
        <v>110</v>
      </c>
      <c r="BZ395" s="2" t="s">
        <v>98</v>
      </c>
    </row>
    <row r="396">
      <c r="A396" s="2" t="s">
        <v>2294</v>
      </c>
      <c r="B396" s="2" t="s">
        <v>1345</v>
      </c>
      <c r="C396" s="2" t="s">
        <v>88</v>
      </c>
      <c r="D396" s="2" t="s">
        <v>2205</v>
      </c>
      <c r="E396" s="2" t="s">
        <v>1876</v>
      </c>
      <c r="F396" s="2" t="s">
        <v>2295</v>
      </c>
      <c r="G396" s="2" t="s">
        <v>2296</v>
      </c>
      <c r="H396" s="2" t="s">
        <v>2297</v>
      </c>
      <c r="I396" s="2" t="s">
        <v>2298</v>
      </c>
      <c r="J396" s="2" t="s">
        <v>93</v>
      </c>
      <c r="K396" s="2" t="s">
        <v>1439</v>
      </c>
      <c r="L396" s="3">
        <v>171</v>
      </c>
      <c r="M396" s="3">
        <v>179.55</v>
      </c>
      <c r="N396" s="3">
        <v>359</v>
      </c>
      <c r="O396" s="2" t="s">
        <v>95</v>
      </c>
      <c r="P396" s="2" t="s">
        <v>163</v>
      </c>
      <c r="Q396" s="2" t="s">
        <v>97</v>
      </c>
      <c r="R396" s="2" t="s">
        <v>98</v>
      </c>
      <c r="S396" s="2" t="s">
        <v>2299</v>
      </c>
      <c r="T396" s="2" t="s">
        <v>98</v>
      </c>
      <c r="U396" s="2" t="s">
        <v>117</v>
      </c>
      <c r="V396" s="2" t="s">
        <v>439</v>
      </c>
      <c r="W396" s="2" t="s">
        <v>103</v>
      </c>
      <c r="X396" s="2" t="s">
        <v>98</v>
      </c>
      <c r="Y396" s="2" t="s">
        <v>1451</v>
      </c>
      <c r="Z396" s="4">
        <v>141</v>
      </c>
      <c r="AA396" s="4">
        <f>=ROUNDDOWN(14.1,0)</f>
      </c>
      <c r="AB396" s="5">
        <v>10</v>
      </c>
      <c r="AC396" s="2" t="s">
        <v>323</v>
      </c>
      <c r="AD396" s="4">
        <v>68</v>
      </c>
      <c r="AE396" s="4">
        <v>400</v>
      </c>
      <c r="AF396" s="6">
        <v>65</v>
      </c>
      <c r="AG396" s="6">
        <v>48</v>
      </c>
      <c r="AH396" s="7">
        <v>1</v>
      </c>
      <c r="AI396" s="4"/>
      <c r="AJ396" s="4">
        <f>=ROUNDDOWN({0},0)</f>
      </c>
      <c r="AK396" s="5"/>
      <c r="AL396" s="2" t="s">
        <v>2300</v>
      </c>
      <c r="AM396" s="4">
        <v>175</v>
      </c>
      <c r="AN396" s="4">
        <v>535</v>
      </c>
      <c r="AO396" s="7">
        <v>0</v>
      </c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 t="s">
        <v>98</v>
      </c>
      <c r="BD396" s="8" t="s">
        <v>98</v>
      </c>
      <c r="BE396" s="4" t="s">
        <v>98</v>
      </c>
      <c r="BF396" s="8" t="s">
        <v>98</v>
      </c>
      <c r="BG396" s="7" t="s">
        <v>98</v>
      </c>
      <c r="BH396" s="7" t="s">
        <v>98</v>
      </c>
      <c r="BI396" s="7"/>
      <c r="BJ396" s="4">
        <v>18</v>
      </c>
      <c r="BK396" s="8">
        <v>2833.45</v>
      </c>
      <c r="BL396" s="2" t="s">
        <v>2301</v>
      </c>
      <c r="BM396" s="7"/>
      <c r="BN396" s="7"/>
      <c r="BO396" s="4"/>
      <c r="BP396" s="8"/>
      <c r="BQ396" s="4"/>
      <c r="BR396" s="8"/>
      <c r="BS396" s="7"/>
      <c r="BT396" s="7"/>
      <c r="BU396" s="2" t="s">
        <v>107</v>
      </c>
      <c r="BV396" s="2" t="s">
        <v>1355</v>
      </c>
      <c r="BW396" s="2" t="s">
        <v>1454</v>
      </c>
      <c r="BX396" s="2" t="s">
        <v>2302</v>
      </c>
      <c r="BY396" s="2" t="s">
        <v>110</v>
      </c>
      <c r="BZ396" s="2" t="s">
        <v>98</v>
      </c>
    </row>
    <row r="397">
      <c r="A397" s="2" t="s">
        <v>2303</v>
      </c>
      <c r="B397" s="2" t="s">
        <v>1345</v>
      </c>
      <c r="C397" s="2" t="s">
        <v>88</v>
      </c>
      <c r="D397" s="2" t="s">
        <v>2205</v>
      </c>
      <c r="E397" s="2" t="s">
        <v>1876</v>
      </c>
      <c r="F397" s="2" t="s">
        <v>2295</v>
      </c>
      <c r="G397" s="2" t="s">
        <v>2296</v>
      </c>
      <c r="H397" s="2" t="s">
        <v>2297</v>
      </c>
      <c r="I397" s="2" t="s">
        <v>2298</v>
      </c>
      <c r="J397" s="2" t="s">
        <v>93</v>
      </c>
      <c r="K397" s="2" t="s">
        <v>1915</v>
      </c>
      <c r="L397" s="3">
        <v>171</v>
      </c>
      <c r="M397" s="3">
        <v>179.55</v>
      </c>
      <c r="N397" s="3">
        <v>359</v>
      </c>
      <c r="O397" s="2" t="s">
        <v>95</v>
      </c>
      <c r="P397" s="2" t="s">
        <v>134</v>
      </c>
      <c r="Q397" s="2" t="s">
        <v>97</v>
      </c>
      <c r="R397" s="2" t="s">
        <v>98</v>
      </c>
      <c r="S397" s="2" t="s">
        <v>98</v>
      </c>
      <c r="T397" s="2" t="s">
        <v>98</v>
      </c>
      <c r="U397" s="2" t="s">
        <v>117</v>
      </c>
      <c r="V397" s="2" t="s">
        <v>439</v>
      </c>
      <c r="W397" s="2" t="s">
        <v>103</v>
      </c>
      <c r="X397" s="2" t="s">
        <v>98</v>
      </c>
      <c r="Y397" s="2" t="s">
        <v>2304</v>
      </c>
      <c r="Z397" s="4">
        <v>70</v>
      </c>
      <c r="AA397" s="4">
        <f>=ROUNDDOWN(35,0)</f>
      </c>
      <c r="AB397" s="5">
        <v>2</v>
      </c>
      <c r="AC397" s="2" t="s">
        <v>2305</v>
      </c>
      <c r="AD397" s="4">
        <v>32</v>
      </c>
      <c r="AE397" s="4">
        <v>132</v>
      </c>
      <c r="AF397" s="6">
        <v>65</v>
      </c>
      <c r="AG397" s="6">
        <v>48</v>
      </c>
      <c r="AH397" s="7">
        <v>0.2857</v>
      </c>
      <c r="AI397" s="4"/>
      <c r="AJ397" s="4">
        <f>=ROUNDDOWN({0},0)</f>
      </c>
      <c r="AK397" s="5"/>
      <c r="AL397" s="2" t="s">
        <v>98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/>
      <c r="AW397" s="8"/>
      <c r="AX397" s="4"/>
      <c r="AY397" s="8"/>
      <c r="AZ397" s="7"/>
      <c r="BA397" s="7"/>
      <c r="BB397" s="7"/>
      <c r="BC397" s="4" t="s">
        <v>98</v>
      </c>
      <c r="BD397" s="8" t="s">
        <v>98</v>
      </c>
      <c r="BE397" s="4" t="s">
        <v>98</v>
      </c>
      <c r="BF397" s="8" t="s">
        <v>98</v>
      </c>
      <c r="BG397" s="7" t="s">
        <v>98</v>
      </c>
      <c r="BH397" s="7" t="s">
        <v>98</v>
      </c>
      <c r="BI397" s="7"/>
      <c r="BJ397" s="4"/>
      <c r="BK397" s="8"/>
      <c r="BL397" s="2" t="s">
        <v>2239</v>
      </c>
      <c r="BM397" s="7"/>
      <c r="BN397" s="7"/>
      <c r="BO397" s="4"/>
      <c r="BP397" s="8"/>
      <c r="BQ397" s="4"/>
      <c r="BR397" s="8"/>
      <c r="BS397" s="7"/>
      <c r="BT397" s="7"/>
      <c r="BU397" s="2" t="s">
        <v>1376</v>
      </c>
      <c r="BV397" s="2" t="s">
        <v>1355</v>
      </c>
      <c r="BW397" s="2" t="s">
        <v>98</v>
      </c>
      <c r="BX397" s="2" t="s">
        <v>98</v>
      </c>
      <c r="BY397" s="2" t="s">
        <v>110</v>
      </c>
      <c r="BZ397" s="2" t="s">
        <v>98</v>
      </c>
    </row>
    <row r="398">
      <c r="A398" s="2" t="s">
        <v>2306</v>
      </c>
      <c r="B398" s="2" t="s">
        <v>1345</v>
      </c>
      <c r="C398" s="2" t="s">
        <v>88</v>
      </c>
      <c r="D398" s="2" t="s">
        <v>2205</v>
      </c>
      <c r="E398" s="2" t="s">
        <v>1876</v>
      </c>
      <c r="F398" s="2" t="s">
        <v>2295</v>
      </c>
      <c r="G398" s="2" t="s">
        <v>2296</v>
      </c>
      <c r="H398" s="2" t="s">
        <v>2297</v>
      </c>
      <c r="I398" s="2" t="s">
        <v>2298</v>
      </c>
      <c r="J398" s="2" t="s">
        <v>93</v>
      </c>
      <c r="K398" s="2" t="s">
        <v>2307</v>
      </c>
      <c r="L398" s="3">
        <v>171</v>
      </c>
      <c r="M398" s="3">
        <v>179.55</v>
      </c>
      <c r="N398" s="3">
        <v>359</v>
      </c>
      <c r="O398" s="2" t="s">
        <v>95</v>
      </c>
      <c r="P398" s="2" t="s">
        <v>134</v>
      </c>
      <c r="Q398" s="2" t="s">
        <v>97</v>
      </c>
      <c r="R398" s="2" t="s">
        <v>98</v>
      </c>
      <c r="S398" s="2" t="s">
        <v>98</v>
      </c>
      <c r="T398" s="2" t="s">
        <v>98</v>
      </c>
      <c r="U398" s="2" t="s">
        <v>117</v>
      </c>
      <c r="V398" s="2" t="s">
        <v>439</v>
      </c>
      <c r="W398" s="2" t="s">
        <v>103</v>
      </c>
      <c r="X398" s="2" t="s">
        <v>119</v>
      </c>
      <c r="Y398" s="2" t="s">
        <v>2308</v>
      </c>
      <c r="Z398" s="4">
        <v>30</v>
      </c>
      <c r="AA398" s="4">
        <f>=ROUNDDOWN(5,0)</f>
      </c>
      <c r="AB398" s="5">
        <v>6</v>
      </c>
      <c r="AC398" s="2" t="s">
        <v>1548</v>
      </c>
      <c r="AD398" s="4">
        <v>100</v>
      </c>
      <c r="AE398" s="4">
        <v>100</v>
      </c>
      <c r="AF398" s="6">
        <v>65</v>
      </c>
      <c r="AG398" s="6">
        <v>48</v>
      </c>
      <c r="AH398" s="7">
        <v>1</v>
      </c>
      <c r="AI398" s="4"/>
      <c r="AJ398" s="4">
        <f>=ROUNDDOWN({0},0)</f>
      </c>
      <c r="AK398" s="5"/>
      <c r="AL398" s="2" t="s">
        <v>98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 t="s">
        <v>98</v>
      </c>
      <c r="BD398" s="8" t="s">
        <v>98</v>
      </c>
      <c r="BE398" s="4" t="s">
        <v>98</v>
      </c>
      <c r="BF398" s="8" t="s">
        <v>98</v>
      </c>
      <c r="BG398" s="7" t="s">
        <v>98</v>
      </c>
      <c r="BH398" s="7" t="s">
        <v>98</v>
      </c>
      <c r="BI398" s="7"/>
      <c r="BJ398" s="4">
        <v>11</v>
      </c>
      <c r="BK398" s="8">
        <v>2113.1</v>
      </c>
      <c r="BL398" s="2" t="s">
        <v>1379</v>
      </c>
      <c r="BM398" s="7"/>
      <c r="BN398" s="7"/>
      <c r="BO398" s="4"/>
      <c r="BP398" s="8"/>
      <c r="BQ398" s="4"/>
      <c r="BR398" s="8"/>
      <c r="BS398" s="7"/>
      <c r="BT398" s="7"/>
      <c r="BU398" s="2" t="s">
        <v>1376</v>
      </c>
      <c r="BV398" s="2" t="s">
        <v>95</v>
      </c>
      <c r="BW398" s="2" t="s">
        <v>98</v>
      </c>
      <c r="BX398" s="2" t="s">
        <v>98</v>
      </c>
      <c r="BY398" s="2" t="s">
        <v>110</v>
      </c>
      <c r="BZ398" s="2" t="s">
        <v>98</v>
      </c>
    </row>
    <row r="399">
      <c r="A399" s="2" t="s">
        <v>2309</v>
      </c>
      <c r="B399" s="2" t="s">
        <v>1345</v>
      </c>
      <c r="C399" s="2" t="s">
        <v>88</v>
      </c>
      <c r="D399" s="2" t="s">
        <v>2205</v>
      </c>
      <c r="E399" s="2" t="s">
        <v>1876</v>
      </c>
      <c r="F399" s="2" t="s">
        <v>2310</v>
      </c>
      <c r="G399" s="2" t="s">
        <v>2311</v>
      </c>
      <c r="H399" s="2" t="s">
        <v>2312</v>
      </c>
      <c r="I399" s="2" t="s">
        <v>2313</v>
      </c>
      <c r="J399" s="2" t="s">
        <v>93</v>
      </c>
      <c r="K399" s="2" t="s">
        <v>133</v>
      </c>
      <c r="L399" s="3">
        <v>237.5</v>
      </c>
      <c r="M399" s="3">
        <v>249.38</v>
      </c>
      <c r="N399" s="3">
        <v>499</v>
      </c>
      <c r="O399" s="2" t="s">
        <v>95</v>
      </c>
      <c r="P399" s="2" t="s">
        <v>134</v>
      </c>
      <c r="Q399" s="2" t="s">
        <v>97</v>
      </c>
      <c r="R399" s="2" t="s">
        <v>98</v>
      </c>
      <c r="S399" s="2" t="s">
        <v>2314</v>
      </c>
      <c r="T399" s="2" t="s">
        <v>98</v>
      </c>
      <c r="U399" s="2" t="s">
        <v>98</v>
      </c>
      <c r="V399" s="2" t="s">
        <v>439</v>
      </c>
      <c r="W399" s="2" t="s">
        <v>968</v>
      </c>
      <c r="X399" s="2" t="s">
        <v>98</v>
      </c>
      <c r="Y399" s="2" t="s">
        <v>2315</v>
      </c>
      <c r="Z399" s="4">
        <v>70</v>
      </c>
      <c r="AA399" s="4">
        <f>=ROUNDDOWN(31.8181818181818,0)</f>
      </c>
      <c r="AB399" s="5">
        <v>2.2</v>
      </c>
      <c r="AC399" s="2" t="s">
        <v>1757</v>
      </c>
      <c r="AD399" s="4">
        <v>100</v>
      </c>
      <c r="AE399" s="4">
        <v>100</v>
      </c>
      <c r="AF399" s="6">
        <v>76</v>
      </c>
      <c r="AG399" s="6">
        <v>67</v>
      </c>
      <c r="AH399" s="7">
        <v>1</v>
      </c>
      <c r="AI399" s="4"/>
      <c r="AJ399" s="4">
        <f>=ROUNDDOWN({0},0)</f>
      </c>
      <c r="AK399" s="5"/>
      <c r="AL399" s="2" t="s">
        <v>98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/>
      <c r="AW399" s="8"/>
      <c r="AX399" s="4"/>
      <c r="AY399" s="8"/>
      <c r="AZ399" s="7"/>
      <c r="BA399" s="7"/>
      <c r="BB399" s="7"/>
      <c r="BC399" s="4" t="s">
        <v>98</v>
      </c>
      <c r="BD399" s="8" t="s">
        <v>98</v>
      </c>
      <c r="BE399" s="4" t="s">
        <v>98</v>
      </c>
      <c r="BF399" s="8" t="s">
        <v>98</v>
      </c>
      <c r="BG399" s="7" t="s">
        <v>98</v>
      </c>
      <c r="BH399" s="7" t="s">
        <v>98</v>
      </c>
      <c r="BI399" s="7"/>
      <c r="BJ399" s="4">
        <v>1</v>
      </c>
      <c r="BK399" s="8">
        <v>265.78</v>
      </c>
      <c r="BL399" s="2" t="s">
        <v>1379</v>
      </c>
      <c r="BM399" s="7"/>
      <c r="BN399" s="7"/>
      <c r="BO399" s="4"/>
      <c r="BP399" s="8"/>
      <c r="BQ399" s="4"/>
      <c r="BR399" s="8"/>
      <c r="BS399" s="7"/>
      <c r="BT399" s="7"/>
      <c r="BU399" s="2" t="s">
        <v>107</v>
      </c>
      <c r="BV399" s="2" t="s">
        <v>1355</v>
      </c>
      <c r="BW399" s="2" t="s">
        <v>1356</v>
      </c>
      <c r="BX399" s="2" t="s">
        <v>2316</v>
      </c>
      <c r="BY399" s="2" t="s">
        <v>110</v>
      </c>
      <c r="BZ399" s="2" t="s">
        <v>98</v>
      </c>
    </row>
    <row r="400">
      <c r="A400" s="2" t="s">
        <v>2317</v>
      </c>
      <c r="B400" s="2" t="s">
        <v>1345</v>
      </c>
      <c r="C400" s="2" t="s">
        <v>88</v>
      </c>
      <c r="D400" s="2" t="s">
        <v>2205</v>
      </c>
      <c r="E400" s="2" t="s">
        <v>1876</v>
      </c>
      <c r="F400" s="2" t="s">
        <v>2310</v>
      </c>
      <c r="G400" s="2" t="s">
        <v>2311</v>
      </c>
      <c r="H400" s="2" t="s">
        <v>2312</v>
      </c>
      <c r="I400" s="2" t="s">
        <v>2318</v>
      </c>
      <c r="J400" s="2" t="s">
        <v>93</v>
      </c>
      <c r="K400" s="2" t="s">
        <v>357</v>
      </c>
      <c r="L400" s="3">
        <v>237.5</v>
      </c>
      <c r="M400" s="3">
        <v>249.38</v>
      </c>
      <c r="N400" s="3">
        <v>499</v>
      </c>
      <c r="O400" s="2" t="s">
        <v>95</v>
      </c>
      <c r="P400" s="2" t="s">
        <v>115</v>
      </c>
      <c r="Q400" s="2" t="s">
        <v>97</v>
      </c>
      <c r="R400" s="2" t="s">
        <v>98</v>
      </c>
      <c r="S400" s="2" t="s">
        <v>98</v>
      </c>
      <c r="T400" s="2" t="s">
        <v>98</v>
      </c>
      <c r="U400" s="2" t="s">
        <v>100</v>
      </c>
      <c r="V400" s="2" t="s">
        <v>439</v>
      </c>
      <c r="W400" s="2" t="s">
        <v>968</v>
      </c>
      <c r="X400" s="2" t="s">
        <v>102</v>
      </c>
      <c r="Y400" s="2" t="s">
        <v>2319</v>
      </c>
      <c r="Z400" s="4">
        <v>61</v>
      </c>
      <c r="AA400" s="4">
        <f>=ROUNDDOWN(15.25,0)</f>
      </c>
      <c r="AB400" s="5">
        <v>4</v>
      </c>
      <c r="AC400" s="2" t="s">
        <v>98</v>
      </c>
      <c r="AD400" s="4"/>
      <c r="AE400" s="4"/>
      <c r="AF400" s="6">
        <v>75</v>
      </c>
      <c r="AG400" s="6"/>
      <c r="AH400" s="7">
        <v>1</v>
      </c>
      <c r="AI400" s="4"/>
      <c r="AJ400" s="4">
        <f>=ROUNDDOWN({0},0)</f>
      </c>
      <c r="AK400" s="5"/>
      <c r="AL400" s="2" t="s">
        <v>98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 t="s">
        <v>98</v>
      </c>
      <c r="BD400" s="8" t="s">
        <v>98</v>
      </c>
      <c r="BE400" s="4" t="s">
        <v>98</v>
      </c>
      <c r="BF400" s="8" t="s">
        <v>98</v>
      </c>
      <c r="BG400" s="7" t="s">
        <v>98</v>
      </c>
      <c r="BH400" s="7" t="s">
        <v>98</v>
      </c>
      <c r="BI400" s="7"/>
      <c r="BJ400" s="4">
        <v>3</v>
      </c>
      <c r="BK400" s="8">
        <v>800.89</v>
      </c>
      <c r="BL400" s="2" t="s">
        <v>2320</v>
      </c>
      <c r="BM400" s="7"/>
      <c r="BN400" s="7"/>
      <c r="BO400" s="4"/>
      <c r="BP400" s="8"/>
      <c r="BQ400" s="4"/>
      <c r="BR400" s="8"/>
      <c r="BS400" s="7"/>
      <c r="BT400" s="7"/>
      <c r="BU400" s="2" t="s">
        <v>1376</v>
      </c>
      <c r="BV400" s="2" t="s">
        <v>95</v>
      </c>
      <c r="BW400" s="2" t="s">
        <v>98</v>
      </c>
      <c r="BX400" s="2" t="s">
        <v>98</v>
      </c>
      <c r="BY400" s="2" t="s">
        <v>110</v>
      </c>
      <c r="BZ400" s="2" t="s">
        <v>98</v>
      </c>
    </row>
    <row r="401">
      <c r="A401" s="2" t="s">
        <v>2321</v>
      </c>
      <c r="B401" s="2" t="s">
        <v>1345</v>
      </c>
      <c r="C401" s="2" t="s">
        <v>88</v>
      </c>
      <c r="D401" s="2" t="s">
        <v>2205</v>
      </c>
      <c r="E401" s="2" t="s">
        <v>1876</v>
      </c>
      <c r="F401" s="2" t="s">
        <v>2322</v>
      </c>
      <c r="G401" s="2" t="s">
        <v>2323</v>
      </c>
      <c r="H401" s="2" t="s">
        <v>2324</v>
      </c>
      <c r="I401" s="2" t="s">
        <v>2313</v>
      </c>
      <c r="J401" s="2" t="s">
        <v>93</v>
      </c>
      <c r="K401" s="2" t="s">
        <v>1439</v>
      </c>
      <c r="L401" s="3">
        <v>173.25</v>
      </c>
      <c r="M401" s="3">
        <v>181.91</v>
      </c>
      <c r="N401" s="3">
        <v>369</v>
      </c>
      <c r="O401" s="2" t="s">
        <v>95</v>
      </c>
      <c r="P401" s="2" t="s">
        <v>134</v>
      </c>
      <c r="Q401" s="2" t="s">
        <v>97</v>
      </c>
      <c r="R401" s="2" t="s">
        <v>98</v>
      </c>
      <c r="S401" s="2" t="s">
        <v>2325</v>
      </c>
      <c r="T401" s="2" t="s">
        <v>98</v>
      </c>
      <c r="U401" s="2" t="s">
        <v>98</v>
      </c>
      <c r="V401" s="2" t="s">
        <v>439</v>
      </c>
      <c r="W401" s="2" t="s">
        <v>103</v>
      </c>
      <c r="X401" s="2" t="s">
        <v>98</v>
      </c>
      <c r="Y401" s="2" t="s">
        <v>2326</v>
      </c>
      <c r="Z401" s="4"/>
      <c r="AA401" s="4">
        <f>=ROUNDDOWN({0},0)</f>
      </c>
      <c r="AB401" s="5">
        <v>11</v>
      </c>
      <c r="AC401" s="2" t="s">
        <v>2327</v>
      </c>
      <c r="AD401" s="4">
        <v>43</v>
      </c>
      <c r="AE401" s="4">
        <v>360</v>
      </c>
      <c r="AF401" s="6">
        <v>76</v>
      </c>
      <c r="AG401" s="6">
        <v>67</v>
      </c>
      <c r="AH401" s="7">
        <v>0</v>
      </c>
      <c r="AI401" s="4"/>
      <c r="AJ401" s="4">
        <f>=ROUNDDOWN({0},0)</f>
      </c>
      <c r="AK401" s="5"/>
      <c r="AL401" s="2" t="s">
        <v>98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/>
      <c r="AW401" s="8"/>
      <c r="AX401" s="4"/>
      <c r="AY401" s="8"/>
      <c r="AZ401" s="7"/>
      <c r="BA401" s="7"/>
      <c r="BB401" s="7"/>
      <c r="BC401" s="4"/>
      <c r="BD401" s="8"/>
      <c r="BE401" s="4"/>
      <c r="BF401" s="8"/>
      <c r="BG401" s="7"/>
      <c r="BH401" s="7"/>
      <c r="BI401" s="7"/>
      <c r="BJ401" s="4"/>
      <c r="BK401" s="8"/>
      <c r="BL401" s="2" t="s">
        <v>98</v>
      </c>
      <c r="BM401" s="7"/>
      <c r="BN401" s="7"/>
      <c r="BO401" s="4"/>
      <c r="BP401" s="8"/>
      <c r="BQ401" s="4"/>
      <c r="BR401" s="8"/>
      <c r="BS401" s="7"/>
      <c r="BT401" s="7"/>
      <c r="BU401" s="2" t="s">
        <v>107</v>
      </c>
      <c r="BV401" s="2" t="s">
        <v>1355</v>
      </c>
      <c r="BW401" s="2" t="s">
        <v>1356</v>
      </c>
      <c r="BX401" s="2" t="s">
        <v>2328</v>
      </c>
      <c r="BY401" s="2" t="s">
        <v>110</v>
      </c>
      <c r="BZ401" s="2" t="s">
        <v>98</v>
      </c>
    </row>
    <row r="402">
      <c r="A402" s="2" t="s">
        <v>2329</v>
      </c>
      <c r="B402" s="2" t="s">
        <v>1345</v>
      </c>
      <c r="C402" s="2" t="s">
        <v>88</v>
      </c>
      <c r="D402" s="2" t="s">
        <v>2205</v>
      </c>
      <c r="E402" s="2" t="s">
        <v>1876</v>
      </c>
      <c r="F402" s="2" t="s">
        <v>2330</v>
      </c>
      <c r="G402" s="2" t="s">
        <v>2331</v>
      </c>
      <c r="H402" s="2" t="s">
        <v>2332</v>
      </c>
      <c r="I402" s="2" t="s">
        <v>2333</v>
      </c>
      <c r="J402" s="2" t="s">
        <v>93</v>
      </c>
      <c r="K402" s="2" t="s">
        <v>277</v>
      </c>
      <c r="L402" s="3">
        <v>136.8</v>
      </c>
      <c r="M402" s="3">
        <v>143.64</v>
      </c>
      <c r="N402" s="3">
        <v>289</v>
      </c>
      <c r="O402" s="2" t="s">
        <v>95</v>
      </c>
      <c r="P402" s="2" t="s">
        <v>134</v>
      </c>
      <c r="Q402" s="2" t="s">
        <v>97</v>
      </c>
      <c r="R402" s="2" t="s">
        <v>98</v>
      </c>
      <c r="S402" s="2" t="s">
        <v>2334</v>
      </c>
      <c r="T402" s="2" t="s">
        <v>98</v>
      </c>
      <c r="U402" s="2" t="s">
        <v>98</v>
      </c>
      <c r="V402" s="2" t="s">
        <v>439</v>
      </c>
      <c r="W402" s="2" t="s">
        <v>103</v>
      </c>
      <c r="X402" s="2" t="s">
        <v>98</v>
      </c>
      <c r="Y402" s="2" t="s">
        <v>366</v>
      </c>
      <c r="Z402" s="4">
        <v>178</v>
      </c>
      <c r="AA402" s="4">
        <f>=ROUNDDOWN(8.09090909090909,0)</f>
      </c>
      <c r="AB402" s="5">
        <v>22</v>
      </c>
      <c r="AC402" s="2" t="s">
        <v>2335</v>
      </c>
      <c r="AD402" s="4">
        <v>90</v>
      </c>
      <c r="AE402" s="4">
        <v>500</v>
      </c>
      <c r="AF402" s="6">
        <v>65</v>
      </c>
      <c r="AG402" s="6">
        <v>48</v>
      </c>
      <c r="AH402" s="7">
        <v>1</v>
      </c>
      <c r="AI402" s="4"/>
      <c r="AJ402" s="4">
        <f>=ROUNDDOWN({0},0)</f>
      </c>
      <c r="AK402" s="5"/>
      <c r="AL402" s="2" t="s">
        <v>98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 t="s">
        <v>98</v>
      </c>
      <c r="BD402" s="8" t="s">
        <v>98</v>
      </c>
      <c r="BE402" s="4" t="s">
        <v>98</v>
      </c>
      <c r="BF402" s="8" t="s">
        <v>98</v>
      </c>
      <c r="BG402" s="7" t="s">
        <v>98</v>
      </c>
      <c r="BH402" s="7" t="s">
        <v>98</v>
      </c>
      <c r="BI402" s="7"/>
      <c r="BJ402" s="4">
        <v>12</v>
      </c>
      <c r="BK402" s="8">
        <v>1527.38</v>
      </c>
      <c r="BL402" s="2" t="s">
        <v>1583</v>
      </c>
      <c r="BM402" s="7"/>
      <c r="BN402" s="7"/>
      <c r="BO402" s="4"/>
      <c r="BP402" s="8"/>
      <c r="BQ402" s="4"/>
      <c r="BR402" s="8"/>
      <c r="BS402" s="7"/>
      <c r="BT402" s="7"/>
      <c r="BU402" s="2" t="s">
        <v>107</v>
      </c>
      <c r="BV402" s="2" t="s">
        <v>1355</v>
      </c>
      <c r="BW402" s="2" t="s">
        <v>497</v>
      </c>
      <c r="BX402" s="2" t="s">
        <v>2336</v>
      </c>
      <c r="BY402" s="2" t="s">
        <v>110</v>
      </c>
      <c r="BZ402" s="2" t="s">
        <v>98</v>
      </c>
    </row>
    <row r="403">
      <c r="A403" s="2" t="s">
        <v>2337</v>
      </c>
      <c r="B403" s="2" t="s">
        <v>1345</v>
      </c>
      <c r="C403" s="2" t="s">
        <v>88</v>
      </c>
      <c r="D403" s="2" t="s">
        <v>2205</v>
      </c>
      <c r="E403" s="2" t="s">
        <v>1876</v>
      </c>
      <c r="F403" s="2" t="s">
        <v>2330</v>
      </c>
      <c r="G403" s="2" t="s">
        <v>2331</v>
      </c>
      <c r="H403" s="2" t="s">
        <v>2332</v>
      </c>
      <c r="I403" s="2" t="s">
        <v>2333</v>
      </c>
      <c r="J403" s="2" t="s">
        <v>93</v>
      </c>
      <c r="K403" s="2" t="s">
        <v>1052</v>
      </c>
      <c r="L403" s="3">
        <v>136.8</v>
      </c>
      <c r="M403" s="3">
        <v>143.64</v>
      </c>
      <c r="N403" s="3">
        <v>289</v>
      </c>
      <c r="O403" s="2" t="s">
        <v>95</v>
      </c>
      <c r="P403" s="2" t="s">
        <v>134</v>
      </c>
      <c r="Q403" s="2" t="s">
        <v>97</v>
      </c>
      <c r="R403" s="2" t="s">
        <v>98</v>
      </c>
      <c r="S403" s="2" t="s">
        <v>2338</v>
      </c>
      <c r="T403" s="2" t="s">
        <v>98</v>
      </c>
      <c r="U403" s="2" t="s">
        <v>98</v>
      </c>
      <c r="V403" s="2" t="s">
        <v>439</v>
      </c>
      <c r="W403" s="2" t="s">
        <v>314</v>
      </c>
      <c r="X403" s="2" t="s">
        <v>98</v>
      </c>
      <c r="Y403" s="2" t="s">
        <v>366</v>
      </c>
      <c r="Z403" s="4">
        <v>167</v>
      </c>
      <c r="AA403" s="4">
        <f>=ROUNDDOWN(11.1333333333333,0)</f>
      </c>
      <c r="AB403" s="5">
        <v>15</v>
      </c>
      <c r="AC403" s="2" t="s">
        <v>222</v>
      </c>
      <c r="AD403" s="4">
        <v>150</v>
      </c>
      <c r="AE403" s="4">
        <v>250</v>
      </c>
      <c r="AF403" s="6">
        <v>65</v>
      </c>
      <c r="AG403" s="6">
        <v>48</v>
      </c>
      <c r="AH403" s="7">
        <v>1</v>
      </c>
      <c r="AI403" s="4"/>
      <c r="AJ403" s="4">
        <f>=ROUNDDOWN({0},0)</f>
      </c>
      <c r="AK403" s="5"/>
      <c r="AL403" s="2" t="s">
        <v>98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 t="s">
        <v>98</v>
      </c>
      <c r="BD403" s="8" t="s">
        <v>98</v>
      </c>
      <c r="BE403" s="4" t="s">
        <v>98</v>
      </c>
      <c r="BF403" s="8" t="s">
        <v>98</v>
      </c>
      <c r="BG403" s="7" t="s">
        <v>98</v>
      </c>
      <c r="BH403" s="7" t="s">
        <v>98</v>
      </c>
      <c r="BI403" s="7"/>
      <c r="BJ403" s="4">
        <v>5</v>
      </c>
      <c r="BK403" s="8">
        <v>569.48</v>
      </c>
      <c r="BL403" s="2" t="s">
        <v>1379</v>
      </c>
      <c r="BM403" s="7"/>
      <c r="BN403" s="7"/>
      <c r="BO403" s="4"/>
      <c r="BP403" s="8"/>
      <c r="BQ403" s="4"/>
      <c r="BR403" s="8"/>
      <c r="BS403" s="7"/>
      <c r="BT403" s="7"/>
      <c r="BU403" s="2" t="s">
        <v>107</v>
      </c>
      <c r="BV403" s="2" t="s">
        <v>1355</v>
      </c>
      <c r="BW403" s="2" t="s">
        <v>1356</v>
      </c>
      <c r="BX403" s="2" t="s">
        <v>2339</v>
      </c>
      <c r="BY403" s="2" t="s">
        <v>110</v>
      </c>
      <c r="BZ403" s="2" t="s">
        <v>98</v>
      </c>
    </row>
    <row r="404">
      <c r="A404" s="2" t="s">
        <v>2340</v>
      </c>
      <c r="B404" s="2" t="s">
        <v>1345</v>
      </c>
      <c r="C404" s="2" t="s">
        <v>88</v>
      </c>
      <c r="D404" s="2" t="s">
        <v>2205</v>
      </c>
      <c r="E404" s="2" t="s">
        <v>1876</v>
      </c>
      <c r="F404" s="2" t="s">
        <v>2330</v>
      </c>
      <c r="G404" s="2" t="s">
        <v>2331</v>
      </c>
      <c r="H404" s="2" t="s">
        <v>2332</v>
      </c>
      <c r="I404" s="2" t="s">
        <v>2333</v>
      </c>
      <c r="J404" s="2" t="s">
        <v>93</v>
      </c>
      <c r="K404" s="2" t="s">
        <v>133</v>
      </c>
      <c r="L404" s="3">
        <v>136.8</v>
      </c>
      <c r="M404" s="3">
        <v>143.64</v>
      </c>
      <c r="N404" s="3">
        <v>289</v>
      </c>
      <c r="O404" s="2" t="s">
        <v>95</v>
      </c>
      <c r="P404" s="2" t="s">
        <v>134</v>
      </c>
      <c r="Q404" s="2" t="s">
        <v>97</v>
      </c>
      <c r="R404" s="2" t="s">
        <v>98</v>
      </c>
      <c r="S404" s="2" t="s">
        <v>2341</v>
      </c>
      <c r="T404" s="2" t="s">
        <v>98</v>
      </c>
      <c r="U404" s="2" t="s">
        <v>98</v>
      </c>
      <c r="V404" s="2" t="s">
        <v>439</v>
      </c>
      <c r="W404" s="2" t="s">
        <v>103</v>
      </c>
      <c r="X404" s="2" t="s">
        <v>98</v>
      </c>
      <c r="Y404" s="2" t="s">
        <v>366</v>
      </c>
      <c r="Z404" s="4">
        <v>129</v>
      </c>
      <c r="AA404" s="4">
        <f>=ROUNDDOWN(10.75,0)</f>
      </c>
      <c r="AB404" s="5">
        <v>12</v>
      </c>
      <c r="AC404" s="2" t="s">
        <v>222</v>
      </c>
      <c r="AD404" s="4">
        <v>110</v>
      </c>
      <c r="AE404" s="4">
        <v>225</v>
      </c>
      <c r="AF404" s="6">
        <v>65</v>
      </c>
      <c r="AG404" s="6">
        <v>48</v>
      </c>
      <c r="AH404" s="7">
        <v>1</v>
      </c>
      <c r="AI404" s="4"/>
      <c r="AJ404" s="4">
        <f>=ROUNDDOWN({0},0)</f>
      </c>
      <c r="AK404" s="5"/>
      <c r="AL404" s="2" t="s">
        <v>98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 t="s">
        <v>98</v>
      </c>
      <c r="BD404" s="8" t="s">
        <v>98</v>
      </c>
      <c r="BE404" s="4" t="s">
        <v>98</v>
      </c>
      <c r="BF404" s="8" t="s">
        <v>98</v>
      </c>
      <c r="BG404" s="7" t="s">
        <v>98</v>
      </c>
      <c r="BH404" s="7" t="s">
        <v>98</v>
      </c>
      <c r="BI404" s="7"/>
      <c r="BJ404" s="4">
        <v>5</v>
      </c>
      <c r="BK404" s="8">
        <v>653.28</v>
      </c>
      <c r="BL404" s="2" t="s">
        <v>1379</v>
      </c>
      <c r="BM404" s="7"/>
      <c r="BN404" s="7"/>
      <c r="BO404" s="4"/>
      <c r="BP404" s="8"/>
      <c r="BQ404" s="4"/>
      <c r="BR404" s="8"/>
      <c r="BS404" s="7"/>
      <c r="BT404" s="7"/>
      <c r="BU404" s="2" t="s">
        <v>107</v>
      </c>
      <c r="BV404" s="2" t="s">
        <v>1355</v>
      </c>
      <c r="BW404" s="2" t="s">
        <v>497</v>
      </c>
      <c r="BX404" s="2" t="s">
        <v>2342</v>
      </c>
      <c r="BY404" s="2" t="s">
        <v>110</v>
      </c>
      <c r="BZ404" s="2" t="s">
        <v>98</v>
      </c>
    </row>
    <row r="405">
      <c r="A405" s="2" t="s">
        <v>2343</v>
      </c>
      <c r="B405" s="2" t="s">
        <v>1345</v>
      </c>
      <c r="C405" s="2" t="s">
        <v>88</v>
      </c>
      <c r="D405" s="2" t="s">
        <v>2205</v>
      </c>
      <c r="E405" s="2" t="s">
        <v>1876</v>
      </c>
      <c r="F405" s="2" t="s">
        <v>2344</v>
      </c>
      <c r="G405" s="2" t="s">
        <v>2345</v>
      </c>
      <c r="H405" s="2" t="s">
        <v>2346</v>
      </c>
      <c r="I405" s="2" t="s">
        <v>2318</v>
      </c>
      <c r="J405" s="2" t="s">
        <v>93</v>
      </c>
      <c r="K405" s="2" t="s">
        <v>1439</v>
      </c>
      <c r="L405" s="3">
        <v>232.97</v>
      </c>
      <c r="M405" s="3">
        <v>244.62</v>
      </c>
      <c r="N405" s="3">
        <v>499</v>
      </c>
      <c r="O405" s="2" t="s">
        <v>95</v>
      </c>
      <c r="P405" s="2" t="s">
        <v>134</v>
      </c>
      <c r="Q405" s="2" t="s">
        <v>97</v>
      </c>
      <c r="R405" s="2" t="s">
        <v>98</v>
      </c>
      <c r="S405" s="2" t="s">
        <v>98</v>
      </c>
      <c r="T405" s="2" t="s">
        <v>98</v>
      </c>
      <c r="U405" s="2" t="s">
        <v>100</v>
      </c>
      <c r="V405" s="2" t="s">
        <v>439</v>
      </c>
      <c r="W405" s="2" t="s">
        <v>102</v>
      </c>
      <c r="X405" s="2" t="s">
        <v>98</v>
      </c>
      <c r="Y405" s="2" t="s">
        <v>2347</v>
      </c>
      <c r="Z405" s="4">
        <v>97</v>
      </c>
      <c r="AA405" s="4">
        <f>=ROUNDDOWN(30.3125,0)</f>
      </c>
      <c r="AB405" s="5">
        <v>3.2</v>
      </c>
      <c r="AC405" s="2" t="s">
        <v>177</v>
      </c>
      <c r="AD405" s="4">
        <v>100</v>
      </c>
      <c r="AE405" s="4">
        <v>100</v>
      </c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98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/>
      <c r="BD405" s="8"/>
      <c r="BE405" s="4"/>
      <c r="BF405" s="8"/>
      <c r="BG405" s="7"/>
      <c r="BH405" s="7"/>
      <c r="BI405" s="7"/>
      <c r="BJ405" s="4">
        <v>1</v>
      </c>
      <c r="BK405" s="8">
        <v>192</v>
      </c>
      <c r="BL405" s="2" t="s">
        <v>2348</v>
      </c>
      <c r="BM405" s="7"/>
      <c r="BN405" s="7"/>
      <c r="BO405" s="4"/>
      <c r="BP405" s="8"/>
      <c r="BQ405" s="4"/>
      <c r="BR405" s="8"/>
      <c r="BS405" s="7"/>
      <c r="BT405" s="7"/>
      <c r="BU405" s="2" t="s">
        <v>1376</v>
      </c>
      <c r="BV405" s="2" t="s">
        <v>1355</v>
      </c>
      <c r="BW405" s="2" t="s">
        <v>98</v>
      </c>
      <c r="BX405" s="2" t="s">
        <v>98</v>
      </c>
      <c r="BY405" s="2" t="s">
        <v>110</v>
      </c>
      <c r="BZ405" s="2" t="s">
        <v>98</v>
      </c>
    </row>
    <row r="406">
      <c r="A406" s="2" t="s">
        <v>2349</v>
      </c>
      <c r="B406" s="2" t="s">
        <v>1345</v>
      </c>
      <c r="C406" s="2" t="s">
        <v>88</v>
      </c>
      <c r="D406" s="2" t="s">
        <v>2205</v>
      </c>
      <c r="E406" s="2" t="s">
        <v>1876</v>
      </c>
      <c r="F406" s="2" t="s">
        <v>2350</v>
      </c>
      <c r="G406" s="2" t="s">
        <v>2351</v>
      </c>
      <c r="H406" s="2" t="s">
        <v>2352</v>
      </c>
      <c r="I406" s="2" t="s">
        <v>2353</v>
      </c>
      <c r="J406" s="2" t="s">
        <v>93</v>
      </c>
      <c r="K406" s="2" t="s">
        <v>514</v>
      </c>
      <c r="L406" s="3">
        <v>263.5</v>
      </c>
      <c r="M406" s="3">
        <v>276.68</v>
      </c>
      <c r="N406" s="3">
        <v>549</v>
      </c>
      <c r="O406" s="2" t="s">
        <v>95</v>
      </c>
      <c r="P406" s="2" t="s">
        <v>134</v>
      </c>
      <c r="Q406" s="2" t="s">
        <v>97</v>
      </c>
      <c r="R406" s="2" t="s">
        <v>98</v>
      </c>
      <c r="S406" s="2" t="s">
        <v>2354</v>
      </c>
      <c r="T406" s="2" t="s">
        <v>98</v>
      </c>
      <c r="U406" s="2" t="s">
        <v>100</v>
      </c>
      <c r="V406" s="2" t="s">
        <v>296</v>
      </c>
      <c r="W406" s="2" t="s">
        <v>204</v>
      </c>
      <c r="X406" s="2" t="s">
        <v>103</v>
      </c>
      <c r="Y406" s="2" t="s">
        <v>2169</v>
      </c>
      <c r="Z406" s="4">
        <v>257</v>
      </c>
      <c r="AA406" s="4">
        <f>=ROUNDDOWN(14.2777777777778,0)</f>
      </c>
      <c r="AB406" s="5">
        <v>18</v>
      </c>
      <c r="AC406" s="2" t="s">
        <v>1457</v>
      </c>
      <c r="AD406" s="4">
        <v>90</v>
      </c>
      <c r="AE406" s="4">
        <v>190</v>
      </c>
      <c r="AF406" s="6">
        <v>65</v>
      </c>
      <c r="AG406" s="6">
        <v>48</v>
      </c>
      <c r="AH406" s="7">
        <v>1</v>
      </c>
      <c r="AI406" s="4"/>
      <c r="AJ406" s="4">
        <f>=ROUNDDOWN({0},0)</f>
      </c>
      <c r="AK406" s="5"/>
      <c r="AL406" s="2" t="s">
        <v>98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/>
      <c r="BD406" s="8"/>
      <c r="BE406" s="4"/>
      <c r="BF406" s="8"/>
      <c r="BG406" s="7"/>
      <c r="BH406" s="7"/>
      <c r="BI406" s="7"/>
      <c r="BJ406" s="4">
        <v>12</v>
      </c>
      <c r="BK406" s="8">
        <v>3250.55</v>
      </c>
      <c r="BL406" s="2" t="s">
        <v>2355</v>
      </c>
      <c r="BM406" s="7"/>
      <c r="BN406" s="7"/>
      <c r="BO406" s="4"/>
      <c r="BP406" s="8"/>
      <c r="BQ406" s="4"/>
      <c r="BR406" s="8"/>
      <c r="BS406" s="7"/>
      <c r="BT406" s="7"/>
      <c r="BU406" s="2" t="s">
        <v>107</v>
      </c>
      <c r="BV406" s="2" t="s">
        <v>1355</v>
      </c>
      <c r="BW406" s="2" t="s">
        <v>2097</v>
      </c>
      <c r="BX406" s="2" t="s">
        <v>98</v>
      </c>
      <c r="BY406" s="2" t="s">
        <v>110</v>
      </c>
      <c r="BZ406" s="2" t="s">
        <v>98</v>
      </c>
    </row>
    <row r="407">
      <c r="A407" s="2" t="s">
        <v>2356</v>
      </c>
      <c r="B407" s="2" t="s">
        <v>1345</v>
      </c>
      <c r="C407" s="2" t="s">
        <v>88</v>
      </c>
      <c r="D407" s="2" t="s">
        <v>2205</v>
      </c>
      <c r="E407" s="2" t="s">
        <v>1876</v>
      </c>
      <c r="F407" s="2" t="s">
        <v>2357</v>
      </c>
      <c r="G407" s="2" t="s">
        <v>2358</v>
      </c>
      <c r="H407" s="2" t="s">
        <v>2359</v>
      </c>
      <c r="I407" s="2" t="s">
        <v>2209</v>
      </c>
      <c r="J407" s="2" t="s">
        <v>93</v>
      </c>
      <c r="K407" s="2" t="s">
        <v>127</v>
      </c>
      <c r="L407" s="3">
        <v>285.2</v>
      </c>
      <c r="M407" s="3">
        <v>299.46</v>
      </c>
      <c r="N407" s="3">
        <v>599</v>
      </c>
      <c r="O407" s="2" t="s">
        <v>95</v>
      </c>
      <c r="P407" s="2" t="s">
        <v>134</v>
      </c>
      <c r="Q407" s="2" t="s">
        <v>97</v>
      </c>
      <c r="R407" s="2" t="s">
        <v>98</v>
      </c>
      <c r="S407" s="2" t="s">
        <v>98</v>
      </c>
      <c r="T407" s="2" t="s">
        <v>98</v>
      </c>
      <c r="U407" s="2" t="s">
        <v>100</v>
      </c>
      <c r="V407" s="2" t="s">
        <v>296</v>
      </c>
      <c r="W407" s="2" t="s">
        <v>102</v>
      </c>
      <c r="X407" s="2" t="s">
        <v>98</v>
      </c>
      <c r="Y407" s="2" t="s">
        <v>2360</v>
      </c>
      <c r="Z407" s="4">
        <v>199</v>
      </c>
      <c r="AA407" s="4">
        <f>=ROUNDDOWN(39.8,0)</f>
      </c>
      <c r="AB407" s="5">
        <v>5</v>
      </c>
      <c r="AC407" s="2" t="s">
        <v>98</v>
      </c>
      <c r="AD407" s="4"/>
      <c r="AE407" s="4"/>
      <c r="AF407" s="6">
        <v>65</v>
      </c>
      <c r="AG407" s="6">
        <v>48</v>
      </c>
      <c r="AH407" s="7">
        <v>1</v>
      </c>
      <c r="AI407" s="4"/>
      <c r="AJ407" s="4">
        <f>=ROUNDDOWN({0},0)</f>
      </c>
      <c r="AK407" s="5"/>
      <c r="AL407" s="2" t="s">
        <v>98</v>
      </c>
      <c r="AM407" s="4"/>
      <c r="AN407" s="4"/>
      <c r="AO407" s="7">
        <v>0</v>
      </c>
      <c r="AP407" s="4"/>
      <c r="AQ407" s="8"/>
      <c r="AR407" s="4">
        <v>3</v>
      </c>
      <c r="AS407" s="8">
        <v>953.37</v>
      </c>
      <c r="AT407" s="7">
        <v>-1</v>
      </c>
      <c r="AU407" s="7">
        <v>-1</v>
      </c>
      <c r="AV407" s="4"/>
      <c r="AW407" s="8"/>
      <c r="AX407" s="4">
        <v>3</v>
      </c>
      <c r="AY407" s="8">
        <v>953.37</v>
      </c>
      <c r="AZ407" s="7">
        <v>-1</v>
      </c>
      <c r="BA407" s="7">
        <v>-1</v>
      </c>
      <c r="BB407" s="7"/>
      <c r="BC407" s="4"/>
      <c r="BD407" s="8"/>
      <c r="BE407" s="4">
        <v>3</v>
      </c>
      <c r="BF407" s="8">
        <v>953.37</v>
      </c>
      <c r="BG407" s="7">
        <v>-1</v>
      </c>
      <c r="BH407" s="7">
        <v>-1</v>
      </c>
      <c r="BI407" s="7"/>
      <c r="BJ407" s="4">
        <v>2</v>
      </c>
      <c r="BK407" s="8">
        <v>597.62</v>
      </c>
      <c r="BL407" s="2" t="s">
        <v>2361</v>
      </c>
      <c r="BM407" s="7"/>
      <c r="BN407" s="7"/>
      <c r="BO407" s="4"/>
      <c r="BP407" s="8"/>
      <c r="BQ407" s="4">
        <v>3</v>
      </c>
      <c r="BR407" s="8">
        <v>953.37</v>
      </c>
      <c r="BS407" s="7">
        <v>-1</v>
      </c>
      <c r="BT407" s="7">
        <v>-1</v>
      </c>
      <c r="BU407" s="2" t="s">
        <v>107</v>
      </c>
      <c r="BV407" s="2" t="s">
        <v>1355</v>
      </c>
      <c r="BW407" s="2" t="s">
        <v>2292</v>
      </c>
      <c r="BX407" s="2" t="s">
        <v>2362</v>
      </c>
      <c r="BY407" s="2" t="s">
        <v>110</v>
      </c>
      <c r="BZ407" s="2" t="s">
        <v>98</v>
      </c>
    </row>
    <row r="408">
      <c r="A408" s="2" t="s">
        <v>2363</v>
      </c>
      <c r="B408" s="2" t="s">
        <v>1345</v>
      </c>
      <c r="C408" s="2" t="s">
        <v>88</v>
      </c>
      <c r="D408" s="2" t="s">
        <v>2205</v>
      </c>
      <c r="E408" s="2" t="s">
        <v>1876</v>
      </c>
      <c r="F408" s="2" t="s">
        <v>2364</v>
      </c>
      <c r="G408" s="2" t="s">
        <v>2365</v>
      </c>
      <c r="H408" s="2" t="s">
        <v>2366</v>
      </c>
      <c r="I408" s="2" t="s">
        <v>2290</v>
      </c>
      <c r="J408" s="2" t="s">
        <v>93</v>
      </c>
      <c r="K408" s="2" t="s">
        <v>1439</v>
      </c>
      <c r="L408" s="3">
        <v>256.5</v>
      </c>
      <c r="M408" s="3">
        <v>269.32</v>
      </c>
      <c r="N408" s="3">
        <v>549</v>
      </c>
      <c r="O408" s="2" t="s">
        <v>95</v>
      </c>
      <c r="P408" s="2" t="s">
        <v>134</v>
      </c>
      <c r="Q408" s="2" t="s">
        <v>97</v>
      </c>
      <c r="R408" s="2" t="s">
        <v>98</v>
      </c>
      <c r="S408" s="2" t="s">
        <v>98</v>
      </c>
      <c r="T408" s="2" t="s">
        <v>98</v>
      </c>
      <c r="U408" s="2" t="s">
        <v>100</v>
      </c>
      <c r="V408" s="2" t="s">
        <v>439</v>
      </c>
      <c r="W408" s="2" t="s">
        <v>103</v>
      </c>
      <c r="X408" s="2" t="s">
        <v>204</v>
      </c>
      <c r="Y408" s="2" t="s">
        <v>764</v>
      </c>
      <c r="Z408" s="4">
        <v>69</v>
      </c>
      <c r="AA408" s="4">
        <f>=ROUNDDOWN(17.25,0)</f>
      </c>
      <c r="AB408" s="5">
        <v>4</v>
      </c>
      <c r="AC408" s="2" t="s">
        <v>1457</v>
      </c>
      <c r="AD408" s="4">
        <v>140</v>
      </c>
      <c r="AE408" s="4">
        <v>140</v>
      </c>
      <c r="AF408" s="6">
        <v>67</v>
      </c>
      <c r="AG408" s="6">
        <v>50</v>
      </c>
      <c r="AH408" s="7">
        <v>1</v>
      </c>
      <c r="AI408" s="4"/>
      <c r="AJ408" s="4">
        <f>=ROUNDDOWN({0},0)</f>
      </c>
      <c r="AK408" s="5"/>
      <c r="AL408" s="2" t="s">
        <v>98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/>
      <c r="BD408" s="8"/>
      <c r="BE408" s="4"/>
      <c r="BF408" s="8"/>
      <c r="BG408" s="7"/>
      <c r="BH408" s="7"/>
      <c r="BI408" s="7"/>
      <c r="BJ408" s="4">
        <v>3</v>
      </c>
      <c r="BK408" s="8">
        <v>878.26</v>
      </c>
      <c r="BL408" s="2" t="s">
        <v>2054</v>
      </c>
      <c r="BM408" s="7"/>
      <c r="BN408" s="7"/>
      <c r="BO408" s="4"/>
      <c r="BP408" s="8"/>
      <c r="BQ408" s="4"/>
      <c r="BR408" s="8"/>
      <c r="BS408" s="7"/>
      <c r="BT408" s="7"/>
      <c r="BU408" s="2" t="s">
        <v>107</v>
      </c>
      <c r="BV408" s="2" t="s">
        <v>1355</v>
      </c>
      <c r="BW408" s="2" t="s">
        <v>1388</v>
      </c>
      <c r="BX408" s="2" t="s">
        <v>2367</v>
      </c>
      <c r="BY408" s="2" t="s">
        <v>110</v>
      </c>
      <c r="BZ408" s="2" t="s">
        <v>98</v>
      </c>
    </row>
    <row r="409">
      <c r="A409" s="2" t="s">
        <v>2368</v>
      </c>
      <c r="B409" s="2" t="s">
        <v>1345</v>
      </c>
      <c r="C409" s="2" t="s">
        <v>88</v>
      </c>
      <c r="D409" s="2" t="s">
        <v>2205</v>
      </c>
      <c r="E409" s="2" t="s">
        <v>2205</v>
      </c>
      <c r="F409" s="2" t="s">
        <v>2369</v>
      </c>
      <c r="G409" s="2" t="s">
        <v>2370</v>
      </c>
      <c r="H409" s="2" t="s">
        <v>2371</v>
      </c>
      <c r="I409" s="2" t="s">
        <v>2372</v>
      </c>
      <c r="J409" s="2" t="s">
        <v>93</v>
      </c>
      <c r="K409" s="2" t="s">
        <v>1439</v>
      </c>
      <c r="L409" s="3">
        <v>220</v>
      </c>
      <c r="M409" s="3">
        <v>231</v>
      </c>
      <c r="N409" s="3">
        <v>459</v>
      </c>
      <c r="O409" s="2" t="s">
        <v>155</v>
      </c>
      <c r="P409" s="2" t="s">
        <v>115</v>
      </c>
      <c r="Q409" s="2" t="s">
        <v>97</v>
      </c>
      <c r="R409" s="2" t="s">
        <v>98</v>
      </c>
      <c r="S409" s="2" t="s">
        <v>98</v>
      </c>
      <c r="T409" s="2" t="s">
        <v>98</v>
      </c>
      <c r="U409" s="2" t="s">
        <v>100</v>
      </c>
      <c r="V409" s="2" t="s">
        <v>296</v>
      </c>
      <c r="W409" s="2" t="s">
        <v>103</v>
      </c>
      <c r="X409" s="2" t="s">
        <v>102</v>
      </c>
      <c r="Y409" s="2" t="s">
        <v>2373</v>
      </c>
      <c r="Z409" s="4">
        <v>63</v>
      </c>
      <c r="AA409" s="4">
        <f>=ROUNDDOWN({0},0)</f>
      </c>
      <c r="AB409" s="5"/>
      <c r="AC409" s="2" t="s">
        <v>98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98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/>
      <c r="BD409" s="8"/>
      <c r="BE409" s="4"/>
      <c r="BF409" s="8"/>
      <c r="BG409" s="7"/>
      <c r="BH409" s="7"/>
      <c r="BI409" s="7"/>
      <c r="BJ409" s="4"/>
      <c r="BK409" s="8"/>
      <c r="BL409" s="2" t="s">
        <v>895</v>
      </c>
      <c r="BM409" s="7"/>
      <c r="BN409" s="7"/>
      <c r="BO409" s="4"/>
      <c r="BP409" s="8"/>
      <c r="BQ409" s="4"/>
      <c r="BR409" s="8"/>
      <c r="BS409" s="7"/>
      <c r="BT409" s="7"/>
      <c r="BU409" s="2" t="s">
        <v>1376</v>
      </c>
      <c r="BV409" s="2" t="s">
        <v>95</v>
      </c>
      <c r="BW409" s="2" t="s">
        <v>98</v>
      </c>
      <c r="BX409" s="2" t="s">
        <v>98</v>
      </c>
      <c r="BY409" s="2" t="s">
        <v>110</v>
      </c>
      <c r="BZ409" s="2" t="s">
        <v>98</v>
      </c>
    </row>
    <row r="410">
      <c r="A410" s="2" t="s">
        <v>2374</v>
      </c>
      <c r="B410" s="2" t="s">
        <v>1345</v>
      </c>
      <c r="C410" s="2" t="s">
        <v>88</v>
      </c>
      <c r="D410" s="2" t="s">
        <v>2205</v>
      </c>
      <c r="E410" s="2" t="s">
        <v>2205</v>
      </c>
      <c r="F410" s="2" t="s">
        <v>1506</v>
      </c>
      <c r="G410" s="2" t="s">
        <v>2375</v>
      </c>
      <c r="H410" s="2" t="s">
        <v>2376</v>
      </c>
      <c r="I410" s="2" t="s">
        <v>2377</v>
      </c>
      <c r="J410" s="2" t="s">
        <v>93</v>
      </c>
      <c r="K410" s="2" t="s">
        <v>277</v>
      </c>
      <c r="L410" s="3">
        <v>190</v>
      </c>
      <c r="M410" s="3">
        <v>199.5</v>
      </c>
      <c r="N410" s="3">
        <v>399</v>
      </c>
      <c r="O410" s="2" t="s">
        <v>95</v>
      </c>
      <c r="P410" s="2" t="s">
        <v>295</v>
      </c>
      <c r="Q410" s="2" t="s">
        <v>97</v>
      </c>
      <c r="R410" s="2" t="s">
        <v>98</v>
      </c>
      <c r="S410" s="2" t="s">
        <v>98</v>
      </c>
      <c r="T410" s="2" t="s">
        <v>98</v>
      </c>
      <c r="U410" s="2" t="s">
        <v>117</v>
      </c>
      <c r="V410" s="2" t="s">
        <v>439</v>
      </c>
      <c r="W410" s="2" t="s">
        <v>103</v>
      </c>
      <c r="X410" s="2" t="s">
        <v>204</v>
      </c>
      <c r="Y410" s="2" t="s">
        <v>98</v>
      </c>
      <c r="Z410" s="4"/>
      <c r="AA410" s="4">
        <f>=ROUNDDOWN({0},0)</f>
      </c>
      <c r="AB410" s="5"/>
      <c r="AC410" s="2" t="s">
        <v>323</v>
      </c>
      <c r="AD410" s="4">
        <v>1</v>
      </c>
      <c r="AE410" s="4">
        <v>100</v>
      </c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98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98</v>
      </c>
      <c r="BD410" s="8" t="s">
        <v>98</v>
      </c>
      <c r="BE410" s="4" t="s">
        <v>98</v>
      </c>
      <c r="BF410" s="8" t="s">
        <v>98</v>
      </c>
      <c r="BG410" s="7" t="s">
        <v>98</v>
      </c>
      <c r="BH410" s="7" t="s">
        <v>98</v>
      </c>
      <c r="BI410" s="7"/>
      <c r="BJ410" s="4"/>
      <c r="BK410" s="8"/>
      <c r="BL410" s="2" t="s">
        <v>98</v>
      </c>
      <c r="BM410" s="7"/>
      <c r="BN410" s="7"/>
      <c r="BO410" s="4"/>
      <c r="BP410" s="8"/>
      <c r="BQ410" s="4"/>
      <c r="BR410" s="8"/>
      <c r="BS410" s="7"/>
      <c r="BT410" s="7"/>
      <c r="BU410" s="2" t="s">
        <v>1376</v>
      </c>
      <c r="BV410" s="2" t="s">
        <v>95</v>
      </c>
      <c r="BW410" s="2" t="s">
        <v>98</v>
      </c>
      <c r="BX410" s="2" t="s">
        <v>98</v>
      </c>
      <c r="BY410" s="2" t="s">
        <v>110</v>
      </c>
      <c r="BZ410" s="2" t="s">
        <v>98</v>
      </c>
    </row>
    <row r="411">
      <c r="A411" s="2" t="s">
        <v>2378</v>
      </c>
      <c r="B411" s="2" t="s">
        <v>1345</v>
      </c>
      <c r="C411" s="2" t="s">
        <v>88</v>
      </c>
      <c r="D411" s="2" t="s">
        <v>2205</v>
      </c>
      <c r="E411" s="2" t="s">
        <v>2205</v>
      </c>
      <c r="F411" s="2" t="s">
        <v>1506</v>
      </c>
      <c r="G411" s="2" t="s">
        <v>2375</v>
      </c>
      <c r="H411" s="2" t="s">
        <v>2376</v>
      </c>
      <c r="I411" s="2" t="s">
        <v>2377</v>
      </c>
      <c r="J411" s="2" t="s">
        <v>93</v>
      </c>
      <c r="K411" s="2" t="s">
        <v>1439</v>
      </c>
      <c r="L411" s="3">
        <v>190</v>
      </c>
      <c r="M411" s="3">
        <v>199.5</v>
      </c>
      <c r="N411" s="3">
        <v>399</v>
      </c>
      <c r="O411" s="2" t="s">
        <v>95</v>
      </c>
      <c r="P411" s="2" t="s">
        <v>295</v>
      </c>
      <c r="Q411" s="2" t="s">
        <v>97</v>
      </c>
      <c r="R411" s="2" t="s">
        <v>98</v>
      </c>
      <c r="S411" s="2" t="s">
        <v>98</v>
      </c>
      <c r="T411" s="2" t="s">
        <v>98</v>
      </c>
      <c r="U411" s="2" t="s">
        <v>117</v>
      </c>
      <c r="V411" s="2" t="s">
        <v>439</v>
      </c>
      <c r="W411" s="2" t="s">
        <v>103</v>
      </c>
      <c r="X411" s="2" t="s">
        <v>204</v>
      </c>
      <c r="Y411" s="2" t="s">
        <v>98</v>
      </c>
      <c r="Z411" s="4"/>
      <c r="AA411" s="4">
        <f>=ROUNDDOWN({0},0)</f>
      </c>
      <c r="AB411" s="5"/>
      <c r="AC411" s="2" t="s">
        <v>323</v>
      </c>
      <c r="AD411" s="4">
        <v>1</v>
      </c>
      <c r="AE411" s="4">
        <v>288</v>
      </c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98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 t="s">
        <v>98</v>
      </c>
      <c r="BD411" s="8" t="s">
        <v>98</v>
      </c>
      <c r="BE411" s="4" t="s">
        <v>98</v>
      </c>
      <c r="BF411" s="8" t="s">
        <v>98</v>
      </c>
      <c r="BG411" s="7" t="s">
        <v>98</v>
      </c>
      <c r="BH411" s="7" t="s">
        <v>98</v>
      </c>
      <c r="BI411" s="7"/>
      <c r="BJ411" s="4"/>
      <c r="BK411" s="8"/>
      <c r="BL411" s="2" t="s">
        <v>98</v>
      </c>
      <c r="BM411" s="7"/>
      <c r="BN411" s="7"/>
      <c r="BO411" s="4"/>
      <c r="BP411" s="8"/>
      <c r="BQ411" s="4"/>
      <c r="BR411" s="8"/>
      <c r="BS411" s="7"/>
      <c r="BT411" s="7"/>
      <c r="BU411" s="2" t="s">
        <v>1376</v>
      </c>
      <c r="BV411" s="2" t="s">
        <v>95</v>
      </c>
      <c r="BW411" s="2" t="s">
        <v>98</v>
      </c>
      <c r="BX411" s="2" t="s">
        <v>98</v>
      </c>
      <c r="BY411" s="2" t="s">
        <v>110</v>
      </c>
      <c r="BZ411" s="2" t="s">
        <v>98</v>
      </c>
    </row>
    <row r="412">
      <c r="A412" s="2" t="s">
        <v>2379</v>
      </c>
      <c r="B412" s="2" t="s">
        <v>1345</v>
      </c>
      <c r="C412" s="2" t="s">
        <v>88</v>
      </c>
      <c r="D412" s="2" t="s">
        <v>2205</v>
      </c>
      <c r="E412" s="2" t="s">
        <v>2205</v>
      </c>
      <c r="F412" s="2" t="s">
        <v>1506</v>
      </c>
      <c r="G412" s="2" t="s">
        <v>2375</v>
      </c>
      <c r="H412" s="2" t="s">
        <v>2376</v>
      </c>
      <c r="I412" s="2" t="s">
        <v>2377</v>
      </c>
      <c r="J412" s="2" t="s">
        <v>93</v>
      </c>
      <c r="K412" s="2" t="s">
        <v>133</v>
      </c>
      <c r="L412" s="3">
        <v>190</v>
      </c>
      <c r="M412" s="3">
        <v>199.5</v>
      </c>
      <c r="N412" s="3">
        <v>399</v>
      </c>
      <c r="O412" s="2" t="s">
        <v>95</v>
      </c>
      <c r="P412" s="2" t="s">
        <v>96</v>
      </c>
      <c r="Q412" s="2" t="s">
        <v>97</v>
      </c>
      <c r="R412" s="2" t="s">
        <v>98</v>
      </c>
      <c r="S412" s="2" t="s">
        <v>98</v>
      </c>
      <c r="T412" s="2" t="s">
        <v>98</v>
      </c>
      <c r="U412" s="2" t="s">
        <v>117</v>
      </c>
      <c r="V412" s="2" t="s">
        <v>439</v>
      </c>
      <c r="W412" s="2" t="s">
        <v>103</v>
      </c>
      <c r="X412" s="2" t="s">
        <v>204</v>
      </c>
      <c r="Y412" s="2" t="s">
        <v>469</v>
      </c>
      <c r="Z412" s="4">
        <v>148</v>
      </c>
      <c r="AA412" s="4">
        <f>=ROUNDDOWN(5.28571428571429,0)</f>
      </c>
      <c r="AB412" s="5">
        <v>28</v>
      </c>
      <c r="AC412" s="2" t="s">
        <v>1729</v>
      </c>
      <c r="AD412" s="4">
        <v>392</v>
      </c>
      <c r="AE412" s="4">
        <v>1118</v>
      </c>
      <c r="AF412" s="6">
        <v>65</v>
      </c>
      <c r="AG412" s="6">
        <v>48</v>
      </c>
      <c r="AH412" s="7">
        <v>1</v>
      </c>
      <c r="AI412" s="4"/>
      <c r="AJ412" s="4">
        <f>=ROUNDDOWN({0},0)</f>
      </c>
      <c r="AK412" s="5"/>
      <c r="AL412" s="2" t="s">
        <v>98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98</v>
      </c>
      <c r="BD412" s="8" t="s">
        <v>98</v>
      </c>
      <c r="BE412" s="4" t="s">
        <v>98</v>
      </c>
      <c r="BF412" s="8" t="s">
        <v>98</v>
      </c>
      <c r="BG412" s="7" t="s">
        <v>98</v>
      </c>
      <c r="BH412" s="7" t="s">
        <v>98</v>
      </c>
      <c r="BI412" s="7"/>
      <c r="BJ412" s="4">
        <v>4</v>
      </c>
      <c r="BK412" s="8">
        <v>877.8</v>
      </c>
      <c r="BL412" s="2" t="s">
        <v>1379</v>
      </c>
      <c r="BM412" s="7"/>
      <c r="BN412" s="7"/>
      <c r="BO412" s="4"/>
      <c r="BP412" s="8"/>
      <c r="BQ412" s="4"/>
      <c r="BR412" s="8"/>
      <c r="BS412" s="7"/>
      <c r="BT412" s="7"/>
      <c r="BU412" s="2" t="s">
        <v>1376</v>
      </c>
      <c r="BV412" s="2" t="s">
        <v>95</v>
      </c>
      <c r="BW412" s="2" t="s">
        <v>98</v>
      </c>
      <c r="BX412" s="2" t="s">
        <v>98</v>
      </c>
      <c r="BY412" s="2" t="s">
        <v>110</v>
      </c>
      <c r="BZ412" s="2" t="s">
        <v>98</v>
      </c>
    </row>
    <row r="413">
      <c r="A413" s="2" t="s">
        <v>2380</v>
      </c>
      <c r="B413" s="2" t="s">
        <v>1345</v>
      </c>
      <c r="C413" s="2" t="s">
        <v>88</v>
      </c>
      <c r="D413" s="2" t="s">
        <v>2205</v>
      </c>
      <c r="E413" s="2" t="s">
        <v>2205</v>
      </c>
      <c r="F413" s="2" t="s">
        <v>2381</v>
      </c>
      <c r="G413" s="2" t="s">
        <v>2381</v>
      </c>
      <c r="H413" s="2" t="s">
        <v>2381</v>
      </c>
      <c r="I413" s="2" t="s">
        <v>2382</v>
      </c>
      <c r="J413" s="2" t="s">
        <v>93</v>
      </c>
      <c r="K413" s="2" t="s">
        <v>127</v>
      </c>
      <c r="L413" s="3">
        <v>135</v>
      </c>
      <c r="M413" s="3">
        <v>141.75</v>
      </c>
      <c r="N413" s="3">
        <v>279</v>
      </c>
      <c r="O413" s="2" t="s">
        <v>95</v>
      </c>
      <c r="P413" s="2" t="s">
        <v>411</v>
      </c>
      <c r="Q413" s="2" t="s">
        <v>97</v>
      </c>
      <c r="R413" s="2" t="s">
        <v>98</v>
      </c>
      <c r="S413" s="2" t="s">
        <v>98</v>
      </c>
      <c r="T413" s="2" t="s">
        <v>98</v>
      </c>
      <c r="U413" s="2" t="s">
        <v>117</v>
      </c>
      <c r="V413" s="2" t="s">
        <v>296</v>
      </c>
      <c r="W413" s="2" t="s">
        <v>314</v>
      </c>
      <c r="X413" s="2" t="s">
        <v>103</v>
      </c>
      <c r="Y413" s="2" t="s">
        <v>98</v>
      </c>
      <c r="Z413" s="4"/>
      <c r="AA413" s="4">
        <f>=ROUNDDOWN({0},0)</f>
      </c>
      <c r="AB413" s="5"/>
      <c r="AC413" s="2" t="s">
        <v>2149</v>
      </c>
      <c r="AD413" s="4">
        <v>100</v>
      </c>
      <c r="AE413" s="4">
        <v>100</v>
      </c>
      <c r="AF413" s="6">
        <v>67</v>
      </c>
      <c r="AG413" s="6"/>
      <c r="AH413" s="7">
        <v>0</v>
      </c>
      <c r="AI413" s="4"/>
      <c r="AJ413" s="4">
        <f>=ROUNDDOWN({0},0)</f>
      </c>
      <c r="AK413" s="5"/>
      <c r="AL413" s="2" t="s">
        <v>98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/>
      <c r="BD413" s="8"/>
      <c r="BE413" s="4"/>
      <c r="BF413" s="8"/>
      <c r="BG413" s="7"/>
      <c r="BH413" s="7"/>
      <c r="BI413" s="7"/>
      <c r="BJ413" s="4"/>
      <c r="BK413" s="8"/>
      <c r="BL413" s="2" t="s">
        <v>98</v>
      </c>
      <c r="BM413" s="7"/>
      <c r="BN413" s="7"/>
      <c r="BO413" s="4"/>
      <c r="BP413" s="8"/>
      <c r="BQ413" s="4"/>
      <c r="BR413" s="8"/>
      <c r="BS413" s="7"/>
      <c r="BT413" s="7"/>
      <c r="BU413" s="2" t="s">
        <v>1376</v>
      </c>
      <c r="BV413" s="2" t="s">
        <v>95</v>
      </c>
      <c r="BW413" s="2" t="s">
        <v>98</v>
      </c>
      <c r="BX413" s="2" t="s">
        <v>98</v>
      </c>
      <c r="BY413" s="2" t="s">
        <v>110</v>
      </c>
      <c r="BZ413" s="2" t="s">
        <v>98</v>
      </c>
    </row>
    <row r="414">
      <c r="A414" s="2" t="s">
        <v>2383</v>
      </c>
      <c r="B414" s="2" t="s">
        <v>1345</v>
      </c>
      <c r="C414" s="2" t="s">
        <v>88</v>
      </c>
      <c r="D414" s="2" t="s">
        <v>2205</v>
      </c>
      <c r="E414" s="2" t="s">
        <v>2205</v>
      </c>
      <c r="F414" s="2" t="s">
        <v>2384</v>
      </c>
      <c r="G414" s="2" t="s">
        <v>2385</v>
      </c>
      <c r="H414" s="2" t="s">
        <v>2386</v>
      </c>
      <c r="I414" s="2" t="s">
        <v>2387</v>
      </c>
      <c r="J414" s="2" t="s">
        <v>93</v>
      </c>
      <c r="K414" s="2" t="s">
        <v>133</v>
      </c>
      <c r="L414" s="3">
        <v>256.5</v>
      </c>
      <c r="M414" s="3">
        <v>269.32</v>
      </c>
      <c r="N414" s="3">
        <v>549</v>
      </c>
      <c r="O414" s="2" t="s">
        <v>95</v>
      </c>
      <c r="P414" s="2" t="s">
        <v>142</v>
      </c>
      <c r="Q414" s="2" t="s">
        <v>97</v>
      </c>
      <c r="R414" s="2" t="s">
        <v>98</v>
      </c>
      <c r="S414" s="2" t="s">
        <v>98</v>
      </c>
      <c r="T414" s="2" t="s">
        <v>98</v>
      </c>
      <c r="U414" s="2" t="s">
        <v>100</v>
      </c>
      <c r="V414" s="2" t="s">
        <v>296</v>
      </c>
      <c r="W414" s="2" t="s">
        <v>102</v>
      </c>
      <c r="X414" s="2" t="s">
        <v>297</v>
      </c>
      <c r="Y414" s="2" t="s">
        <v>2388</v>
      </c>
      <c r="Z414" s="4">
        <v>82</v>
      </c>
      <c r="AA414" s="4">
        <f>=ROUNDDOWN(82,0)</f>
      </c>
      <c r="AB414" s="5">
        <v>1</v>
      </c>
      <c r="AC414" s="2" t="s">
        <v>1516</v>
      </c>
      <c r="AD414" s="4">
        <v>32</v>
      </c>
      <c r="AE414" s="4">
        <v>32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98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/>
      <c r="BD414" s="8"/>
      <c r="BE414" s="4"/>
      <c r="BF414" s="8"/>
      <c r="BG414" s="7"/>
      <c r="BH414" s="7"/>
      <c r="BI414" s="7"/>
      <c r="BJ414" s="4"/>
      <c r="BK414" s="8"/>
      <c r="BL414" s="2" t="s">
        <v>98</v>
      </c>
      <c r="BM414" s="7"/>
      <c r="BN414" s="7"/>
      <c r="BO414" s="4"/>
      <c r="BP414" s="8"/>
      <c r="BQ414" s="4"/>
      <c r="BR414" s="8"/>
      <c r="BS414" s="7"/>
      <c r="BT414" s="7"/>
      <c r="BU414" s="2" t="s">
        <v>1376</v>
      </c>
      <c r="BV414" s="2" t="s">
        <v>95</v>
      </c>
      <c r="BW414" s="2" t="s">
        <v>98</v>
      </c>
      <c r="BX414" s="2" t="s">
        <v>98</v>
      </c>
      <c r="BY414" s="2" t="s">
        <v>110</v>
      </c>
      <c r="BZ414" s="2" t="s">
        <v>98</v>
      </c>
    </row>
    <row r="415">
      <c r="A415" s="2" t="s">
        <v>2389</v>
      </c>
      <c r="B415" s="2" t="s">
        <v>1345</v>
      </c>
      <c r="C415" s="2" t="s">
        <v>88</v>
      </c>
      <c r="D415" s="2" t="s">
        <v>2390</v>
      </c>
      <c r="E415" s="2" t="s">
        <v>2391</v>
      </c>
      <c r="F415" s="2" t="s">
        <v>2295</v>
      </c>
      <c r="G415" s="2" t="s">
        <v>2296</v>
      </c>
      <c r="H415" s="2" t="s">
        <v>2297</v>
      </c>
      <c r="I415" s="2" t="s">
        <v>2392</v>
      </c>
      <c r="J415" s="2" t="s">
        <v>93</v>
      </c>
      <c r="K415" s="2" t="s">
        <v>1439</v>
      </c>
      <c r="L415" s="3">
        <v>193.5</v>
      </c>
      <c r="M415" s="3">
        <v>203.18</v>
      </c>
      <c r="N415" s="3">
        <v>399</v>
      </c>
      <c r="O415" s="2" t="s">
        <v>95</v>
      </c>
      <c r="P415" s="2" t="s">
        <v>163</v>
      </c>
      <c r="Q415" s="2" t="s">
        <v>97</v>
      </c>
      <c r="R415" s="2" t="s">
        <v>98</v>
      </c>
      <c r="S415" s="2" t="s">
        <v>2299</v>
      </c>
      <c r="T415" s="2" t="s">
        <v>98</v>
      </c>
      <c r="U415" s="2" t="s">
        <v>117</v>
      </c>
      <c r="V415" s="2" t="s">
        <v>439</v>
      </c>
      <c r="W415" s="2" t="s">
        <v>103</v>
      </c>
      <c r="X415" s="2" t="s">
        <v>98</v>
      </c>
      <c r="Y415" s="2" t="s">
        <v>1451</v>
      </c>
      <c r="Z415" s="4">
        <v>134</v>
      </c>
      <c r="AA415" s="4">
        <f>=ROUNDDOWN(19.1428571428571,0)</f>
      </c>
      <c r="AB415" s="5">
        <v>7</v>
      </c>
      <c r="AC415" s="2" t="s">
        <v>2077</v>
      </c>
      <c r="AD415" s="4">
        <v>1</v>
      </c>
      <c r="AE415" s="4">
        <v>240</v>
      </c>
      <c r="AF415" s="6">
        <v>65</v>
      </c>
      <c r="AG415" s="6">
        <v>48</v>
      </c>
      <c r="AH415" s="7">
        <v>1</v>
      </c>
      <c r="AI415" s="4"/>
      <c r="AJ415" s="4">
        <f>=ROUNDDOWN({0},0)</f>
      </c>
      <c r="AK415" s="5"/>
      <c r="AL415" s="2" t="s">
        <v>2300</v>
      </c>
      <c r="AM415" s="4">
        <v>230</v>
      </c>
      <c r="AN415" s="4">
        <v>460</v>
      </c>
      <c r="AO415" s="7">
        <v>0</v>
      </c>
      <c r="AP415" s="4">
        <v>5</v>
      </c>
      <c r="AQ415" s="8">
        <v>838.85</v>
      </c>
      <c r="AR415" s="4"/>
      <c r="AS415" s="8"/>
      <c r="AT415" s="7"/>
      <c r="AU415" s="7"/>
      <c r="AV415" s="4">
        <v>5</v>
      </c>
      <c r="AW415" s="8">
        <v>838.85</v>
      </c>
      <c r="AX415" s="4"/>
      <c r="AY415" s="8"/>
      <c r="AZ415" s="7"/>
      <c r="BA415" s="7"/>
      <c r="BB415" s="7">
        <v>1</v>
      </c>
      <c r="BC415" s="4">
        <v>5</v>
      </c>
      <c r="BD415" s="8">
        <v>838.85</v>
      </c>
      <c r="BE415" s="4" t="s">
        <v>98</v>
      </c>
      <c r="BF415" s="8" t="s">
        <v>98</v>
      </c>
      <c r="BG415" s="7" t="s">
        <v>98</v>
      </c>
      <c r="BH415" s="7" t="s">
        <v>98</v>
      </c>
      <c r="BI415" s="7">
        <v>1</v>
      </c>
      <c r="BJ415" s="4">
        <v>18</v>
      </c>
      <c r="BK415" s="8">
        <v>3486</v>
      </c>
      <c r="BL415" s="2" t="s">
        <v>2393</v>
      </c>
      <c r="BM415" s="7">
        <v>0.2778</v>
      </c>
      <c r="BN415" s="7">
        <v>0.2406</v>
      </c>
      <c r="BO415" s="4">
        <v>5</v>
      </c>
      <c r="BP415" s="8">
        <v>838.85</v>
      </c>
      <c r="BQ415" s="4"/>
      <c r="BR415" s="8"/>
      <c r="BS415" s="7"/>
      <c r="BT415" s="7"/>
      <c r="BU415" s="2" t="s">
        <v>107</v>
      </c>
      <c r="BV415" s="2" t="s">
        <v>1355</v>
      </c>
      <c r="BW415" s="2" t="s">
        <v>1454</v>
      </c>
      <c r="BX415" s="2" t="s">
        <v>2394</v>
      </c>
      <c r="BY415" s="2" t="s">
        <v>110</v>
      </c>
      <c r="BZ415" s="2" t="s">
        <v>98</v>
      </c>
    </row>
    <row r="416">
      <c r="A416" s="2" t="s">
        <v>2395</v>
      </c>
      <c r="B416" s="2" t="s">
        <v>1345</v>
      </c>
      <c r="C416" s="2" t="s">
        <v>88</v>
      </c>
      <c r="D416" s="2" t="s">
        <v>2390</v>
      </c>
      <c r="E416" s="2" t="s">
        <v>2391</v>
      </c>
      <c r="F416" s="2" t="s">
        <v>2295</v>
      </c>
      <c r="G416" s="2" t="s">
        <v>2296</v>
      </c>
      <c r="H416" s="2" t="s">
        <v>2297</v>
      </c>
      <c r="I416" s="2" t="s">
        <v>2396</v>
      </c>
      <c r="J416" s="2" t="s">
        <v>93</v>
      </c>
      <c r="K416" s="2" t="s">
        <v>1915</v>
      </c>
      <c r="L416" s="3">
        <v>193.5</v>
      </c>
      <c r="M416" s="3">
        <v>203.18</v>
      </c>
      <c r="N416" s="3">
        <v>399</v>
      </c>
      <c r="O416" s="2" t="s">
        <v>95</v>
      </c>
      <c r="P416" s="2" t="s">
        <v>96</v>
      </c>
      <c r="Q416" s="2" t="s">
        <v>97</v>
      </c>
      <c r="R416" s="2" t="s">
        <v>98</v>
      </c>
      <c r="S416" s="2" t="s">
        <v>98</v>
      </c>
      <c r="T416" s="2" t="s">
        <v>98</v>
      </c>
      <c r="U416" s="2" t="s">
        <v>117</v>
      </c>
      <c r="V416" s="2" t="s">
        <v>439</v>
      </c>
      <c r="W416" s="2" t="s">
        <v>103</v>
      </c>
      <c r="X416" s="2" t="s">
        <v>98</v>
      </c>
      <c r="Y416" s="2" t="s">
        <v>2304</v>
      </c>
      <c r="Z416" s="4">
        <v>103</v>
      </c>
      <c r="AA416" s="4">
        <f>=ROUNDDOWN(30.2941176470588,0)</f>
      </c>
      <c r="AB416" s="5">
        <v>3.4</v>
      </c>
      <c r="AC416" s="2" t="s">
        <v>1548</v>
      </c>
      <c r="AD416" s="4">
        <v>150</v>
      </c>
      <c r="AE416" s="4">
        <v>150</v>
      </c>
      <c r="AF416" s="6">
        <v>65</v>
      </c>
      <c r="AG416" s="6">
        <v>48</v>
      </c>
      <c r="AH416" s="7">
        <v>1</v>
      </c>
      <c r="AI416" s="4"/>
      <c r="AJ416" s="4">
        <f>=ROUNDDOWN({0},0)</f>
      </c>
      <c r="AK416" s="5"/>
      <c r="AL416" s="2" t="s">
        <v>2300</v>
      </c>
      <c r="AM416" s="4">
        <v>130</v>
      </c>
      <c r="AN416" s="4">
        <v>130</v>
      </c>
      <c r="AO416" s="7">
        <v>0</v>
      </c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 t="s">
        <v>98</v>
      </c>
      <c r="BD416" s="8" t="s">
        <v>98</v>
      </c>
      <c r="BE416" s="4" t="s">
        <v>98</v>
      </c>
      <c r="BF416" s="8" t="s">
        <v>98</v>
      </c>
      <c r="BG416" s="7" t="s">
        <v>98</v>
      </c>
      <c r="BH416" s="7" t="s">
        <v>98</v>
      </c>
      <c r="BI416" s="7"/>
      <c r="BJ416" s="4">
        <v>23</v>
      </c>
      <c r="BK416" s="8">
        <v>4351.79</v>
      </c>
      <c r="BL416" s="2" t="s">
        <v>2397</v>
      </c>
      <c r="BM416" s="7"/>
      <c r="BN416" s="7"/>
      <c r="BO416" s="4"/>
      <c r="BP416" s="8"/>
      <c r="BQ416" s="4"/>
      <c r="BR416" s="8"/>
      <c r="BS416" s="7"/>
      <c r="BT416" s="7"/>
      <c r="BU416" s="2" t="s">
        <v>1376</v>
      </c>
      <c r="BV416" s="2" t="s">
        <v>1355</v>
      </c>
      <c r="BW416" s="2" t="s">
        <v>98</v>
      </c>
      <c r="BX416" s="2" t="s">
        <v>98</v>
      </c>
      <c r="BY416" s="2" t="s">
        <v>110</v>
      </c>
      <c r="BZ416" s="2" t="s">
        <v>98</v>
      </c>
    </row>
    <row r="417">
      <c r="A417" s="2" t="s">
        <v>2398</v>
      </c>
      <c r="B417" s="2" t="s">
        <v>1345</v>
      </c>
      <c r="C417" s="2" t="s">
        <v>88</v>
      </c>
      <c r="D417" s="2" t="s">
        <v>2390</v>
      </c>
      <c r="E417" s="2" t="s">
        <v>2391</v>
      </c>
      <c r="F417" s="2" t="s">
        <v>2295</v>
      </c>
      <c r="G417" s="2" t="s">
        <v>2296</v>
      </c>
      <c r="H417" s="2" t="s">
        <v>2297</v>
      </c>
      <c r="I417" s="2" t="s">
        <v>2396</v>
      </c>
      <c r="J417" s="2" t="s">
        <v>93</v>
      </c>
      <c r="K417" s="2" t="s">
        <v>357</v>
      </c>
      <c r="L417" s="3">
        <v>193.5</v>
      </c>
      <c r="M417" s="3">
        <v>203.18</v>
      </c>
      <c r="N417" s="3">
        <v>399</v>
      </c>
      <c r="O417" s="2" t="s">
        <v>95</v>
      </c>
      <c r="P417" s="2" t="s">
        <v>134</v>
      </c>
      <c r="Q417" s="2" t="s">
        <v>97</v>
      </c>
      <c r="R417" s="2" t="s">
        <v>98</v>
      </c>
      <c r="S417" s="2" t="s">
        <v>98</v>
      </c>
      <c r="T417" s="2" t="s">
        <v>98</v>
      </c>
      <c r="U417" s="2" t="s">
        <v>117</v>
      </c>
      <c r="V417" s="2" t="s">
        <v>296</v>
      </c>
      <c r="W417" s="2" t="s">
        <v>103</v>
      </c>
      <c r="X417" s="2" t="s">
        <v>98</v>
      </c>
      <c r="Y417" s="2" t="s">
        <v>2399</v>
      </c>
      <c r="Z417" s="4">
        <v>125</v>
      </c>
      <c r="AA417" s="4">
        <f>=ROUNDDOWN(6.25,0)</f>
      </c>
      <c r="AB417" s="5">
        <v>20</v>
      </c>
      <c r="AC417" s="2" t="s">
        <v>2077</v>
      </c>
      <c r="AD417" s="4">
        <v>120</v>
      </c>
      <c r="AE417" s="4">
        <v>500</v>
      </c>
      <c r="AF417" s="6">
        <v>65</v>
      </c>
      <c r="AG417" s="6">
        <v>48</v>
      </c>
      <c r="AH417" s="7">
        <v>1</v>
      </c>
      <c r="AI417" s="4"/>
      <c r="AJ417" s="4">
        <f>=ROUNDDOWN({0},0)</f>
      </c>
      <c r="AK417" s="5"/>
      <c r="AL417" s="2" t="s">
        <v>98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98</v>
      </c>
      <c r="BD417" s="8" t="s">
        <v>98</v>
      </c>
      <c r="BE417" s="4" t="s">
        <v>98</v>
      </c>
      <c r="BF417" s="8" t="s">
        <v>98</v>
      </c>
      <c r="BG417" s="7" t="s">
        <v>98</v>
      </c>
      <c r="BH417" s="7" t="s">
        <v>98</v>
      </c>
      <c r="BI417" s="7"/>
      <c r="BJ417" s="4">
        <v>15</v>
      </c>
      <c r="BK417" s="8">
        <v>2941.29</v>
      </c>
      <c r="BL417" s="2" t="s">
        <v>1583</v>
      </c>
      <c r="BM417" s="7"/>
      <c r="BN417" s="7"/>
      <c r="BO417" s="4"/>
      <c r="BP417" s="8"/>
      <c r="BQ417" s="4"/>
      <c r="BR417" s="8"/>
      <c r="BS417" s="7"/>
      <c r="BT417" s="7"/>
      <c r="BU417" s="2" t="s">
        <v>1376</v>
      </c>
      <c r="BV417" s="2" t="s">
        <v>95</v>
      </c>
      <c r="BW417" s="2" t="s">
        <v>98</v>
      </c>
      <c r="BX417" s="2" t="s">
        <v>98</v>
      </c>
      <c r="BY417" s="2" t="s">
        <v>110</v>
      </c>
      <c r="BZ417" s="2" t="s">
        <v>98</v>
      </c>
    </row>
    <row r="418">
      <c r="A418" s="2" t="s">
        <v>2400</v>
      </c>
      <c r="B418" s="2" t="s">
        <v>1345</v>
      </c>
      <c r="C418" s="2" t="s">
        <v>88</v>
      </c>
      <c r="D418" s="2" t="s">
        <v>2390</v>
      </c>
      <c r="E418" s="2" t="s">
        <v>2391</v>
      </c>
      <c r="F418" s="2" t="s">
        <v>2401</v>
      </c>
      <c r="G418" s="2" t="s">
        <v>2402</v>
      </c>
      <c r="H418" s="2" t="s">
        <v>2403</v>
      </c>
      <c r="I418" s="2" t="s">
        <v>2404</v>
      </c>
      <c r="J418" s="2" t="s">
        <v>93</v>
      </c>
      <c r="K418" s="2" t="s">
        <v>1915</v>
      </c>
      <c r="L418" s="3">
        <v>131.87</v>
      </c>
      <c r="M418" s="3">
        <v>138.46</v>
      </c>
      <c r="N418" s="3">
        <v>279</v>
      </c>
      <c r="O418" s="2" t="s">
        <v>95</v>
      </c>
      <c r="P418" s="2" t="s">
        <v>163</v>
      </c>
      <c r="Q418" s="2" t="s">
        <v>97</v>
      </c>
      <c r="R418" s="2" t="s">
        <v>98</v>
      </c>
      <c r="S418" s="2" t="s">
        <v>98</v>
      </c>
      <c r="T418" s="2" t="s">
        <v>98</v>
      </c>
      <c r="U418" s="2" t="s">
        <v>117</v>
      </c>
      <c r="V418" s="2" t="s">
        <v>439</v>
      </c>
      <c r="W418" s="2" t="s">
        <v>103</v>
      </c>
      <c r="X418" s="2" t="s">
        <v>98</v>
      </c>
      <c r="Y418" s="2" t="s">
        <v>318</v>
      </c>
      <c r="Z418" s="4">
        <v>383</v>
      </c>
      <c r="AA418" s="4">
        <f>=ROUNDDOWN(11.96875,0)</f>
      </c>
      <c r="AB418" s="5">
        <v>32</v>
      </c>
      <c r="AC418" s="2" t="s">
        <v>1757</v>
      </c>
      <c r="AD418" s="4">
        <v>405</v>
      </c>
      <c r="AE418" s="4">
        <v>1045</v>
      </c>
      <c r="AF418" s="6">
        <v>67</v>
      </c>
      <c r="AG418" s="6">
        <v>50</v>
      </c>
      <c r="AH418" s="7">
        <v>1</v>
      </c>
      <c r="AI418" s="4"/>
      <c r="AJ418" s="4">
        <f>=ROUNDDOWN({0},0)</f>
      </c>
      <c r="AK418" s="5"/>
      <c r="AL418" s="2" t="s">
        <v>98</v>
      </c>
      <c r="AM418" s="4"/>
      <c r="AN418" s="4"/>
      <c r="AO418" s="7">
        <v>0</v>
      </c>
      <c r="AP418" s="4">
        <v>4</v>
      </c>
      <c r="AQ418" s="8">
        <v>519.72</v>
      </c>
      <c r="AR418" s="4"/>
      <c r="AS418" s="8"/>
      <c r="AT418" s="7"/>
      <c r="AU418" s="7"/>
      <c r="AV418" s="4">
        <v>4</v>
      </c>
      <c r="AW418" s="8">
        <v>519.72</v>
      </c>
      <c r="AX418" s="4"/>
      <c r="AY418" s="8"/>
      <c r="AZ418" s="7"/>
      <c r="BA418" s="7"/>
      <c r="BB418" s="7">
        <v>1</v>
      </c>
      <c r="BC418" s="4">
        <v>4</v>
      </c>
      <c r="BD418" s="8">
        <v>519.72</v>
      </c>
      <c r="BE418" s="4" t="s">
        <v>98</v>
      </c>
      <c r="BF418" s="8" t="s">
        <v>98</v>
      </c>
      <c r="BG418" s="7" t="s">
        <v>98</v>
      </c>
      <c r="BH418" s="7" t="s">
        <v>98</v>
      </c>
      <c r="BI418" s="7">
        <v>1</v>
      </c>
      <c r="BJ418" s="4">
        <v>17</v>
      </c>
      <c r="BK418" s="8">
        <v>2542.42</v>
      </c>
      <c r="BL418" s="2" t="s">
        <v>2405</v>
      </c>
      <c r="BM418" s="7">
        <v>0.2353</v>
      </c>
      <c r="BN418" s="7">
        <v>0.2044</v>
      </c>
      <c r="BO418" s="4">
        <v>4</v>
      </c>
      <c r="BP418" s="8">
        <v>519.72</v>
      </c>
      <c r="BQ418" s="4"/>
      <c r="BR418" s="8"/>
      <c r="BS418" s="7"/>
      <c r="BT418" s="7"/>
      <c r="BU418" s="2" t="s">
        <v>107</v>
      </c>
      <c r="BV418" s="2" t="s">
        <v>1355</v>
      </c>
      <c r="BW418" s="2" t="s">
        <v>1584</v>
      </c>
      <c r="BX418" s="2" t="s">
        <v>98</v>
      </c>
      <c r="BY418" s="2" t="s">
        <v>110</v>
      </c>
      <c r="BZ418" s="2" t="s">
        <v>98</v>
      </c>
    </row>
    <row r="419">
      <c r="A419" s="2" t="s">
        <v>2406</v>
      </c>
      <c r="B419" s="2" t="s">
        <v>1345</v>
      </c>
      <c r="C419" s="2" t="s">
        <v>88</v>
      </c>
      <c r="D419" s="2" t="s">
        <v>2390</v>
      </c>
      <c r="E419" s="2" t="s">
        <v>2391</v>
      </c>
      <c r="F419" s="2" t="s">
        <v>2401</v>
      </c>
      <c r="G419" s="2" t="s">
        <v>2402</v>
      </c>
      <c r="H419" s="2" t="s">
        <v>2403</v>
      </c>
      <c r="I419" s="2" t="s">
        <v>2404</v>
      </c>
      <c r="J419" s="2" t="s">
        <v>93</v>
      </c>
      <c r="K419" s="2" t="s">
        <v>514</v>
      </c>
      <c r="L419" s="3">
        <v>131.87</v>
      </c>
      <c r="M419" s="3">
        <v>138.46</v>
      </c>
      <c r="N419" s="3">
        <v>279</v>
      </c>
      <c r="O419" s="2" t="s">
        <v>95</v>
      </c>
      <c r="P419" s="2" t="s">
        <v>96</v>
      </c>
      <c r="Q419" s="2" t="s">
        <v>97</v>
      </c>
      <c r="R419" s="2" t="s">
        <v>98</v>
      </c>
      <c r="S419" s="2" t="s">
        <v>98</v>
      </c>
      <c r="T419" s="2" t="s">
        <v>98</v>
      </c>
      <c r="U419" s="2" t="s">
        <v>117</v>
      </c>
      <c r="V419" s="2" t="s">
        <v>439</v>
      </c>
      <c r="W419" s="2" t="s">
        <v>103</v>
      </c>
      <c r="X419" s="2" t="s">
        <v>119</v>
      </c>
      <c r="Y419" s="2" t="s">
        <v>196</v>
      </c>
      <c r="Z419" s="4">
        <v>218</v>
      </c>
      <c r="AA419" s="4">
        <f>=ROUNDDOWN(11.4736842105263,0)</f>
      </c>
      <c r="AB419" s="5">
        <v>19</v>
      </c>
      <c r="AC419" s="2" t="s">
        <v>1457</v>
      </c>
      <c r="AD419" s="4">
        <v>150</v>
      </c>
      <c r="AE419" s="4">
        <v>625</v>
      </c>
      <c r="AF419" s="6">
        <v>67</v>
      </c>
      <c r="AG419" s="6">
        <v>50</v>
      </c>
      <c r="AH419" s="7">
        <v>1</v>
      </c>
      <c r="AI419" s="4"/>
      <c r="AJ419" s="4">
        <f>=ROUNDDOWN({0},0)</f>
      </c>
      <c r="AK419" s="5"/>
      <c r="AL419" s="2" t="s">
        <v>98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98</v>
      </c>
      <c r="BD419" s="8" t="s">
        <v>98</v>
      </c>
      <c r="BE419" s="4" t="s">
        <v>98</v>
      </c>
      <c r="BF419" s="8" t="s">
        <v>98</v>
      </c>
      <c r="BG419" s="7" t="s">
        <v>98</v>
      </c>
      <c r="BH419" s="7" t="s">
        <v>98</v>
      </c>
      <c r="BI419" s="7"/>
      <c r="BJ419" s="4">
        <v>20</v>
      </c>
      <c r="BK419" s="8">
        <v>2643.8</v>
      </c>
      <c r="BL419" s="2" t="s">
        <v>2407</v>
      </c>
      <c r="BM419" s="7"/>
      <c r="BN419" s="7"/>
      <c r="BO419" s="4"/>
      <c r="BP419" s="8"/>
      <c r="BQ419" s="4"/>
      <c r="BR419" s="8"/>
      <c r="BS419" s="7"/>
      <c r="BT419" s="7"/>
      <c r="BU419" s="2" t="s">
        <v>1376</v>
      </c>
      <c r="BV419" s="2" t="s">
        <v>95</v>
      </c>
      <c r="BW419" s="2" t="s">
        <v>98</v>
      </c>
      <c r="BX419" s="2" t="s">
        <v>98</v>
      </c>
      <c r="BY419" s="2" t="s">
        <v>110</v>
      </c>
      <c r="BZ419" s="2" t="s">
        <v>98</v>
      </c>
    </row>
    <row r="420">
      <c r="A420" s="2" t="s">
        <v>2408</v>
      </c>
      <c r="B420" s="2" t="s">
        <v>1345</v>
      </c>
      <c r="C420" s="2" t="s">
        <v>88</v>
      </c>
      <c r="D420" s="2" t="s">
        <v>2390</v>
      </c>
      <c r="E420" s="2" t="s">
        <v>2391</v>
      </c>
      <c r="F420" s="2" t="s">
        <v>2401</v>
      </c>
      <c r="G420" s="2" t="s">
        <v>2402</v>
      </c>
      <c r="H420" s="2" t="s">
        <v>2403</v>
      </c>
      <c r="I420" s="2" t="s">
        <v>2404</v>
      </c>
      <c r="J420" s="2" t="s">
        <v>93</v>
      </c>
      <c r="K420" s="2" t="s">
        <v>1419</v>
      </c>
      <c r="L420" s="3">
        <v>131.87</v>
      </c>
      <c r="M420" s="3">
        <v>138.46</v>
      </c>
      <c r="N420" s="3">
        <v>279</v>
      </c>
      <c r="O420" s="2" t="s">
        <v>95</v>
      </c>
      <c r="P420" s="2" t="s">
        <v>134</v>
      </c>
      <c r="Q420" s="2" t="s">
        <v>97</v>
      </c>
      <c r="R420" s="2" t="s">
        <v>98</v>
      </c>
      <c r="S420" s="2" t="s">
        <v>98</v>
      </c>
      <c r="T420" s="2" t="s">
        <v>98</v>
      </c>
      <c r="U420" s="2" t="s">
        <v>117</v>
      </c>
      <c r="V420" s="2" t="s">
        <v>296</v>
      </c>
      <c r="W420" s="2" t="s">
        <v>103</v>
      </c>
      <c r="X420" s="2" t="s">
        <v>98</v>
      </c>
      <c r="Y420" s="2" t="s">
        <v>2409</v>
      </c>
      <c r="Z420" s="4">
        <v>294</v>
      </c>
      <c r="AA420" s="4">
        <f>=ROUNDDOWN(29.4,0)</f>
      </c>
      <c r="AB420" s="5">
        <v>10</v>
      </c>
      <c r="AC420" s="2" t="s">
        <v>1983</v>
      </c>
      <c r="AD420" s="4">
        <v>150</v>
      </c>
      <c r="AE420" s="4">
        <v>150</v>
      </c>
      <c r="AF420" s="6">
        <v>67</v>
      </c>
      <c r="AG420" s="6">
        <v>50</v>
      </c>
      <c r="AH420" s="7">
        <v>1</v>
      </c>
      <c r="AI420" s="4"/>
      <c r="AJ420" s="4">
        <f>=ROUNDDOWN({0},0)</f>
      </c>
      <c r="AK420" s="5"/>
      <c r="AL420" s="2" t="s">
        <v>98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/>
      <c r="AW420" s="8"/>
      <c r="AX420" s="4"/>
      <c r="AY420" s="8"/>
      <c r="AZ420" s="7"/>
      <c r="BA420" s="7"/>
      <c r="BB420" s="7"/>
      <c r="BC420" s="4" t="s">
        <v>98</v>
      </c>
      <c r="BD420" s="8" t="s">
        <v>98</v>
      </c>
      <c r="BE420" s="4" t="s">
        <v>98</v>
      </c>
      <c r="BF420" s="8" t="s">
        <v>98</v>
      </c>
      <c r="BG420" s="7" t="s">
        <v>98</v>
      </c>
      <c r="BH420" s="7" t="s">
        <v>98</v>
      </c>
      <c r="BI420" s="7"/>
      <c r="BJ420" s="4">
        <v>6</v>
      </c>
      <c r="BK420" s="8">
        <v>901.92</v>
      </c>
      <c r="BL420" s="2" t="s">
        <v>1379</v>
      </c>
      <c r="BM420" s="7"/>
      <c r="BN420" s="7"/>
      <c r="BO420" s="4"/>
      <c r="BP420" s="8"/>
      <c r="BQ420" s="4"/>
      <c r="BR420" s="8"/>
      <c r="BS420" s="7"/>
      <c r="BT420" s="7"/>
      <c r="BU420" s="2" t="s">
        <v>1376</v>
      </c>
      <c r="BV420" s="2" t="s">
        <v>95</v>
      </c>
      <c r="BW420" s="2" t="s">
        <v>98</v>
      </c>
      <c r="BX420" s="2" t="s">
        <v>98</v>
      </c>
      <c r="BY420" s="2" t="s">
        <v>110</v>
      </c>
      <c r="BZ420" s="2" t="s">
        <v>98</v>
      </c>
    </row>
    <row r="421">
      <c r="A421" s="2" t="s">
        <v>2410</v>
      </c>
      <c r="B421" s="2" t="s">
        <v>1345</v>
      </c>
      <c r="C421" s="2" t="s">
        <v>88</v>
      </c>
      <c r="D421" s="2" t="s">
        <v>2390</v>
      </c>
      <c r="E421" s="2" t="s">
        <v>2391</v>
      </c>
      <c r="F421" s="2" t="s">
        <v>2411</v>
      </c>
      <c r="G421" s="2" t="s">
        <v>2412</v>
      </c>
      <c r="H421" s="2" t="s">
        <v>2413</v>
      </c>
      <c r="I421" s="2" t="s">
        <v>2414</v>
      </c>
      <c r="J421" s="2" t="s">
        <v>93</v>
      </c>
      <c r="K421" s="2" t="s">
        <v>1655</v>
      </c>
      <c r="L421" s="3">
        <v>80.87</v>
      </c>
      <c r="M421" s="3">
        <v>84.91</v>
      </c>
      <c r="N421" s="3">
        <v>169</v>
      </c>
      <c r="O421" s="2" t="s">
        <v>95</v>
      </c>
      <c r="P421" s="2" t="s">
        <v>142</v>
      </c>
      <c r="Q421" s="2" t="s">
        <v>97</v>
      </c>
      <c r="R421" s="2" t="s">
        <v>98</v>
      </c>
      <c r="S421" s="2" t="s">
        <v>98</v>
      </c>
      <c r="T421" s="2" t="s">
        <v>98</v>
      </c>
      <c r="U421" s="2" t="s">
        <v>98</v>
      </c>
      <c r="V421" s="2" t="s">
        <v>339</v>
      </c>
      <c r="W421" s="2" t="s">
        <v>103</v>
      </c>
      <c r="X421" s="2" t="s">
        <v>98</v>
      </c>
      <c r="Y421" s="2" t="s">
        <v>2415</v>
      </c>
      <c r="Z421" s="4">
        <v>87</v>
      </c>
      <c r="AA421" s="4">
        <f>=ROUNDDOWN(17.4,0)</f>
      </c>
      <c r="AB421" s="5">
        <v>5</v>
      </c>
      <c r="AC421" s="2" t="s">
        <v>2416</v>
      </c>
      <c r="AD421" s="4">
        <v>100</v>
      </c>
      <c r="AE421" s="4">
        <v>200</v>
      </c>
      <c r="AF421" s="6">
        <v>76</v>
      </c>
      <c r="AG421" s="6">
        <v>67</v>
      </c>
      <c r="AH421" s="7">
        <v>1</v>
      </c>
      <c r="AI421" s="4"/>
      <c r="AJ421" s="4">
        <f>=ROUNDDOWN({0},0)</f>
      </c>
      <c r="AK421" s="5"/>
      <c r="AL421" s="2" t="s">
        <v>98</v>
      </c>
      <c r="AM421" s="4"/>
      <c r="AN421" s="4"/>
      <c r="AO421" s="7">
        <v>0</v>
      </c>
      <c r="AP421" s="4">
        <v>2</v>
      </c>
      <c r="AQ421" s="8">
        <v>156.82</v>
      </c>
      <c r="AR421" s="4"/>
      <c r="AS421" s="8"/>
      <c r="AT421" s="7"/>
      <c r="AU421" s="7"/>
      <c r="AV421" s="4">
        <v>2</v>
      </c>
      <c r="AW421" s="8">
        <v>156.82</v>
      </c>
      <c r="AX421" s="4"/>
      <c r="AY421" s="8"/>
      <c r="AZ421" s="7"/>
      <c r="BA421" s="7"/>
      <c r="BB421" s="7">
        <v>1</v>
      </c>
      <c r="BC421" s="4">
        <v>2</v>
      </c>
      <c r="BD421" s="8">
        <v>156.82</v>
      </c>
      <c r="BE421" s="4">
        <v>5</v>
      </c>
      <c r="BF421" s="8">
        <v>426.1</v>
      </c>
      <c r="BG421" s="7">
        <v>-0.6</v>
      </c>
      <c r="BH421" s="7">
        <v>-0.632</v>
      </c>
      <c r="BI421" s="7">
        <v>1</v>
      </c>
      <c r="BJ421" s="4">
        <v>7</v>
      </c>
      <c r="BK421" s="8">
        <v>623.3</v>
      </c>
      <c r="BL421" s="2" t="s">
        <v>2417</v>
      </c>
      <c r="BM421" s="7">
        <v>0.2857</v>
      </c>
      <c r="BN421" s="7">
        <v>0.2516</v>
      </c>
      <c r="BO421" s="4">
        <v>2</v>
      </c>
      <c r="BP421" s="8">
        <v>156.82</v>
      </c>
      <c r="BQ421" s="4"/>
      <c r="BR421" s="8"/>
      <c r="BS421" s="7"/>
      <c r="BT421" s="7"/>
      <c r="BU421" s="2" t="s">
        <v>1376</v>
      </c>
      <c r="BV421" s="2" t="s">
        <v>95</v>
      </c>
      <c r="BW421" s="2" t="s">
        <v>98</v>
      </c>
      <c r="BX421" s="2" t="s">
        <v>98</v>
      </c>
      <c r="BY421" s="2" t="s">
        <v>110</v>
      </c>
      <c r="BZ421" s="2" t="s">
        <v>98</v>
      </c>
    </row>
    <row r="422">
      <c r="A422" s="2" t="s">
        <v>2418</v>
      </c>
      <c r="B422" s="2" t="s">
        <v>1345</v>
      </c>
      <c r="C422" s="2" t="s">
        <v>88</v>
      </c>
      <c r="D422" s="2" t="s">
        <v>2390</v>
      </c>
      <c r="E422" s="2" t="s">
        <v>2391</v>
      </c>
      <c r="F422" s="2" t="s">
        <v>2411</v>
      </c>
      <c r="G422" s="2" t="s">
        <v>2412</v>
      </c>
      <c r="H422" s="2" t="s">
        <v>2413</v>
      </c>
      <c r="I422" s="2" t="s">
        <v>2414</v>
      </c>
      <c r="J422" s="2" t="s">
        <v>93</v>
      </c>
      <c r="K422" s="2" t="s">
        <v>277</v>
      </c>
      <c r="L422" s="3">
        <v>80.87</v>
      </c>
      <c r="M422" s="3">
        <v>84.91</v>
      </c>
      <c r="N422" s="3">
        <v>169</v>
      </c>
      <c r="O422" s="2" t="s">
        <v>95</v>
      </c>
      <c r="P422" s="2" t="s">
        <v>134</v>
      </c>
      <c r="Q422" s="2" t="s">
        <v>97</v>
      </c>
      <c r="R422" s="2" t="s">
        <v>98</v>
      </c>
      <c r="S422" s="2" t="s">
        <v>2419</v>
      </c>
      <c r="T422" s="2" t="s">
        <v>98</v>
      </c>
      <c r="U422" s="2" t="s">
        <v>98</v>
      </c>
      <c r="V422" s="2" t="s">
        <v>1360</v>
      </c>
      <c r="W422" s="2" t="s">
        <v>103</v>
      </c>
      <c r="X422" s="2" t="s">
        <v>98</v>
      </c>
      <c r="Y422" s="2" t="s">
        <v>366</v>
      </c>
      <c r="Z422" s="4">
        <v>21</v>
      </c>
      <c r="AA422" s="4">
        <f>=ROUNDDOWN(3.5,0)</f>
      </c>
      <c r="AB422" s="5">
        <v>6</v>
      </c>
      <c r="AC422" s="2" t="s">
        <v>2327</v>
      </c>
      <c r="AD422" s="4">
        <v>110</v>
      </c>
      <c r="AE422" s="4">
        <v>340</v>
      </c>
      <c r="AF422" s="6">
        <v>76</v>
      </c>
      <c r="AG422" s="6"/>
      <c r="AH422" s="7">
        <v>1</v>
      </c>
      <c r="AI422" s="4"/>
      <c r="AJ422" s="4">
        <f>=ROUNDDOWN({0},0)</f>
      </c>
      <c r="AK422" s="5"/>
      <c r="AL422" s="2" t="s">
        <v>98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 t="s">
        <v>98</v>
      </c>
      <c r="BD422" s="8" t="s">
        <v>98</v>
      </c>
      <c r="BE422" s="4" t="s">
        <v>98</v>
      </c>
      <c r="BF422" s="8" t="s">
        <v>98</v>
      </c>
      <c r="BG422" s="7" t="s">
        <v>98</v>
      </c>
      <c r="BH422" s="7" t="s">
        <v>98</v>
      </c>
      <c r="BI422" s="7"/>
      <c r="BJ422" s="4">
        <v>1</v>
      </c>
      <c r="BK422" s="8">
        <v>95.39</v>
      </c>
      <c r="BL422" s="2" t="s">
        <v>2420</v>
      </c>
      <c r="BM422" s="7"/>
      <c r="BN422" s="7"/>
      <c r="BO422" s="4"/>
      <c r="BP422" s="8"/>
      <c r="BQ422" s="4"/>
      <c r="BR422" s="8"/>
      <c r="BS422" s="7"/>
      <c r="BT422" s="7"/>
      <c r="BU422" s="2" t="s">
        <v>107</v>
      </c>
      <c r="BV422" s="2" t="s">
        <v>1355</v>
      </c>
      <c r="BW422" s="2" t="s">
        <v>1356</v>
      </c>
      <c r="BX422" s="2" t="s">
        <v>2421</v>
      </c>
      <c r="BY422" s="2" t="s">
        <v>110</v>
      </c>
      <c r="BZ422" s="2" t="s">
        <v>98</v>
      </c>
    </row>
    <row r="423">
      <c r="A423" s="2" t="s">
        <v>2422</v>
      </c>
      <c r="B423" s="2" t="s">
        <v>1345</v>
      </c>
      <c r="C423" s="2" t="s">
        <v>88</v>
      </c>
      <c r="D423" s="2" t="s">
        <v>2390</v>
      </c>
      <c r="E423" s="2" t="s">
        <v>2391</v>
      </c>
      <c r="F423" s="2" t="s">
        <v>2411</v>
      </c>
      <c r="G423" s="2" t="s">
        <v>2412</v>
      </c>
      <c r="H423" s="2" t="s">
        <v>2413</v>
      </c>
      <c r="I423" s="2" t="s">
        <v>2414</v>
      </c>
      <c r="J423" s="2" t="s">
        <v>93</v>
      </c>
      <c r="K423" s="2" t="s">
        <v>1439</v>
      </c>
      <c r="L423" s="3">
        <v>80.87</v>
      </c>
      <c r="M423" s="3">
        <v>84.91</v>
      </c>
      <c r="N423" s="3">
        <v>169</v>
      </c>
      <c r="O423" s="2" t="s">
        <v>95</v>
      </c>
      <c r="P423" s="2" t="s">
        <v>134</v>
      </c>
      <c r="Q423" s="2" t="s">
        <v>97</v>
      </c>
      <c r="R423" s="2" t="s">
        <v>98</v>
      </c>
      <c r="S423" s="2" t="s">
        <v>2423</v>
      </c>
      <c r="T423" s="2" t="s">
        <v>98</v>
      </c>
      <c r="U423" s="2" t="s">
        <v>98</v>
      </c>
      <c r="V423" s="2" t="s">
        <v>439</v>
      </c>
      <c r="W423" s="2" t="s">
        <v>103</v>
      </c>
      <c r="X423" s="2" t="s">
        <v>98</v>
      </c>
      <c r="Y423" s="2" t="s">
        <v>366</v>
      </c>
      <c r="Z423" s="4">
        <v>48</v>
      </c>
      <c r="AA423" s="4">
        <f>=ROUNDDOWN(9.05660377358491,0)</f>
      </c>
      <c r="AB423" s="5">
        <v>5.3</v>
      </c>
      <c r="AC423" s="2" t="s">
        <v>2327</v>
      </c>
      <c r="AD423" s="4">
        <v>129</v>
      </c>
      <c r="AE423" s="4">
        <v>340</v>
      </c>
      <c r="AF423" s="6">
        <v>76</v>
      </c>
      <c r="AG423" s="6">
        <v>67</v>
      </c>
      <c r="AH423" s="7">
        <v>1</v>
      </c>
      <c r="AI423" s="4"/>
      <c r="AJ423" s="4">
        <f>=ROUNDDOWN({0},0)</f>
      </c>
      <c r="AK423" s="5"/>
      <c r="AL423" s="2" t="s">
        <v>98</v>
      </c>
      <c r="AM423" s="4"/>
      <c r="AN423" s="4"/>
      <c r="AO423" s="7">
        <v>0</v>
      </c>
      <c r="AP423" s="4"/>
      <c r="AQ423" s="8"/>
      <c r="AR423" s="4">
        <v>5</v>
      </c>
      <c r="AS423" s="8">
        <v>426.1</v>
      </c>
      <c r="AT423" s="7">
        <v>-1</v>
      </c>
      <c r="AU423" s="7">
        <v>-1</v>
      </c>
      <c r="AV423" s="4"/>
      <c r="AW423" s="8"/>
      <c r="AX423" s="4">
        <v>5</v>
      </c>
      <c r="AY423" s="8">
        <v>426.1</v>
      </c>
      <c r="AZ423" s="7">
        <v>-1</v>
      </c>
      <c r="BA423" s="7">
        <v>-1</v>
      </c>
      <c r="BB423" s="7"/>
      <c r="BC423" s="4" t="s">
        <v>98</v>
      </c>
      <c r="BD423" s="8" t="s">
        <v>98</v>
      </c>
      <c r="BE423" s="4" t="s">
        <v>98</v>
      </c>
      <c r="BF423" s="8" t="s">
        <v>98</v>
      </c>
      <c r="BG423" s="7" t="s">
        <v>98</v>
      </c>
      <c r="BH423" s="7" t="s">
        <v>98</v>
      </c>
      <c r="BI423" s="7"/>
      <c r="BJ423" s="4">
        <v>3</v>
      </c>
      <c r="BK423" s="8">
        <v>206.34</v>
      </c>
      <c r="BL423" s="2" t="s">
        <v>2424</v>
      </c>
      <c r="BM423" s="7"/>
      <c r="BN423" s="7"/>
      <c r="BO423" s="4"/>
      <c r="BP423" s="8"/>
      <c r="BQ423" s="4">
        <v>5</v>
      </c>
      <c r="BR423" s="8">
        <v>426.1</v>
      </c>
      <c r="BS423" s="7">
        <v>-1</v>
      </c>
      <c r="BT423" s="7">
        <v>-1</v>
      </c>
      <c r="BU423" s="2" t="s">
        <v>107</v>
      </c>
      <c r="BV423" s="2" t="s">
        <v>1355</v>
      </c>
      <c r="BW423" s="2" t="s">
        <v>1356</v>
      </c>
      <c r="BX423" s="2" t="s">
        <v>2425</v>
      </c>
      <c r="BY423" s="2" t="s">
        <v>110</v>
      </c>
      <c r="BZ423" s="2" t="s">
        <v>98</v>
      </c>
    </row>
    <row r="424">
      <c r="A424" s="2" t="s">
        <v>2426</v>
      </c>
      <c r="B424" s="2" t="s">
        <v>1345</v>
      </c>
      <c r="C424" s="2" t="s">
        <v>88</v>
      </c>
      <c r="D424" s="2" t="s">
        <v>2390</v>
      </c>
      <c r="E424" s="2" t="s">
        <v>2391</v>
      </c>
      <c r="F424" s="2" t="s">
        <v>2411</v>
      </c>
      <c r="G424" s="2" t="s">
        <v>2412</v>
      </c>
      <c r="H424" s="2" t="s">
        <v>2413</v>
      </c>
      <c r="I424" s="2" t="s">
        <v>2414</v>
      </c>
      <c r="J424" s="2" t="s">
        <v>93</v>
      </c>
      <c r="K424" s="2" t="s">
        <v>133</v>
      </c>
      <c r="L424" s="3">
        <v>80.87</v>
      </c>
      <c r="M424" s="3">
        <v>84.91</v>
      </c>
      <c r="N424" s="3">
        <v>169</v>
      </c>
      <c r="O424" s="2" t="s">
        <v>95</v>
      </c>
      <c r="P424" s="2" t="s">
        <v>134</v>
      </c>
      <c r="Q424" s="2" t="s">
        <v>97</v>
      </c>
      <c r="R424" s="2" t="s">
        <v>98</v>
      </c>
      <c r="S424" s="2" t="s">
        <v>2427</v>
      </c>
      <c r="T424" s="2" t="s">
        <v>98</v>
      </c>
      <c r="U424" s="2" t="s">
        <v>98</v>
      </c>
      <c r="V424" s="2" t="s">
        <v>439</v>
      </c>
      <c r="W424" s="2" t="s">
        <v>103</v>
      </c>
      <c r="X424" s="2" t="s">
        <v>98</v>
      </c>
      <c r="Y424" s="2" t="s">
        <v>366</v>
      </c>
      <c r="Z424" s="4">
        <v>586</v>
      </c>
      <c r="AA424" s="4">
        <f>=ROUNDDOWN(225.384615384615,0)</f>
      </c>
      <c r="AB424" s="5">
        <v>2.6</v>
      </c>
      <c r="AC424" s="2" t="s">
        <v>98</v>
      </c>
      <c r="AD424" s="4"/>
      <c r="AE424" s="4"/>
      <c r="AF424" s="6">
        <v>76</v>
      </c>
      <c r="AG424" s="6">
        <v>67</v>
      </c>
      <c r="AH424" s="7">
        <v>1</v>
      </c>
      <c r="AI424" s="4"/>
      <c r="AJ424" s="4">
        <f>=ROUNDDOWN({0},0)</f>
      </c>
      <c r="AK424" s="5"/>
      <c r="AL424" s="2" t="s">
        <v>98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98</v>
      </c>
      <c r="BD424" s="8" t="s">
        <v>98</v>
      </c>
      <c r="BE424" s="4" t="s">
        <v>98</v>
      </c>
      <c r="BF424" s="8" t="s">
        <v>98</v>
      </c>
      <c r="BG424" s="7" t="s">
        <v>98</v>
      </c>
      <c r="BH424" s="7" t="s">
        <v>98</v>
      </c>
      <c r="BI424" s="7"/>
      <c r="BJ424" s="4">
        <v>1</v>
      </c>
      <c r="BK424" s="8">
        <v>91.7</v>
      </c>
      <c r="BL424" s="2" t="s">
        <v>2428</v>
      </c>
      <c r="BM424" s="7"/>
      <c r="BN424" s="7"/>
      <c r="BO424" s="4"/>
      <c r="BP424" s="8"/>
      <c r="BQ424" s="4"/>
      <c r="BR424" s="8"/>
      <c r="BS424" s="7"/>
      <c r="BT424" s="7"/>
      <c r="BU424" s="2" t="s">
        <v>107</v>
      </c>
      <c r="BV424" s="2" t="s">
        <v>1355</v>
      </c>
      <c r="BW424" s="2" t="s">
        <v>1356</v>
      </c>
      <c r="BX424" s="2" t="s">
        <v>2425</v>
      </c>
      <c r="BY424" s="2" t="s">
        <v>110</v>
      </c>
      <c r="BZ424" s="2" t="s">
        <v>98</v>
      </c>
    </row>
    <row r="425">
      <c r="A425" s="2" t="s">
        <v>2429</v>
      </c>
      <c r="B425" s="2" t="s">
        <v>1345</v>
      </c>
      <c r="C425" s="2" t="s">
        <v>88</v>
      </c>
      <c r="D425" s="2" t="s">
        <v>2390</v>
      </c>
      <c r="E425" s="2" t="s">
        <v>2391</v>
      </c>
      <c r="F425" s="2" t="s">
        <v>2430</v>
      </c>
      <c r="G425" s="2" t="s">
        <v>2431</v>
      </c>
      <c r="H425" s="2" t="s">
        <v>2432</v>
      </c>
      <c r="I425" s="2" t="s">
        <v>2433</v>
      </c>
      <c r="J425" s="2" t="s">
        <v>93</v>
      </c>
      <c r="K425" s="2" t="s">
        <v>1439</v>
      </c>
      <c r="L425" s="3">
        <v>57.86</v>
      </c>
      <c r="M425" s="3">
        <v>60.75</v>
      </c>
      <c r="N425" s="3">
        <v>129</v>
      </c>
      <c r="O425" s="2" t="s">
        <v>95</v>
      </c>
      <c r="P425" s="2" t="s">
        <v>134</v>
      </c>
      <c r="Q425" s="2" t="s">
        <v>97</v>
      </c>
      <c r="R425" s="2" t="s">
        <v>98</v>
      </c>
      <c r="S425" s="2" t="s">
        <v>98</v>
      </c>
      <c r="T425" s="2" t="s">
        <v>98</v>
      </c>
      <c r="U425" s="2" t="s">
        <v>98</v>
      </c>
      <c r="V425" s="2" t="s">
        <v>296</v>
      </c>
      <c r="W425" s="2" t="s">
        <v>102</v>
      </c>
      <c r="X425" s="2" t="s">
        <v>98</v>
      </c>
      <c r="Y425" s="2" t="s">
        <v>2434</v>
      </c>
      <c r="Z425" s="4">
        <v>103</v>
      </c>
      <c r="AA425" s="4">
        <f>=ROUNDDOWN(20.6,0)</f>
      </c>
      <c r="AB425" s="5">
        <v>5</v>
      </c>
      <c r="AC425" s="2" t="s">
        <v>1088</v>
      </c>
      <c r="AD425" s="4">
        <v>100</v>
      </c>
      <c r="AE425" s="4">
        <v>100</v>
      </c>
      <c r="AF425" s="6">
        <v>76</v>
      </c>
      <c r="AG425" s="6"/>
      <c r="AH425" s="7">
        <v>1</v>
      </c>
      <c r="AI425" s="4"/>
      <c r="AJ425" s="4">
        <f>=ROUNDDOWN({0},0)</f>
      </c>
      <c r="AK425" s="5"/>
      <c r="AL425" s="2" t="s">
        <v>98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/>
      <c r="AW425" s="8"/>
      <c r="AX425" s="4"/>
      <c r="AY425" s="8"/>
      <c r="AZ425" s="7"/>
      <c r="BA425" s="7"/>
      <c r="BB425" s="7"/>
      <c r="BC425" s="4" t="s">
        <v>98</v>
      </c>
      <c r="BD425" s="8" t="s">
        <v>98</v>
      </c>
      <c r="BE425" s="4" t="s">
        <v>98</v>
      </c>
      <c r="BF425" s="8" t="s">
        <v>98</v>
      </c>
      <c r="BG425" s="7" t="s">
        <v>98</v>
      </c>
      <c r="BH425" s="7" t="s">
        <v>98</v>
      </c>
      <c r="BI425" s="7"/>
      <c r="BJ425" s="4"/>
      <c r="BK425" s="8"/>
      <c r="BL425" s="2" t="s">
        <v>269</v>
      </c>
      <c r="BM425" s="7"/>
      <c r="BN425" s="7"/>
      <c r="BO425" s="4"/>
      <c r="BP425" s="8"/>
      <c r="BQ425" s="4"/>
      <c r="BR425" s="8"/>
      <c r="BS425" s="7"/>
      <c r="BT425" s="7"/>
      <c r="BU425" s="2" t="s">
        <v>1376</v>
      </c>
      <c r="BV425" s="2" t="s">
        <v>95</v>
      </c>
      <c r="BW425" s="2" t="s">
        <v>98</v>
      </c>
      <c r="BX425" s="2" t="s">
        <v>98</v>
      </c>
      <c r="BY425" s="2" t="s">
        <v>110</v>
      </c>
      <c r="BZ425" s="2" t="s">
        <v>98</v>
      </c>
    </row>
    <row r="426">
      <c r="A426" s="2" t="s">
        <v>2435</v>
      </c>
      <c r="B426" s="2" t="s">
        <v>1345</v>
      </c>
      <c r="C426" s="2" t="s">
        <v>88</v>
      </c>
      <c r="D426" s="2" t="s">
        <v>2390</v>
      </c>
      <c r="E426" s="2" t="s">
        <v>2391</v>
      </c>
      <c r="F426" s="2" t="s">
        <v>2430</v>
      </c>
      <c r="G426" s="2" t="s">
        <v>2431</v>
      </c>
      <c r="H426" s="2" t="s">
        <v>2432</v>
      </c>
      <c r="I426" s="2" t="s">
        <v>2436</v>
      </c>
      <c r="J426" s="2" t="s">
        <v>93</v>
      </c>
      <c r="K426" s="2" t="s">
        <v>133</v>
      </c>
      <c r="L426" s="3">
        <v>57.86</v>
      </c>
      <c r="M426" s="3">
        <v>60.75</v>
      </c>
      <c r="N426" s="3">
        <v>129</v>
      </c>
      <c r="O426" s="2" t="s">
        <v>95</v>
      </c>
      <c r="P426" s="2" t="s">
        <v>96</v>
      </c>
      <c r="Q426" s="2" t="s">
        <v>97</v>
      </c>
      <c r="R426" s="2" t="s">
        <v>98</v>
      </c>
      <c r="S426" s="2" t="s">
        <v>2437</v>
      </c>
      <c r="T426" s="2" t="s">
        <v>98</v>
      </c>
      <c r="U426" s="2" t="s">
        <v>98</v>
      </c>
      <c r="V426" s="2" t="s">
        <v>439</v>
      </c>
      <c r="W426" s="2" t="s">
        <v>102</v>
      </c>
      <c r="X426" s="2" t="s">
        <v>98</v>
      </c>
      <c r="Y426" s="2" t="s">
        <v>366</v>
      </c>
      <c r="Z426" s="4">
        <v>153</v>
      </c>
      <c r="AA426" s="4">
        <f>=ROUNDDOWN(11.5909090909091,0)</f>
      </c>
      <c r="AB426" s="5">
        <v>13.2</v>
      </c>
      <c r="AC426" s="2" t="s">
        <v>2327</v>
      </c>
      <c r="AD426" s="4">
        <v>148</v>
      </c>
      <c r="AE426" s="4">
        <v>760</v>
      </c>
      <c r="AF426" s="6">
        <v>76</v>
      </c>
      <c r="AG426" s="6"/>
      <c r="AH426" s="7">
        <v>1</v>
      </c>
      <c r="AI426" s="4"/>
      <c r="AJ426" s="4">
        <f>=ROUNDDOWN({0},0)</f>
      </c>
      <c r="AK426" s="5"/>
      <c r="AL426" s="2" t="s">
        <v>98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/>
      <c r="AW426" s="8"/>
      <c r="AX426" s="4"/>
      <c r="AY426" s="8"/>
      <c r="AZ426" s="7"/>
      <c r="BA426" s="7"/>
      <c r="BB426" s="7"/>
      <c r="BC426" s="4" t="s">
        <v>98</v>
      </c>
      <c r="BD426" s="8" t="s">
        <v>98</v>
      </c>
      <c r="BE426" s="4" t="s">
        <v>98</v>
      </c>
      <c r="BF426" s="8" t="s">
        <v>98</v>
      </c>
      <c r="BG426" s="7" t="s">
        <v>98</v>
      </c>
      <c r="BH426" s="7" t="s">
        <v>98</v>
      </c>
      <c r="BI426" s="7"/>
      <c r="BJ426" s="4">
        <v>4</v>
      </c>
      <c r="BK426" s="8">
        <v>262.44</v>
      </c>
      <c r="BL426" s="2" t="s">
        <v>2438</v>
      </c>
      <c r="BM426" s="7"/>
      <c r="BN426" s="7"/>
      <c r="BO426" s="4"/>
      <c r="BP426" s="8"/>
      <c r="BQ426" s="4"/>
      <c r="BR426" s="8"/>
      <c r="BS426" s="7"/>
      <c r="BT426" s="7"/>
      <c r="BU426" s="2" t="s">
        <v>107</v>
      </c>
      <c r="BV426" s="2" t="s">
        <v>1355</v>
      </c>
      <c r="BW426" s="2" t="s">
        <v>1495</v>
      </c>
      <c r="BX426" s="2" t="s">
        <v>1702</v>
      </c>
      <c r="BY426" s="2" t="s">
        <v>110</v>
      </c>
      <c r="BZ426" s="2" t="s">
        <v>98</v>
      </c>
    </row>
    <row r="427">
      <c r="A427" s="2" t="s">
        <v>2439</v>
      </c>
      <c r="B427" s="2" t="s">
        <v>1345</v>
      </c>
      <c r="C427" s="2" t="s">
        <v>88</v>
      </c>
      <c r="D427" s="2" t="s">
        <v>2390</v>
      </c>
      <c r="E427" s="2" t="s">
        <v>2391</v>
      </c>
      <c r="F427" s="2" t="s">
        <v>2430</v>
      </c>
      <c r="G427" s="2" t="s">
        <v>2431</v>
      </c>
      <c r="H427" s="2" t="s">
        <v>2432</v>
      </c>
      <c r="I427" s="2" t="s">
        <v>2436</v>
      </c>
      <c r="J427" s="2" t="s">
        <v>93</v>
      </c>
      <c r="K427" s="2" t="s">
        <v>1371</v>
      </c>
      <c r="L427" s="3">
        <v>57.86</v>
      </c>
      <c r="M427" s="3">
        <v>60.75</v>
      </c>
      <c r="N427" s="3">
        <v>129</v>
      </c>
      <c r="O427" s="2" t="s">
        <v>95</v>
      </c>
      <c r="P427" s="2" t="s">
        <v>134</v>
      </c>
      <c r="Q427" s="2" t="s">
        <v>97</v>
      </c>
      <c r="R427" s="2" t="s">
        <v>98</v>
      </c>
      <c r="S427" s="2" t="s">
        <v>2440</v>
      </c>
      <c r="T427" s="2" t="s">
        <v>98</v>
      </c>
      <c r="U427" s="2" t="s">
        <v>98</v>
      </c>
      <c r="V427" s="2" t="s">
        <v>439</v>
      </c>
      <c r="W427" s="2" t="s">
        <v>102</v>
      </c>
      <c r="X427" s="2" t="s">
        <v>98</v>
      </c>
      <c r="Y427" s="2" t="s">
        <v>366</v>
      </c>
      <c r="Z427" s="4">
        <v>122</v>
      </c>
      <c r="AA427" s="4">
        <f>=ROUNDDOWN(9.38461538461538,0)</f>
      </c>
      <c r="AB427" s="5">
        <v>13</v>
      </c>
      <c r="AC427" s="2" t="s">
        <v>2416</v>
      </c>
      <c r="AD427" s="4">
        <v>135</v>
      </c>
      <c r="AE427" s="4">
        <v>255</v>
      </c>
      <c r="AF427" s="6">
        <v>76</v>
      </c>
      <c r="AG427" s="6"/>
      <c r="AH427" s="7">
        <v>1</v>
      </c>
      <c r="AI427" s="4"/>
      <c r="AJ427" s="4">
        <f>=ROUNDDOWN({0},0)</f>
      </c>
      <c r="AK427" s="5"/>
      <c r="AL427" s="2" t="s">
        <v>98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/>
      <c r="AW427" s="8"/>
      <c r="AX427" s="4"/>
      <c r="AY427" s="8"/>
      <c r="AZ427" s="7"/>
      <c r="BA427" s="7"/>
      <c r="BB427" s="7"/>
      <c r="BC427" s="4" t="s">
        <v>98</v>
      </c>
      <c r="BD427" s="8" t="s">
        <v>98</v>
      </c>
      <c r="BE427" s="4" t="s">
        <v>98</v>
      </c>
      <c r="BF427" s="8" t="s">
        <v>98</v>
      </c>
      <c r="BG427" s="7" t="s">
        <v>98</v>
      </c>
      <c r="BH427" s="7" t="s">
        <v>98</v>
      </c>
      <c r="BI427" s="7"/>
      <c r="BJ427" s="4">
        <v>2</v>
      </c>
      <c r="BK427" s="8">
        <v>121.5</v>
      </c>
      <c r="BL427" s="2" t="s">
        <v>2441</v>
      </c>
      <c r="BM427" s="7"/>
      <c r="BN427" s="7"/>
      <c r="BO427" s="4"/>
      <c r="BP427" s="8"/>
      <c r="BQ427" s="4"/>
      <c r="BR427" s="8"/>
      <c r="BS427" s="7"/>
      <c r="BT427" s="7"/>
      <c r="BU427" s="2" t="s">
        <v>107</v>
      </c>
      <c r="BV427" s="2" t="s">
        <v>1355</v>
      </c>
      <c r="BW427" s="2" t="s">
        <v>1600</v>
      </c>
      <c r="BX427" s="2" t="s">
        <v>2442</v>
      </c>
      <c r="BY427" s="2" t="s">
        <v>110</v>
      </c>
      <c r="BZ427" s="2" t="s">
        <v>98</v>
      </c>
    </row>
    <row r="428">
      <c r="A428" s="2" t="s">
        <v>2443</v>
      </c>
      <c r="B428" s="2" t="s">
        <v>1345</v>
      </c>
      <c r="C428" s="2" t="s">
        <v>88</v>
      </c>
      <c r="D428" s="2" t="s">
        <v>2390</v>
      </c>
      <c r="E428" s="2" t="s">
        <v>2391</v>
      </c>
      <c r="F428" s="2" t="s">
        <v>2430</v>
      </c>
      <c r="G428" s="2" t="s">
        <v>2431</v>
      </c>
      <c r="H428" s="2" t="s">
        <v>2432</v>
      </c>
      <c r="I428" s="2" t="s">
        <v>2436</v>
      </c>
      <c r="J428" s="2" t="s">
        <v>93</v>
      </c>
      <c r="K428" s="2" t="s">
        <v>357</v>
      </c>
      <c r="L428" s="3">
        <v>57.86</v>
      </c>
      <c r="M428" s="3">
        <v>60.75</v>
      </c>
      <c r="N428" s="3">
        <v>129</v>
      </c>
      <c r="O428" s="2" t="s">
        <v>95</v>
      </c>
      <c r="P428" s="2" t="s">
        <v>134</v>
      </c>
      <c r="Q428" s="2" t="s">
        <v>97</v>
      </c>
      <c r="R428" s="2" t="s">
        <v>98</v>
      </c>
      <c r="S428" s="2" t="s">
        <v>2444</v>
      </c>
      <c r="T428" s="2" t="s">
        <v>98</v>
      </c>
      <c r="U428" s="2" t="s">
        <v>98</v>
      </c>
      <c r="V428" s="2" t="s">
        <v>439</v>
      </c>
      <c r="W428" s="2" t="s">
        <v>102</v>
      </c>
      <c r="X428" s="2" t="s">
        <v>98</v>
      </c>
      <c r="Y428" s="2" t="s">
        <v>366</v>
      </c>
      <c r="Z428" s="4">
        <v>92</v>
      </c>
      <c r="AA428" s="4">
        <f>=ROUNDDOWN(9.2,0)</f>
      </c>
      <c r="AB428" s="5">
        <v>10</v>
      </c>
      <c r="AC428" s="2" t="s">
        <v>2327</v>
      </c>
      <c r="AD428" s="4">
        <v>1</v>
      </c>
      <c r="AE428" s="4">
        <v>311</v>
      </c>
      <c r="AF428" s="6">
        <v>76</v>
      </c>
      <c r="AG428" s="6">
        <v>67</v>
      </c>
      <c r="AH428" s="7">
        <v>1</v>
      </c>
      <c r="AI428" s="4"/>
      <c r="AJ428" s="4">
        <f>=ROUNDDOWN({0},0)</f>
      </c>
      <c r="AK428" s="5"/>
      <c r="AL428" s="2" t="s">
        <v>98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 t="s">
        <v>98</v>
      </c>
      <c r="BD428" s="8" t="s">
        <v>98</v>
      </c>
      <c r="BE428" s="4" t="s">
        <v>98</v>
      </c>
      <c r="BF428" s="8" t="s">
        <v>98</v>
      </c>
      <c r="BG428" s="7" t="s">
        <v>98</v>
      </c>
      <c r="BH428" s="7" t="s">
        <v>98</v>
      </c>
      <c r="BI428" s="7"/>
      <c r="BJ428" s="4">
        <v>9</v>
      </c>
      <c r="BK428" s="8">
        <v>581.26</v>
      </c>
      <c r="BL428" s="2" t="s">
        <v>2445</v>
      </c>
      <c r="BM428" s="7"/>
      <c r="BN428" s="7"/>
      <c r="BO428" s="4"/>
      <c r="BP428" s="8"/>
      <c r="BQ428" s="4"/>
      <c r="BR428" s="8"/>
      <c r="BS428" s="7"/>
      <c r="BT428" s="7"/>
      <c r="BU428" s="2" t="s">
        <v>107</v>
      </c>
      <c r="BV428" s="2" t="s">
        <v>1355</v>
      </c>
      <c r="BW428" s="2" t="s">
        <v>1600</v>
      </c>
      <c r="BX428" s="2" t="s">
        <v>2442</v>
      </c>
      <c r="BY428" s="2" t="s">
        <v>110</v>
      </c>
      <c r="BZ428" s="2" t="s">
        <v>98</v>
      </c>
    </row>
    <row r="429">
      <c r="A429" s="2" t="s">
        <v>2446</v>
      </c>
      <c r="B429" s="2" t="s">
        <v>1345</v>
      </c>
      <c r="C429" s="2" t="s">
        <v>88</v>
      </c>
      <c r="D429" s="2" t="s">
        <v>2390</v>
      </c>
      <c r="E429" s="2" t="s">
        <v>2391</v>
      </c>
      <c r="F429" s="2" t="s">
        <v>2271</v>
      </c>
      <c r="G429" s="2" t="s">
        <v>2272</v>
      </c>
      <c r="H429" s="2" t="s">
        <v>1594</v>
      </c>
      <c r="I429" s="2" t="s">
        <v>2447</v>
      </c>
      <c r="J429" s="2" t="s">
        <v>93</v>
      </c>
      <c r="K429" s="2" t="s">
        <v>277</v>
      </c>
      <c r="L429" s="3">
        <v>80.75</v>
      </c>
      <c r="M429" s="3">
        <v>84.79</v>
      </c>
      <c r="N429" s="3">
        <v>169</v>
      </c>
      <c r="O429" s="2" t="s">
        <v>95</v>
      </c>
      <c r="P429" s="2" t="s">
        <v>134</v>
      </c>
      <c r="Q429" s="2" t="s">
        <v>97</v>
      </c>
      <c r="R429" s="2" t="s">
        <v>98</v>
      </c>
      <c r="S429" s="2" t="s">
        <v>2448</v>
      </c>
      <c r="T429" s="2" t="s">
        <v>98</v>
      </c>
      <c r="U429" s="2" t="s">
        <v>98</v>
      </c>
      <c r="V429" s="2" t="s">
        <v>439</v>
      </c>
      <c r="W429" s="2" t="s">
        <v>102</v>
      </c>
      <c r="X429" s="2" t="s">
        <v>98</v>
      </c>
      <c r="Y429" s="2" t="s">
        <v>366</v>
      </c>
      <c r="Z429" s="4">
        <v>87</v>
      </c>
      <c r="AA429" s="4">
        <f>=ROUNDDOWN(29,0)</f>
      </c>
      <c r="AB429" s="5">
        <v>3</v>
      </c>
      <c r="AC429" s="2" t="s">
        <v>2449</v>
      </c>
      <c r="AD429" s="4">
        <v>91</v>
      </c>
      <c r="AE429" s="4">
        <v>171</v>
      </c>
      <c r="AF429" s="6">
        <v>74</v>
      </c>
      <c r="AG429" s="6"/>
      <c r="AH429" s="7">
        <v>1</v>
      </c>
      <c r="AI429" s="4"/>
      <c r="AJ429" s="4">
        <f>=ROUNDDOWN({0},0)</f>
      </c>
      <c r="AK429" s="5"/>
      <c r="AL429" s="2" t="s">
        <v>98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 t="s">
        <v>98</v>
      </c>
      <c r="BD429" s="8" t="s">
        <v>98</v>
      </c>
      <c r="BE429" s="4" t="s">
        <v>98</v>
      </c>
      <c r="BF429" s="8" t="s">
        <v>98</v>
      </c>
      <c r="BG429" s="7" t="s">
        <v>98</v>
      </c>
      <c r="BH429" s="7" t="s">
        <v>98</v>
      </c>
      <c r="BI429" s="7"/>
      <c r="BJ429" s="4"/>
      <c r="BK429" s="8"/>
      <c r="BL429" s="2" t="s">
        <v>98</v>
      </c>
      <c r="BM429" s="7"/>
      <c r="BN429" s="7"/>
      <c r="BO429" s="4"/>
      <c r="BP429" s="8"/>
      <c r="BQ429" s="4"/>
      <c r="BR429" s="8"/>
      <c r="BS429" s="7"/>
      <c r="BT429" s="7"/>
      <c r="BU429" s="2" t="s">
        <v>107</v>
      </c>
      <c r="BV429" s="2" t="s">
        <v>1355</v>
      </c>
      <c r="BW429" s="2" t="s">
        <v>497</v>
      </c>
      <c r="BX429" s="2" t="s">
        <v>2276</v>
      </c>
      <c r="BY429" s="2" t="s">
        <v>110</v>
      </c>
      <c r="BZ429" s="2" t="s">
        <v>98</v>
      </c>
    </row>
    <row r="430">
      <c r="A430" s="2" t="s">
        <v>2450</v>
      </c>
      <c r="B430" s="2" t="s">
        <v>1345</v>
      </c>
      <c r="C430" s="2" t="s">
        <v>88</v>
      </c>
      <c r="D430" s="2" t="s">
        <v>2390</v>
      </c>
      <c r="E430" s="2" t="s">
        <v>2391</v>
      </c>
      <c r="F430" s="2" t="s">
        <v>2271</v>
      </c>
      <c r="G430" s="2" t="s">
        <v>2272</v>
      </c>
      <c r="H430" s="2" t="s">
        <v>1594</v>
      </c>
      <c r="I430" s="2" t="s">
        <v>2447</v>
      </c>
      <c r="J430" s="2" t="s">
        <v>93</v>
      </c>
      <c r="K430" s="2" t="s">
        <v>1439</v>
      </c>
      <c r="L430" s="3">
        <v>80.75</v>
      </c>
      <c r="M430" s="3">
        <v>84.79</v>
      </c>
      <c r="N430" s="3">
        <v>169</v>
      </c>
      <c r="O430" s="2" t="s">
        <v>95</v>
      </c>
      <c r="P430" s="2" t="s">
        <v>134</v>
      </c>
      <c r="Q430" s="2" t="s">
        <v>97</v>
      </c>
      <c r="R430" s="2" t="s">
        <v>98</v>
      </c>
      <c r="S430" s="2" t="s">
        <v>2451</v>
      </c>
      <c r="T430" s="2" t="s">
        <v>98</v>
      </c>
      <c r="U430" s="2" t="s">
        <v>98</v>
      </c>
      <c r="V430" s="2" t="s">
        <v>439</v>
      </c>
      <c r="W430" s="2" t="s">
        <v>102</v>
      </c>
      <c r="X430" s="2" t="s">
        <v>98</v>
      </c>
      <c r="Y430" s="2" t="s">
        <v>366</v>
      </c>
      <c r="Z430" s="4">
        <v>62</v>
      </c>
      <c r="AA430" s="4">
        <f>=ROUNDDOWN(10.3333333333333,0)</f>
      </c>
      <c r="AB430" s="5">
        <v>6</v>
      </c>
      <c r="AC430" s="2" t="s">
        <v>1651</v>
      </c>
      <c r="AD430" s="4">
        <v>205</v>
      </c>
      <c r="AE430" s="4">
        <v>220</v>
      </c>
      <c r="AF430" s="6">
        <v>74</v>
      </c>
      <c r="AG430" s="6">
        <v>60</v>
      </c>
      <c r="AH430" s="7">
        <v>1</v>
      </c>
      <c r="AI430" s="4"/>
      <c r="AJ430" s="4">
        <f>=ROUNDDOWN({0},0)</f>
      </c>
      <c r="AK430" s="5"/>
      <c r="AL430" s="2" t="s">
        <v>98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 t="s">
        <v>98</v>
      </c>
      <c r="BD430" s="8" t="s">
        <v>98</v>
      </c>
      <c r="BE430" s="4" t="s">
        <v>98</v>
      </c>
      <c r="BF430" s="8" t="s">
        <v>98</v>
      </c>
      <c r="BG430" s="7" t="s">
        <v>98</v>
      </c>
      <c r="BH430" s="7" t="s">
        <v>98</v>
      </c>
      <c r="BI430" s="7"/>
      <c r="BJ430" s="4"/>
      <c r="BK430" s="8"/>
      <c r="BL430" s="2" t="s">
        <v>98</v>
      </c>
      <c r="BM430" s="7"/>
      <c r="BN430" s="7"/>
      <c r="BO430" s="4"/>
      <c r="BP430" s="8"/>
      <c r="BQ430" s="4"/>
      <c r="BR430" s="8"/>
      <c r="BS430" s="7"/>
      <c r="BT430" s="7"/>
      <c r="BU430" s="2" t="s">
        <v>107</v>
      </c>
      <c r="BV430" s="2" t="s">
        <v>1355</v>
      </c>
      <c r="BW430" s="2" t="s">
        <v>497</v>
      </c>
      <c r="BX430" s="2" t="s">
        <v>1435</v>
      </c>
      <c r="BY430" s="2" t="s">
        <v>110</v>
      </c>
      <c r="BZ430" s="2" t="s">
        <v>98</v>
      </c>
    </row>
    <row r="431">
      <c r="A431" s="2" t="s">
        <v>2452</v>
      </c>
      <c r="B431" s="2" t="s">
        <v>1345</v>
      </c>
      <c r="C431" s="2" t="s">
        <v>88</v>
      </c>
      <c r="D431" s="2" t="s">
        <v>2390</v>
      </c>
      <c r="E431" s="2" t="s">
        <v>2391</v>
      </c>
      <c r="F431" s="2" t="s">
        <v>2271</v>
      </c>
      <c r="G431" s="2" t="s">
        <v>2272</v>
      </c>
      <c r="H431" s="2" t="s">
        <v>1594</v>
      </c>
      <c r="I431" s="2" t="s">
        <v>2433</v>
      </c>
      <c r="J431" s="2" t="s">
        <v>93</v>
      </c>
      <c r="K431" s="2" t="s">
        <v>133</v>
      </c>
      <c r="L431" s="3">
        <v>80.75</v>
      </c>
      <c r="M431" s="3">
        <v>84.79</v>
      </c>
      <c r="N431" s="3">
        <v>169</v>
      </c>
      <c r="O431" s="2" t="s">
        <v>95</v>
      </c>
      <c r="P431" s="2" t="s">
        <v>134</v>
      </c>
      <c r="Q431" s="2" t="s">
        <v>97</v>
      </c>
      <c r="R431" s="2" t="s">
        <v>98</v>
      </c>
      <c r="S431" s="2" t="s">
        <v>2453</v>
      </c>
      <c r="T431" s="2" t="s">
        <v>98</v>
      </c>
      <c r="U431" s="2" t="s">
        <v>98</v>
      </c>
      <c r="V431" s="2" t="s">
        <v>439</v>
      </c>
      <c r="W431" s="2" t="s">
        <v>102</v>
      </c>
      <c r="X431" s="2" t="s">
        <v>98</v>
      </c>
      <c r="Y431" s="2" t="s">
        <v>366</v>
      </c>
      <c r="Z431" s="4">
        <v>105</v>
      </c>
      <c r="AA431" s="4">
        <f>=ROUNDDOWN(17.5,0)</f>
      </c>
      <c r="AB431" s="5">
        <v>6</v>
      </c>
      <c r="AC431" s="2" t="s">
        <v>2449</v>
      </c>
      <c r="AD431" s="4">
        <v>109</v>
      </c>
      <c r="AE431" s="4">
        <v>189</v>
      </c>
      <c r="AF431" s="6">
        <v>74</v>
      </c>
      <c r="AG431" s="6"/>
      <c r="AH431" s="7">
        <v>1</v>
      </c>
      <c r="AI431" s="4"/>
      <c r="AJ431" s="4">
        <f>=ROUNDDOWN({0},0)</f>
      </c>
      <c r="AK431" s="5"/>
      <c r="AL431" s="2" t="s">
        <v>98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/>
      <c r="AW431" s="8"/>
      <c r="AX431" s="4"/>
      <c r="AY431" s="8"/>
      <c r="AZ431" s="7"/>
      <c r="BA431" s="7"/>
      <c r="BB431" s="7"/>
      <c r="BC431" s="4" t="s">
        <v>98</v>
      </c>
      <c r="BD431" s="8" t="s">
        <v>98</v>
      </c>
      <c r="BE431" s="4" t="s">
        <v>98</v>
      </c>
      <c r="BF431" s="8" t="s">
        <v>98</v>
      </c>
      <c r="BG431" s="7" t="s">
        <v>98</v>
      </c>
      <c r="BH431" s="7" t="s">
        <v>98</v>
      </c>
      <c r="BI431" s="7"/>
      <c r="BJ431" s="4">
        <v>4</v>
      </c>
      <c r="BK431" s="8">
        <v>9398.17</v>
      </c>
      <c r="BL431" s="2" t="s">
        <v>2454</v>
      </c>
      <c r="BM431" s="7"/>
      <c r="BN431" s="7"/>
      <c r="BO431" s="4"/>
      <c r="BP431" s="8"/>
      <c r="BQ431" s="4"/>
      <c r="BR431" s="8"/>
      <c r="BS431" s="7"/>
      <c r="BT431" s="7"/>
      <c r="BU431" s="2" t="s">
        <v>107</v>
      </c>
      <c r="BV431" s="2" t="s">
        <v>1355</v>
      </c>
      <c r="BW431" s="2" t="s">
        <v>1356</v>
      </c>
      <c r="BX431" s="2" t="s">
        <v>2455</v>
      </c>
      <c r="BY431" s="2" t="s">
        <v>110</v>
      </c>
      <c r="BZ431" s="2" t="s">
        <v>98</v>
      </c>
    </row>
    <row r="432">
      <c r="A432" s="2" t="s">
        <v>2456</v>
      </c>
      <c r="B432" s="2" t="s">
        <v>1345</v>
      </c>
      <c r="C432" s="2" t="s">
        <v>88</v>
      </c>
      <c r="D432" s="2" t="s">
        <v>2390</v>
      </c>
      <c r="E432" s="2" t="s">
        <v>2391</v>
      </c>
      <c r="F432" s="2" t="s">
        <v>2206</v>
      </c>
      <c r="G432" s="2" t="s">
        <v>2207</v>
      </c>
      <c r="H432" s="2" t="s">
        <v>2208</v>
      </c>
      <c r="I432" s="2" t="s">
        <v>2457</v>
      </c>
      <c r="J432" s="2" t="s">
        <v>93</v>
      </c>
      <c r="K432" s="2" t="s">
        <v>1439</v>
      </c>
      <c r="L432" s="3">
        <v>140</v>
      </c>
      <c r="M432" s="3">
        <v>147</v>
      </c>
      <c r="N432" s="3">
        <v>289</v>
      </c>
      <c r="O432" s="2" t="s">
        <v>95</v>
      </c>
      <c r="P432" s="2" t="s">
        <v>295</v>
      </c>
      <c r="Q432" s="2" t="s">
        <v>97</v>
      </c>
      <c r="R432" s="2" t="s">
        <v>98</v>
      </c>
      <c r="S432" s="2" t="s">
        <v>98</v>
      </c>
      <c r="T432" s="2" t="s">
        <v>98</v>
      </c>
      <c r="U432" s="2" t="s">
        <v>117</v>
      </c>
      <c r="V432" s="2" t="s">
        <v>296</v>
      </c>
      <c r="W432" s="2" t="s">
        <v>102</v>
      </c>
      <c r="X432" s="2" t="s">
        <v>297</v>
      </c>
      <c r="Y432" s="2" t="s">
        <v>2458</v>
      </c>
      <c r="Z432" s="4">
        <v>76</v>
      </c>
      <c r="AA432" s="4">
        <f>=ROUNDDOWN(14.0740740740741,0)</f>
      </c>
      <c r="AB432" s="5">
        <v>5.4</v>
      </c>
      <c r="AC432" s="2" t="s">
        <v>98</v>
      </c>
      <c r="AD432" s="4"/>
      <c r="AE432" s="4"/>
      <c r="AF432" s="6">
        <v>67</v>
      </c>
      <c r="AG432" s="6"/>
      <c r="AH432" s="7">
        <v>1</v>
      </c>
      <c r="AI432" s="4"/>
      <c r="AJ432" s="4">
        <f>=ROUNDDOWN({0},0)</f>
      </c>
      <c r="AK432" s="5"/>
      <c r="AL432" s="2" t="s">
        <v>98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/>
      <c r="BD432" s="8"/>
      <c r="BE432" s="4"/>
      <c r="BF432" s="8"/>
      <c r="BG432" s="7"/>
      <c r="BH432" s="7"/>
      <c r="BI432" s="7"/>
      <c r="BJ432" s="4">
        <v>1</v>
      </c>
      <c r="BK432" s="8">
        <v>161.7</v>
      </c>
      <c r="BL432" s="2" t="s">
        <v>269</v>
      </c>
      <c r="BM432" s="7"/>
      <c r="BN432" s="7"/>
      <c r="BO432" s="4"/>
      <c r="BP432" s="8"/>
      <c r="BQ432" s="4"/>
      <c r="BR432" s="8"/>
      <c r="BS432" s="7"/>
      <c r="BT432" s="7"/>
      <c r="BU432" s="2" t="s">
        <v>1376</v>
      </c>
      <c r="BV432" s="2" t="s">
        <v>95</v>
      </c>
      <c r="BW432" s="2" t="s">
        <v>98</v>
      </c>
      <c r="BX432" s="2" t="s">
        <v>98</v>
      </c>
      <c r="BY432" s="2" t="s">
        <v>110</v>
      </c>
      <c r="BZ432" s="2" t="s">
        <v>98</v>
      </c>
    </row>
    <row r="433">
      <c r="A433" s="2" t="s">
        <v>2459</v>
      </c>
      <c r="B433" s="2" t="s">
        <v>1345</v>
      </c>
      <c r="C433" s="2" t="s">
        <v>88</v>
      </c>
      <c r="D433" s="2" t="s">
        <v>2390</v>
      </c>
      <c r="E433" s="2" t="s">
        <v>2391</v>
      </c>
      <c r="F433" s="2" t="s">
        <v>2460</v>
      </c>
      <c r="G433" s="2" t="s">
        <v>2461</v>
      </c>
      <c r="H433" s="2" t="s">
        <v>2462</v>
      </c>
      <c r="I433" s="2" t="s">
        <v>2433</v>
      </c>
      <c r="J433" s="2" t="s">
        <v>93</v>
      </c>
      <c r="K433" s="2" t="s">
        <v>1439</v>
      </c>
      <c r="L433" s="3">
        <v>80.75</v>
      </c>
      <c r="M433" s="3">
        <v>84.79</v>
      </c>
      <c r="N433" s="3">
        <v>169</v>
      </c>
      <c r="O433" s="2" t="s">
        <v>95</v>
      </c>
      <c r="P433" s="2" t="s">
        <v>134</v>
      </c>
      <c r="Q433" s="2" t="s">
        <v>97</v>
      </c>
      <c r="R433" s="2" t="s">
        <v>98</v>
      </c>
      <c r="S433" s="2" t="s">
        <v>2463</v>
      </c>
      <c r="T433" s="2" t="s">
        <v>98</v>
      </c>
      <c r="U433" s="2" t="s">
        <v>98</v>
      </c>
      <c r="V433" s="2" t="s">
        <v>1360</v>
      </c>
      <c r="W433" s="2" t="s">
        <v>102</v>
      </c>
      <c r="X433" s="2" t="s">
        <v>98</v>
      </c>
      <c r="Y433" s="2" t="s">
        <v>366</v>
      </c>
      <c r="Z433" s="4">
        <v>76</v>
      </c>
      <c r="AA433" s="4">
        <f>=ROUNDDOWN(7.6,0)</f>
      </c>
      <c r="AB433" s="5">
        <v>10</v>
      </c>
      <c r="AC433" s="2" t="s">
        <v>1516</v>
      </c>
      <c r="AD433" s="4">
        <v>81</v>
      </c>
      <c r="AE433" s="4">
        <v>250</v>
      </c>
      <c r="AF433" s="6">
        <v>65</v>
      </c>
      <c r="AG433" s="6">
        <v>48</v>
      </c>
      <c r="AH433" s="7">
        <v>1</v>
      </c>
      <c r="AI433" s="4"/>
      <c r="AJ433" s="4">
        <f>=ROUNDDOWN({0},0)</f>
      </c>
      <c r="AK433" s="5"/>
      <c r="AL433" s="2" t="s">
        <v>98</v>
      </c>
      <c r="AM433" s="4"/>
      <c r="AN433" s="4"/>
      <c r="AO433" s="7">
        <v>0</v>
      </c>
      <c r="AP433" s="4"/>
      <c r="AQ433" s="8"/>
      <c r="AR433" s="4">
        <v>4</v>
      </c>
      <c r="AS433" s="8">
        <v>352.88</v>
      </c>
      <c r="AT433" s="7">
        <v>-1</v>
      </c>
      <c r="AU433" s="7">
        <v>-1</v>
      </c>
      <c r="AV433" s="4"/>
      <c r="AW433" s="8"/>
      <c r="AX433" s="4">
        <v>4</v>
      </c>
      <c r="AY433" s="8">
        <v>352.88</v>
      </c>
      <c r="AZ433" s="7">
        <v>-1</v>
      </c>
      <c r="BA433" s="7">
        <v>-1</v>
      </c>
      <c r="BB433" s="7"/>
      <c r="BC433" s="4"/>
      <c r="BD433" s="8"/>
      <c r="BE433" s="4">
        <v>4</v>
      </c>
      <c r="BF433" s="8">
        <v>352.88</v>
      </c>
      <c r="BG433" s="7">
        <v>-1</v>
      </c>
      <c r="BH433" s="7">
        <v>-1</v>
      </c>
      <c r="BI433" s="7"/>
      <c r="BJ433" s="4">
        <v>3</v>
      </c>
      <c r="BK433" s="8">
        <v>243.12</v>
      </c>
      <c r="BL433" s="2" t="s">
        <v>2464</v>
      </c>
      <c r="BM433" s="7"/>
      <c r="BN433" s="7"/>
      <c r="BO433" s="4"/>
      <c r="BP433" s="8"/>
      <c r="BQ433" s="4">
        <v>4</v>
      </c>
      <c r="BR433" s="8">
        <v>352.88</v>
      </c>
      <c r="BS433" s="7">
        <v>-1</v>
      </c>
      <c r="BT433" s="7">
        <v>-1</v>
      </c>
      <c r="BU433" s="2" t="s">
        <v>107</v>
      </c>
      <c r="BV433" s="2" t="s">
        <v>1355</v>
      </c>
      <c r="BW433" s="2" t="s">
        <v>1356</v>
      </c>
      <c r="BX433" s="2" t="s">
        <v>2465</v>
      </c>
      <c r="BY433" s="2" t="s">
        <v>110</v>
      </c>
      <c r="BZ433" s="2" t="s">
        <v>98</v>
      </c>
    </row>
    <row r="434">
      <c r="A434" s="2" t="s">
        <v>2466</v>
      </c>
      <c r="B434" s="2" t="s">
        <v>1345</v>
      </c>
      <c r="C434" s="2" t="s">
        <v>88</v>
      </c>
      <c r="D434" s="2" t="s">
        <v>2390</v>
      </c>
      <c r="E434" s="2" t="s">
        <v>2391</v>
      </c>
      <c r="F434" s="2" t="s">
        <v>2467</v>
      </c>
      <c r="G434" s="2" t="s">
        <v>2468</v>
      </c>
      <c r="H434" s="2" t="s">
        <v>2469</v>
      </c>
      <c r="I434" s="2" t="s">
        <v>2470</v>
      </c>
      <c r="J434" s="2" t="s">
        <v>93</v>
      </c>
      <c r="K434" s="2" t="s">
        <v>1915</v>
      </c>
      <c r="L434" s="3">
        <v>160</v>
      </c>
      <c r="M434" s="3">
        <v>168</v>
      </c>
      <c r="N434" s="3">
        <v>339</v>
      </c>
      <c r="O434" s="2" t="s">
        <v>95</v>
      </c>
      <c r="P434" s="2" t="s">
        <v>134</v>
      </c>
      <c r="Q434" s="2" t="s">
        <v>97</v>
      </c>
      <c r="R434" s="2" t="s">
        <v>98</v>
      </c>
      <c r="S434" s="2" t="s">
        <v>98</v>
      </c>
      <c r="T434" s="2" t="s">
        <v>98</v>
      </c>
      <c r="U434" s="2" t="s">
        <v>117</v>
      </c>
      <c r="V434" s="2" t="s">
        <v>296</v>
      </c>
      <c r="W434" s="2" t="s">
        <v>204</v>
      </c>
      <c r="X434" s="2" t="s">
        <v>103</v>
      </c>
      <c r="Y434" s="2" t="s">
        <v>2292</v>
      </c>
      <c r="Z434" s="4">
        <v>98</v>
      </c>
      <c r="AA434" s="4">
        <f>=ROUNDDOWN(10.8888888888889,0)</f>
      </c>
      <c r="AB434" s="5">
        <v>9</v>
      </c>
      <c r="AC434" s="2" t="s">
        <v>222</v>
      </c>
      <c r="AD434" s="4">
        <v>100</v>
      </c>
      <c r="AE434" s="4">
        <v>350</v>
      </c>
      <c r="AF434" s="6">
        <v>65</v>
      </c>
      <c r="AG434" s="6">
        <v>48</v>
      </c>
      <c r="AH434" s="7">
        <v>1</v>
      </c>
      <c r="AI434" s="4"/>
      <c r="AJ434" s="4">
        <f>=ROUNDDOWN({0},0)</f>
      </c>
      <c r="AK434" s="5"/>
      <c r="AL434" s="2" t="s">
        <v>98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/>
      <c r="BD434" s="8"/>
      <c r="BE434" s="4"/>
      <c r="BF434" s="8"/>
      <c r="BG434" s="7"/>
      <c r="BH434" s="7"/>
      <c r="BI434" s="7"/>
      <c r="BJ434" s="4">
        <v>9</v>
      </c>
      <c r="BK434" s="8">
        <v>1453.83</v>
      </c>
      <c r="BL434" s="2" t="s">
        <v>1379</v>
      </c>
      <c r="BM434" s="7"/>
      <c r="BN434" s="7"/>
      <c r="BO434" s="4"/>
      <c r="BP434" s="8"/>
      <c r="BQ434" s="4"/>
      <c r="BR434" s="8"/>
      <c r="BS434" s="7"/>
      <c r="BT434" s="7"/>
      <c r="BU434" s="2" t="s">
        <v>107</v>
      </c>
      <c r="BV434" s="2" t="s">
        <v>1355</v>
      </c>
      <c r="BW434" s="2" t="s">
        <v>1512</v>
      </c>
      <c r="BX434" s="2" t="s">
        <v>751</v>
      </c>
      <c r="BY434" s="2" t="s">
        <v>110</v>
      </c>
      <c r="BZ434" s="2" t="s">
        <v>98</v>
      </c>
    </row>
    <row r="435">
      <c r="A435" s="2" t="s">
        <v>2471</v>
      </c>
      <c r="B435" s="2" t="s">
        <v>1345</v>
      </c>
      <c r="C435" s="2" t="s">
        <v>88</v>
      </c>
      <c r="D435" s="2" t="s">
        <v>2390</v>
      </c>
      <c r="E435" s="2" t="s">
        <v>2391</v>
      </c>
      <c r="F435" s="2" t="s">
        <v>2310</v>
      </c>
      <c r="G435" s="2" t="s">
        <v>2311</v>
      </c>
      <c r="H435" s="2" t="s">
        <v>2312</v>
      </c>
      <c r="I435" s="2" t="s">
        <v>2472</v>
      </c>
      <c r="J435" s="2" t="s">
        <v>93</v>
      </c>
      <c r="K435" s="2" t="s">
        <v>133</v>
      </c>
      <c r="L435" s="3">
        <v>123.5</v>
      </c>
      <c r="M435" s="3">
        <v>129.68</v>
      </c>
      <c r="N435" s="3">
        <v>259</v>
      </c>
      <c r="O435" s="2" t="s">
        <v>95</v>
      </c>
      <c r="P435" s="2" t="s">
        <v>134</v>
      </c>
      <c r="Q435" s="2" t="s">
        <v>97</v>
      </c>
      <c r="R435" s="2" t="s">
        <v>98</v>
      </c>
      <c r="S435" s="2" t="s">
        <v>2473</v>
      </c>
      <c r="T435" s="2" t="s">
        <v>98</v>
      </c>
      <c r="U435" s="2" t="s">
        <v>98</v>
      </c>
      <c r="V435" s="2" t="s">
        <v>439</v>
      </c>
      <c r="W435" s="2" t="s">
        <v>968</v>
      </c>
      <c r="X435" s="2" t="s">
        <v>98</v>
      </c>
      <c r="Y435" s="2" t="s">
        <v>1366</v>
      </c>
      <c r="Z435" s="4">
        <v>143</v>
      </c>
      <c r="AA435" s="4">
        <f>=ROUNDDOWN(17.875,0)</f>
      </c>
      <c r="AB435" s="5">
        <v>8</v>
      </c>
      <c r="AC435" s="2" t="s">
        <v>1757</v>
      </c>
      <c r="AD435" s="4">
        <v>55</v>
      </c>
      <c r="AE435" s="4">
        <v>110</v>
      </c>
      <c r="AF435" s="6">
        <v>76</v>
      </c>
      <c r="AG435" s="6"/>
      <c r="AH435" s="7">
        <v>1</v>
      </c>
      <c r="AI435" s="4"/>
      <c r="AJ435" s="4">
        <f>=ROUNDDOWN({0},0)</f>
      </c>
      <c r="AK435" s="5"/>
      <c r="AL435" s="2" t="s">
        <v>98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98</v>
      </c>
      <c r="AW435" s="8" t="s">
        <v>98</v>
      </c>
      <c r="AX435" s="4" t="s">
        <v>98</v>
      </c>
      <c r="AY435" s="8" t="s">
        <v>98</v>
      </c>
      <c r="AZ435" s="7" t="s">
        <v>98</v>
      </c>
      <c r="BA435" s="7" t="s">
        <v>98</v>
      </c>
      <c r="BB435" s="7" t="s">
        <v>98</v>
      </c>
      <c r="BC435" s="4" t="s">
        <v>98</v>
      </c>
      <c r="BD435" s="8" t="s">
        <v>98</v>
      </c>
      <c r="BE435" s="4" t="s">
        <v>98</v>
      </c>
      <c r="BF435" s="8" t="s">
        <v>98</v>
      </c>
      <c r="BG435" s="7" t="s">
        <v>98</v>
      </c>
      <c r="BH435" s="7" t="s">
        <v>98</v>
      </c>
      <c r="BI435" s="7"/>
      <c r="BJ435" s="4">
        <v>4</v>
      </c>
      <c r="BK435" s="8">
        <v>450</v>
      </c>
      <c r="BL435" s="2" t="s">
        <v>1500</v>
      </c>
      <c r="BM435" s="7"/>
      <c r="BN435" s="7"/>
      <c r="BO435" s="4"/>
      <c r="BP435" s="8"/>
      <c r="BQ435" s="4"/>
      <c r="BR435" s="8"/>
      <c r="BS435" s="7"/>
      <c r="BT435" s="7"/>
      <c r="BU435" s="2" t="s">
        <v>107</v>
      </c>
      <c r="BV435" s="2" t="s">
        <v>1355</v>
      </c>
      <c r="BW435" s="2" t="s">
        <v>1356</v>
      </c>
      <c r="BX435" s="2" t="s">
        <v>1702</v>
      </c>
      <c r="BY435" s="2" t="s">
        <v>110</v>
      </c>
      <c r="BZ435" s="2" t="s">
        <v>98</v>
      </c>
    </row>
    <row r="436">
      <c r="A436" s="2" t="s">
        <v>2474</v>
      </c>
      <c r="B436" s="2" t="s">
        <v>1345</v>
      </c>
      <c r="C436" s="2" t="s">
        <v>88</v>
      </c>
      <c r="D436" s="2" t="s">
        <v>2390</v>
      </c>
      <c r="E436" s="2" t="s">
        <v>2391</v>
      </c>
      <c r="F436" s="2" t="s">
        <v>2310</v>
      </c>
      <c r="G436" s="2" t="s">
        <v>2311</v>
      </c>
      <c r="H436" s="2" t="s">
        <v>2312</v>
      </c>
      <c r="I436" s="2" t="s">
        <v>2433</v>
      </c>
      <c r="J436" s="2" t="s">
        <v>93</v>
      </c>
      <c r="K436" s="2" t="s">
        <v>133</v>
      </c>
      <c r="L436" s="3">
        <v>128.85</v>
      </c>
      <c r="M436" s="3">
        <v>135.29</v>
      </c>
      <c r="N436" s="3">
        <v>269</v>
      </c>
      <c r="O436" s="2" t="s">
        <v>95</v>
      </c>
      <c r="P436" s="2" t="s">
        <v>134</v>
      </c>
      <c r="Q436" s="2" t="s">
        <v>97</v>
      </c>
      <c r="R436" s="2" t="s">
        <v>98</v>
      </c>
      <c r="S436" s="2" t="s">
        <v>2475</v>
      </c>
      <c r="T436" s="2" t="s">
        <v>98</v>
      </c>
      <c r="U436" s="2" t="s">
        <v>98</v>
      </c>
      <c r="V436" s="2" t="s">
        <v>439</v>
      </c>
      <c r="W436" s="2" t="s">
        <v>968</v>
      </c>
      <c r="X436" s="2" t="s">
        <v>98</v>
      </c>
      <c r="Y436" s="2" t="s">
        <v>2476</v>
      </c>
      <c r="Z436" s="4">
        <v>140</v>
      </c>
      <c r="AA436" s="4">
        <f>=ROUNDDOWN(70,0)</f>
      </c>
      <c r="AB436" s="5">
        <v>2</v>
      </c>
      <c r="AC436" s="2" t="s">
        <v>98</v>
      </c>
      <c r="AD436" s="4"/>
      <c r="AE436" s="4"/>
      <c r="AF436" s="6">
        <v>76</v>
      </c>
      <c r="AG436" s="6">
        <v>67</v>
      </c>
      <c r="AH436" s="7">
        <v>1</v>
      </c>
      <c r="AI436" s="4"/>
      <c r="AJ436" s="4">
        <f>=ROUNDDOWN({0},0)</f>
      </c>
      <c r="AK436" s="5"/>
      <c r="AL436" s="2" t="s">
        <v>98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98</v>
      </c>
      <c r="AW436" s="8" t="s">
        <v>98</v>
      </c>
      <c r="AX436" s="4" t="s">
        <v>98</v>
      </c>
      <c r="AY436" s="8" t="s">
        <v>98</v>
      </c>
      <c r="AZ436" s="7" t="s">
        <v>98</v>
      </c>
      <c r="BA436" s="7" t="s">
        <v>98</v>
      </c>
      <c r="BB436" s="7" t="s">
        <v>98</v>
      </c>
      <c r="BC436" s="4" t="s">
        <v>98</v>
      </c>
      <c r="BD436" s="8" t="s">
        <v>98</v>
      </c>
      <c r="BE436" s="4" t="s">
        <v>98</v>
      </c>
      <c r="BF436" s="8" t="s">
        <v>98</v>
      </c>
      <c r="BG436" s="7" t="s">
        <v>98</v>
      </c>
      <c r="BH436" s="7" t="s">
        <v>98</v>
      </c>
      <c r="BI436" s="7"/>
      <c r="BJ436" s="4"/>
      <c r="BK436" s="8"/>
      <c r="BL436" s="2" t="s">
        <v>269</v>
      </c>
      <c r="BM436" s="7"/>
      <c r="BN436" s="7"/>
      <c r="BO436" s="4"/>
      <c r="BP436" s="8"/>
      <c r="BQ436" s="4"/>
      <c r="BR436" s="8"/>
      <c r="BS436" s="7"/>
      <c r="BT436" s="7"/>
      <c r="BU436" s="2" t="s">
        <v>107</v>
      </c>
      <c r="BV436" s="2" t="s">
        <v>1355</v>
      </c>
      <c r="BW436" s="2" t="s">
        <v>1356</v>
      </c>
      <c r="BX436" s="2" t="s">
        <v>2477</v>
      </c>
      <c r="BY436" s="2" t="s">
        <v>110</v>
      </c>
      <c r="BZ436" s="2" t="s">
        <v>98</v>
      </c>
    </row>
    <row r="437">
      <c r="A437" s="2" t="s">
        <v>2478</v>
      </c>
      <c r="B437" s="2" t="s">
        <v>1345</v>
      </c>
      <c r="C437" s="2" t="s">
        <v>88</v>
      </c>
      <c r="D437" s="2" t="s">
        <v>2390</v>
      </c>
      <c r="E437" s="2" t="s">
        <v>2391</v>
      </c>
      <c r="F437" s="2" t="s">
        <v>2310</v>
      </c>
      <c r="G437" s="2" t="s">
        <v>2311</v>
      </c>
      <c r="H437" s="2" t="s">
        <v>2312</v>
      </c>
      <c r="I437" s="2" t="s">
        <v>2472</v>
      </c>
      <c r="J437" s="2" t="s">
        <v>93</v>
      </c>
      <c r="K437" s="2" t="s">
        <v>357</v>
      </c>
      <c r="L437" s="3">
        <v>123.5</v>
      </c>
      <c r="M437" s="3">
        <v>129.68</v>
      </c>
      <c r="N437" s="3">
        <v>259</v>
      </c>
      <c r="O437" s="2" t="s">
        <v>95</v>
      </c>
      <c r="P437" s="2" t="s">
        <v>134</v>
      </c>
      <c r="Q437" s="2" t="s">
        <v>97</v>
      </c>
      <c r="R437" s="2" t="s">
        <v>98</v>
      </c>
      <c r="S437" s="2" t="s">
        <v>2479</v>
      </c>
      <c r="T437" s="2" t="s">
        <v>98</v>
      </c>
      <c r="U437" s="2" t="s">
        <v>100</v>
      </c>
      <c r="V437" s="2" t="s">
        <v>439</v>
      </c>
      <c r="W437" s="2" t="s">
        <v>968</v>
      </c>
      <c r="X437" s="2" t="s">
        <v>98</v>
      </c>
      <c r="Y437" s="2" t="s">
        <v>366</v>
      </c>
      <c r="Z437" s="4">
        <v>69</v>
      </c>
      <c r="AA437" s="4">
        <f>=ROUNDDOWN(9.85714285714286,0)</f>
      </c>
      <c r="AB437" s="5">
        <v>7</v>
      </c>
      <c r="AC437" s="2" t="s">
        <v>1757</v>
      </c>
      <c r="AD437" s="4">
        <v>150</v>
      </c>
      <c r="AE437" s="4">
        <v>280</v>
      </c>
      <c r="AF437" s="6">
        <v>76</v>
      </c>
      <c r="AG437" s="6"/>
      <c r="AH437" s="7">
        <v>1</v>
      </c>
      <c r="AI437" s="4"/>
      <c r="AJ437" s="4">
        <f>=ROUNDDOWN({0},0)</f>
      </c>
      <c r="AK437" s="5"/>
      <c r="AL437" s="2" t="s">
        <v>98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 t="s">
        <v>98</v>
      </c>
      <c r="BD437" s="8" t="s">
        <v>98</v>
      </c>
      <c r="BE437" s="4" t="s">
        <v>98</v>
      </c>
      <c r="BF437" s="8" t="s">
        <v>98</v>
      </c>
      <c r="BG437" s="7" t="s">
        <v>98</v>
      </c>
      <c r="BH437" s="7" t="s">
        <v>98</v>
      </c>
      <c r="BI437" s="7"/>
      <c r="BJ437" s="4">
        <v>5</v>
      </c>
      <c r="BK437" s="8">
        <v>651.96</v>
      </c>
      <c r="BL437" s="2" t="s">
        <v>2480</v>
      </c>
      <c r="BM437" s="7"/>
      <c r="BN437" s="7"/>
      <c r="BO437" s="4"/>
      <c r="BP437" s="8"/>
      <c r="BQ437" s="4"/>
      <c r="BR437" s="8"/>
      <c r="BS437" s="7"/>
      <c r="BT437" s="7"/>
      <c r="BU437" s="2" t="s">
        <v>107</v>
      </c>
      <c r="BV437" s="2" t="s">
        <v>1355</v>
      </c>
      <c r="BW437" s="2" t="s">
        <v>497</v>
      </c>
      <c r="BX437" s="2" t="s">
        <v>2481</v>
      </c>
      <c r="BY437" s="2" t="s">
        <v>110</v>
      </c>
      <c r="BZ437" s="2" t="s">
        <v>98</v>
      </c>
    </row>
    <row r="438">
      <c r="A438" s="2" t="s">
        <v>2482</v>
      </c>
      <c r="B438" s="2" t="s">
        <v>1345</v>
      </c>
      <c r="C438" s="2" t="s">
        <v>88</v>
      </c>
      <c r="D438" s="2" t="s">
        <v>2390</v>
      </c>
      <c r="E438" s="2" t="s">
        <v>2391</v>
      </c>
      <c r="F438" s="2" t="s">
        <v>2310</v>
      </c>
      <c r="G438" s="2" t="s">
        <v>2311</v>
      </c>
      <c r="H438" s="2" t="s">
        <v>2312</v>
      </c>
      <c r="I438" s="2" t="s">
        <v>2472</v>
      </c>
      <c r="J438" s="2" t="s">
        <v>93</v>
      </c>
      <c r="K438" s="2" t="s">
        <v>1423</v>
      </c>
      <c r="L438" s="3">
        <v>123.5</v>
      </c>
      <c r="M438" s="3">
        <v>129.68</v>
      </c>
      <c r="N438" s="3">
        <v>259</v>
      </c>
      <c r="O438" s="2" t="s">
        <v>95</v>
      </c>
      <c r="P438" s="2" t="s">
        <v>134</v>
      </c>
      <c r="Q438" s="2" t="s">
        <v>97</v>
      </c>
      <c r="R438" s="2" t="s">
        <v>98</v>
      </c>
      <c r="S438" s="2" t="s">
        <v>2483</v>
      </c>
      <c r="T438" s="2" t="s">
        <v>98</v>
      </c>
      <c r="U438" s="2" t="s">
        <v>100</v>
      </c>
      <c r="V438" s="2" t="s">
        <v>439</v>
      </c>
      <c r="W438" s="2" t="s">
        <v>968</v>
      </c>
      <c r="X438" s="2" t="s">
        <v>98</v>
      </c>
      <c r="Y438" s="2" t="s">
        <v>366</v>
      </c>
      <c r="Z438" s="4">
        <v>44</v>
      </c>
      <c r="AA438" s="4">
        <f>=ROUNDDOWN(7.33333333333333,0)</f>
      </c>
      <c r="AB438" s="5">
        <v>6</v>
      </c>
      <c r="AC438" s="2" t="s">
        <v>1757</v>
      </c>
      <c r="AD438" s="4">
        <v>90</v>
      </c>
      <c r="AE438" s="4">
        <v>90</v>
      </c>
      <c r="AF438" s="6">
        <v>76</v>
      </c>
      <c r="AG438" s="6"/>
      <c r="AH438" s="7">
        <v>1</v>
      </c>
      <c r="AI438" s="4"/>
      <c r="AJ438" s="4">
        <f>=ROUNDDOWN({0},0)</f>
      </c>
      <c r="AK438" s="5"/>
      <c r="AL438" s="2" t="s">
        <v>98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 t="s">
        <v>98</v>
      </c>
      <c r="BD438" s="8" t="s">
        <v>98</v>
      </c>
      <c r="BE438" s="4" t="s">
        <v>98</v>
      </c>
      <c r="BF438" s="8" t="s">
        <v>98</v>
      </c>
      <c r="BG438" s="7" t="s">
        <v>98</v>
      </c>
      <c r="BH438" s="7" t="s">
        <v>98</v>
      </c>
      <c r="BI438" s="7"/>
      <c r="BJ438" s="4">
        <v>2</v>
      </c>
      <c r="BK438" s="8">
        <v>225</v>
      </c>
      <c r="BL438" s="2" t="s">
        <v>2484</v>
      </c>
      <c r="BM438" s="7"/>
      <c r="BN438" s="7"/>
      <c r="BO438" s="4"/>
      <c r="BP438" s="8"/>
      <c r="BQ438" s="4"/>
      <c r="BR438" s="8"/>
      <c r="BS438" s="7"/>
      <c r="BT438" s="7"/>
      <c r="BU438" s="2" t="s">
        <v>107</v>
      </c>
      <c r="BV438" s="2" t="s">
        <v>1355</v>
      </c>
      <c r="BW438" s="2" t="s">
        <v>1356</v>
      </c>
      <c r="BX438" s="2" t="s">
        <v>1362</v>
      </c>
      <c r="BY438" s="2" t="s">
        <v>110</v>
      </c>
      <c r="BZ438" s="2" t="s">
        <v>98</v>
      </c>
    </row>
    <row r="439">
      <c r="A439" s="2" t="s">
        <v>2485</v>
      </c>
      <c r="B439" s="2" t="s">
        <v>1345</v>
      </c>
      <c r="C439" s="2" t="s">
        <v>88</v>
      </c>
      <c r="D439" s="2" t="s">
        <v>2390</v>
      </c>
      <c r="E439" s="2" t="s">
        <v>2391</v>
      </c>
      <c r="F439" s="2" t="s">
        <v>2322</v>
      </c>
      <c r="G439" s="2" t="s">
        <v>2323</v>
      </c>
      <c r="H439" s="2" t="s">
        <v>2324</v>
      </c>
      <c r="I439" s="2" t="s">
        <v>2433</v>
      </c>
      <c r="J439" s="2" t="s">
        <v>93</v>
      </c>
      <c r="K439" s="2" t="s">
        <v>133</v>
      </c>
      <c r="L439" s="3">
        <v>95</v>
      </c>
      <c r="M439" s="3">
        <v>99.75</v>
      </c>
      <c r="N439" s="3">
        <v>199</v>
      </c>
      <c r="O439" s="2" t="s">
        <v>95</v>
      </c>
      <c r="P439" s="2" t="s">
        <v>142</v>
      </c>
      <c r="Q439" s="2" t="s">
        <v>97</v>
      </c>
      <c r="R439" s="2" t="s">
        <v>98</v>
      </c>
      <c r="S439" s="2" t="s">
        <v>2486</v>
      </c>
      <c r="T439" s="2" t="s">
        <v>98</v>
      </c>
      <c r="U439" s="2" t="s">
        <v>98</v>
      </c>
      <c r="V439" s="2" t="s">
        <v>439</v>
      </c>
      <c r="W439" s="2" t="s">
        <v>103</v>
      </c>
      <c r="X439" s="2" t="s">
        <v>98</v>
      </c>
      <c r="Y439" s="2" t="s">
        <v>366</v>
      </c>
      <c r="Z439" s="4">
        <v>133</v>
      </c>
      <c r="AA439" s="4">
        <f>=ROUNDDOWN(332.5,0)</f>
      </c>
      <c r="AB439" s="5">
        <v>0.4</v>
      </c>
      <c r="AC439" s="2" t="s">
        <v>98</v>
      </c>
      <c r="AD439" s="4"/>
      <c r="AE439" s="4"/>
      <c r="AF439" s="6">
        <v>76</v>
      </c>
      <c r="AG439" s="6"/>
      <c r="AH439" s="7">
        <v>1</v>
      </c>
      <c r="AI439" s="4"/>
      <c r="AJ439" s="4">
        <f>=ROUNDDOWN({0},0)</f>
      </c>
      <c r="AK439" s="5"/>
      <c r="AL439" s="2" t="s">
        <v>98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/>
      <c r="AW439" s="8"/>
      <c r="AX439" s="4"/>
      <c r="AY439" s="8"/>
      <c r="AZ439" s="7"/>
      <c r="BA439" s="7"/>
      <c r="BB439" s="7"/>
      <c r="BC439" s="4"/>
      <c r="BD439" s="8"/>
      <c r="BE439" s="4"/>
      <c r="BF439" s="8"/>
      <c r="BG439" s="7"/>
      <c r="BH439" s="7"/>
      <c r="BI439" s="7"/>
      <c r="BJ439" s="4"/>
      <c r="BK439" s="8"/>
      <c r="BL439" s="2" t="s">
        <v>2487</v>
      </c>
      <c r="BM439" s="7"/>
      <c r="BN439" s="7"/>
      <c r="BO439" s="4"/>
      <c r="BP439" s="8"/>
      <c r="BQ439" s="4"/>
      <c r="BR439" s="8"/>
      <c r="BS439" s="7"/>
      <c r="BT439" s="7"/>
      <c r="BU439" s="2" t="s">
        <v>107</v>
      </c>
      <c r="BV439" s="2" t="s">
        <v>1355</v>
      </c>
      <c r="BW439" s="2" t="s">
        <v>1356</v>
      </c>
      <c r="BX439" s="2" t="s">
        <v>2488</v>
      </c>
      <c r="BY439" s="2" t="s">
        <v>110</v>
      </c>
      <c r="BZ439" s="2" t="s">
        <v>98</v>
      </c>
    </row>
    <row r="440">
      <c r="A440" s="2" t="s">
        <v>2489</v>
      </c>
      <c r="B440" s="2" t="s">
        <v>1345</v>
      </c>
      <c r="C440" s="2" t="s">
        <v>88</v>
      </c>
      <c r="D440" s="2" t="s">
        <v>2390</v>
      </c>
      <c r="E440" s="2" t="s">
        <v>2391</v>
      </c>
      <c r="F440" s="2" t="s">
        <v>2490</v>
      </c>
      <c r="G440" s="2" t="s">
        <v>2491</v>
      </c>
      <c r="H440" s="2" t="s">
        <v>2492</v>
      </c>
      <c r="I440" s="2" t="s">
        <v>2470</v>
      </c>
      <c r="J440" s="2" t="s">
        <v>93</v>
      </c>
      <c r="K440" s="2" t="s">
        <v>595</v>
      </c>
      <c r="L440" s="3">
        <v>99</v>
      </c>
      <c r="M440" s="3">
        <v>103.95</v>
      </c>
      <c r="N440" s="3">
        <v>209</v>
      </c>
      <c r="O440" s="2" t="s">
        <v>95</v>
      </c>
      <c r="P440" s="2" t="s">
        <v>134</v>
      </c>
      <c r="Q440" s="2" t="s">
        <v>97</v>
      </c>
      <c r="R440" s="2" t="s">
        <v>98</v>
      </c>
      <c r="S440" s="2" t="s">
        <v>98</v>
      </c>
      <c r="T440" s="2" t="s">
        <v>98</v>
      </c>
      <c r="U440" s="2" t="s">
        <v>117</v>
      </c>
      <c r="V440" s="2" t="s">
        <v>296</v>
      </c>
      <c r="W440" s="2" t="s">
        <v>103</v>
      </c>
      <c r="X440" s="2" t="s">
        <v>98</v>
      </c>
      <c r="Y440" s="2" t="s">
        <v>1862</v>
      </c>
      <c r="Z440" s="4">
        <v>72</v>
      </c>
      <c r="AA440" s="4">
        <f>=ROUNDDOWN(10.2857142857143,0)</f>
      </c>
      <c r="AB440" s="5">
        <v>7</v>
      </c>
      <c r="AC440" s="2" t="s">
        <v>222</v>
      </c>
      <c r="AD440" s="4">
        <v>100</v>
      </c>
      <c r="AE440" s="4">
        <v>100</v>
      </c>
      <c r="AF440" s="6">
        <v>65</v>
      </c>
      <c r="AG440" s="6">
        <v>48</v>
      </c>
      <c r="AH440" s="7">
        <v>1</v>
      </c>
      <c r="AI440" s="4"/>
      <c r="AJ440" s="4">
        <f>=ROUNDDOWN({0},0)</f>
      </c>
      <c r="AK440" s="5"/>
      <c r="AL440" s="2" t="s">
        <v>98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/>
      <c r="AW440" s="8"/>
      <c r="AX440" s="4"/>
      <c r="AY440" s="8"/>
      <c r="AZ440" s="7"/>
      <c r="BA440" s="7"/>
      <c r="BB440" s="7"/>
      <c r="BC440" s="4"/>
      <c r="BD440" s="8"/>
      <c r="BE440" s="4"/>
      <c r="BF440" s="8"/>
      <c r="BG440" s="7"/>
      <c r="BH440" s="7"/>
      <c r="BI440" s="7"/>
      <c r="BJ440" s="4">
        <v>1</v>
      </c>
      <c r="BK440" s="8">
        <v>102.1</v>
      </c>
      <c r="BL440" s="2" t="s">
        <v>895</v>
      </c>
      <c r="BM440" s="7"/>
      <c r="BN440" s="7"/>
      <c r="BO440" s="4"/>
      <c r="BP440" s="8"/>
      <c r="BQ440" s="4"/>
      <c r="BR440" s="8"/>
      <c r="BS440" s="7"/>
      <c r="BT440" s="7"/>
      <c r="BU440" s="2" t="s">
        <v>107</v>
      </c>
      <c r="BV440" s="2" t="s">
        <v>1355</v>
      </c>
      <c r="BW440" s="2" t="s">
        <v>1512</v>
      </c>
      <c r="BX440" s="2" t="s">
        <v>2087</v>
      </c>
      <c r="BY440" s="2" t="s">
        <v>110</v>
      </c>
      <c r="BZ440" s="2" t="s">
        <v>98</v>
      </c>
    </row>
    <row r="441">
      <c r="A441" s="2" t="s">
        <v>2493</v>
      </c>
      <c r="B441" s="2" t="s">
        <v>1345</v>
      </c>
      <c r="C441" s="2" t="s">
        <v>88</v>
      </c>
      <c r="D441" s="2" t="s">
        <v>2390</v>
      </c>
      <c r="E441" s="2" t="s">
        <v>2391</v>
      </c>
      <c r="F441" s="2" t="s">
        <v>1611</v>
      </c>
      <c r="G441" s="2" t="s">
        <v>1612</v>
      </c>
      <c r="H441" s="2" t="s">
        <v>1613</v>
      </c>
      <c r="I441" s="2" t="s">
        <v>2494</v>
      </c>
      <c r="J441" s="2" t="s">
        <v>93</v>
      </c>
      <c r="K441" s="2" t="s">
        <v>1617</v>
      </c>
      <c r="L441" s="3">
        <v>144</v>
      </c>
      <c r="M441" s="3">
        <v>151.2</v>
      </c>
      <c r="N441" s="3">
        <v>299</v>
      </c>
      <c r="O441" s="2" t="s">
        <v>95</v>
      </c>
      <c r="P441" s="2" t="s">
        <v>134</v>
      </c>
      <c r="Q441" s="2" t="s">
        <v>97</v>
      </c>
      <c r="R441" s="2" t="s">
        <v>98</v>
      </c>
      <c r="S441" s="2" t="s">
        <v>98</v>
      </c>
      <c r="T441" s="2" t="s">
        <v>98</v>
      </c>
      <c r="U441" s="2" t="s">
        <v>117</v>
      </c>
      <c r="V441" s="2" t="s">
        <v>296</v>
      </c>
      <c r="W441" s="2" t="s">
        <v>103</v>
      </c>
      <c r="X441" s="2" t="s">
        <v>102</v>
      </c>
      <c r="Y441" s="2" t="s">
        <v>2495</v>
      </c>
      <c r="Z441" s="4"/>
      <c r="AA441" s="4">
        <f>=ROUNDDOWN({0},0)</f>
      </c>
      <c r="AB441" s="5">
        <v>25</v>
      </c>
      <c r="AC441" s="2" t="s">
        <v>1525</v>
      </c>
      <c r="AD441" s="4">
        <v>480</v>
      </c>
      <c r="AE441" s="4">
        <v>480</v>
      </c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98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/>
      <c r="BD441" s="8"/>
      <c r="BE441" s="4"/>
      <c r="BF441" s="8"/>
      <c r="BG441" s="7"/>
      <c r="BH441" s="7"/>
      <c r="BI441" s="7"/>
      <c r="BJ441" s="4"/>
      <c r="BK441" s="8"/>
      <c r="BL441" s="2" t="s">
        <v>98</v>
      </c>
      <c r="BM441" s="7"/>
      <c r="BN441" s="7"/>
      <c r="BO441" s="4"/>
      <c r="BP441" s="8"/>
      <c r="BQ441" s="4"/>
      <c r="BR441" s="8"/>
      <c r="BS441" s="7"/>
      <c r="BT441" s="7"/>
      <c r="BU441" s="2" t="s">
        <v>1376</v>
      </c>
      <c r="BV441" s="2" t="s">
        <v>95</v>
      </c>
      <c r="BW441" s="2" t="s">
        <v>98</v>
      </c>
      <c r="BX441" s="2" t="s">
        <v>98</v>
      </c>
      <c r="BY441" s="2" t="s">
        <v>110</v>
      </c>
      <c r="BZ441" s="2" t="s">
        <v>98</v>
      </c>
    </row>
    <row r="442">
      <c r="A442" s="2" t="s">
        <v>2496</v>
      </c>
      <c r="B442" s="2" t="s">
        <v>1345</v>
      </c>
      <c r="C442" s="2" t="s">
        <v>88</v>
      </c>
      <c r="D442" s="2" t="s">
        <v>2390</v>
      </c>
      <c r="E442" s="2" t="s">
        <v>2391</v>
      </c>
      <c r="F442" s="2" t="s">
        <v>2497</v>
      </c>
      <c r="G442" s="2" t="s">
        <v>2498</v>
      </c>
      <c r="H442" s="2" t="s">
        <v>2499</v>
      </c>
      <c r="I442" s="2" t="s">
        <v>2500</v>
      </c>
      <c r="J442" s="2" t="s">
        <v>93</v>
      </c>
      <c r="K442" s="2" t="s">
        <v>1439</v>
      </c>
      <c r="L442" s="3">
        <v>190</v>
      </c>
      <c r="M442" s="3">
        <v>199.5</v>
      </c>
      <c r="N442" s="3">
        <v>399</v>
      </c>
      <c r="O442" s="2" t="s">
        <v>95</v>
      </c>
      <c r="P442" s="2" t="s">
        <v>96</v>
      </c>
      <c r="Q442" s="2" t="s">
        <v>97</v>
      </c>
      <c r="R442" s="2" t="s">
        <v>98</v>
      </c>
      <c r="S442" s="2" t="s">
        <v>98</v>
      </c>
      <c r="T442" s="2" t="s">
        <v>98</v>
      </c>
      <c r="U442" s="2" t="s">
        <v>117</v>
      </c>
      <c r="V442" s="2" t="s">
        <v>439</v>
      </c>
      <c r="W442" s="2" t="s">
        <v>102</v>
      </c>
      <c r="X442" s="2" t="s">
        <v>103</v>
      </c>
      <c r="Y442" s="2" t="s">
        <v>1510</v>
      </c>
      <c r="Z442" s="4">
        <v>71</v>
      </c>
      <c r="AA442" s="4">
        <f>=ROUNDDOWN(4.73333333333333,0)</f>
      </c>
      <c r="AB442" s="5">
        <v>15</v>
      </c>
      <c r="AC442" s="2" t="s">
        <v>323</v>
      </c>
      <c r="AD442" s="4">
        <v>138</v>
      </c>
      <c r="AE442" s="4">
        <v>400</v>
      </c>
      <c r="AF442" s="6">
        <v>65</v>
      </c>
      <c r="AG442" s="6">
        <v>48</v>
      </c>
      <c r="AH442" s="7">
        <v>1</v>
      </c>
      <c r="AI442" s="4"/>
      <c r="AJ442" s="4">
        <f>=ROUNDDOWN({0},0)</f>
      </c>
      <c r="AK442" s="5"/>
      <c r="AL442" s="2" t="s">
        <v>98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 t="s">
        <v>98</v>
      </c>
      <c r="BD442" s="8" t="s">
        <v>98</v>
      </c>
      <c r="BE442" s="4" t="s">
        <v>98</v>
      </c>
      <c r="BF442" s="8" t="s">
        <v>98</v>
      </c>
      <c r="BG442" s="7" t="s">
        <v>98</v>
      </c>
      <c r="BH442" s="7" t="s">
        <v>98</v>
      </c>
      <c r="BI442" s="7"/>
      <c r="BJ442" s="4">
        <v>9</v>
      </c>
      <c r="BK442" s="8">
        <v>1704.51</v>
      </c>
      <c r="BL442" s="2" t="s">
        <v>2501</v>
      </c>
      <c r="BM442" s="7"/>
      <c r="BN442" s="7"/>
      <c r="BO442" s="4"/>
      <c r="BP442" s="8"/>
      <c r="BQ442" s="4"/>
      <c r="BR442" s="8"/>
      <c r="BS442" s="7"/>
      <c r="BT442" s="7"/>
      <c r="BU442" s="2" t="s">
        <v>107</v>
      </c>
      <c r="BV442" s="2" t="s">
        <v>1355</v>
      </c>
      <c r="BW442" s="2" t="s">
        <v>1512</v>
      </c>
      <c r="BX442" s="2" t="s">
        <v>750</v>
      </c>
      <c r="BY442" s="2" t="s">
        <v>110</v>
      </c>
      <c r="BZ442" s="2" t="s">
        <v>98</v>
      </c>
    </row>
    <row r="443">
      <c r="A443" s="2" t="s">
        <v>2502</v>
      </c>
      <c r="B443" s="2" t="s">
        <v>1345</v>
      </c>
      <c r="C443" s="2" t="s">
        <v>88</v>
      </c>
      <c r="D443" s="2" t="s">
        <v>2390</v>
      </c>
      <c r="E443" s="2" t="s">
        <v>2391</v>
      </c>
      <c r="F443" s="2" t="s">
        <v>2497</v>
      </c>
      <c r="G443" s="2" t="s">
        <v>2498</v>
      </c>
      <c r="H443" s="2" t="s">
        <v>2499</v>
      </c>
      <c r="I443" s="2" t="s">
        <v>2500</v>
      </c>
      <c r="J443" s="2" t="s">
        <v>93</v>
      </c>
      <c r="K443" s="2" t="s">
        <v>133</v>
      </c>
      <c r="L443" s="3">
        <v>190</v>
      </c>
      <c r="M443" s="3">
        <v>199.5</v>
      </c>
      <c r="N443" s="3">
        <v>399</v>
      </c>
      <c r="O443" s="2" t="s">
        <v>95</v>
      </c>
      <c r="P443" s="2" t="s">
        <v>142</v>
      </c>
      <c r="Q443" s="2" t="s">
        <v>97</v>
      </c>
      <c r="R443" s="2" t="s">
        <v>98</v>
      </c>
      <c r="S443" s="2" t="s">
        <v>98</v>
      </c>
      <c r="T443" s="2" t="s">
        <v>98</v>
      </c>
      <c r="U443" s="2" t="s">
        <v>117</v>
      </c>
      <c r="V443" s="2" t="s">
        <v>439</v>
      </c>
      <c r="W443" s="2" t="s">
        <v>102</v>
      </c>
      <c r="X443" s="2" t="s">
        <v>103</v>
      </c>
      <c r="Y443" s="2" t="s">
        <v>2503</v>
      </c>
      <c r="Z443" s="4">
        <v>46</v>
      </c>
      <c r="AA443" s="4">
        <f>=ROUNDDOWN(11.5,0)</f>
      </c>
      <c r="AB443" s="5">
        <v>4</v>
      </c>
      <c r="AC443" s="2" t="s">
        <v>2222</v>
      </c>
      <c r="AD443" s="4">
        <v>100</v>
      </c>
      <c r="AE443" s="4">
        <v>100</v>
      </c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98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 t="s">
        <v>98</v>
      </c>
      <c r="BD443" s="8" t="s">
        <v>98</v>
      </c>
      <c r="BE443" s="4" t="s">
        <v>98</v>
      </c>
      <c r="BF443" s="8" t="s">
        <v>98</v>
      </c>
      <c r="BG443" s="7" t="s">
        <v>98</v>
      </c>
      <c r="BH443" s="7" t="s">
        <v>98</v>
      </c>
      <c r="BI443" s="7"/>
      <c r="BJ443" s="4">
        <v>3</v>
      </c>
      <c r="BK443" s="8">
        <v>616.89</v>
      </c>
      <c r="BL443" s="2" t="s">
        <v>269</v>
      </c>
      <c r="BM443" s="7"/>
      <c r="BN443" s="7"/>
      <c r="BO443" s="4"/>
      <c r="BP443" s="8"/>
      <c r="BQ443" s="4"/>
      <c r="BR443" s="8"/>
      <c r="BS443" s="7"/>
      <c r="BT443" s="7"/>
      <c r="BU443" s="2" t="s">
        <v>1376</v>
      </c>
      <c r="BV443" s="2" t="s">
        <v>95</v>
      </c>
      <c r="BW443" s="2" t="s">
        <v>98</v>
      </c>
      <c r="BX443" s="2" t="s">
        <v>98</v>
      </c>
      <c r="BY443" s="2" t="s">
        <v>110</v>
      </c>
      <c r="BZ443" s="2" t="s">
        <v>98</v>
      </c>
    </row>
    <row r="444">
      <c r="A444" s="2" t="s">
        <v>2504</v>
      </c>
      <c r="B444" s="2" t="s">
        <v>1345</v>
      </c>
      <c r="C444" s="2" t="s">
        <v>88</v>
      </c>
      <c r="D444" s="2" t="s">
        <v>2390</v>
      </c>
      <c r="E444" s="2" t="s">
        <v>2391</v>
      </c>
      <c r="F444" s="2" t="s">
        <v>1391</v>
      </c>
      <c r="G444" s="2" t="s">
        <v>1392</v>
      </c>
      <c r="H444" s="2" t="s">
        <v>1393</v>
      </c>
      <c r="I444" s="2" t="s">
        <v>2505</v>
      </c>
      <c r="J444" s="2" t="s">
        <v>93</v>
      </c>
      <c r="K444" s="2" t="s">
        <v>2506</v>
      </c>
      <c r="L444" s="3">
        <v>153</v>
      </c>
      <c r="M444" s="3">
        <v>160.65</v>
      </c>
      <c r="N444" s="3">
        <v>319</v>
      </c>
      <c r="O444" s="2" t="s">
        <v>155</v>
      </c>
      <c r="P444" s="2" t="s">
        <v>115</v>
      </c>
      <c r="Q444" s="2" t="s">
        <v>97</v>
      </c>
      <c r="R444" s="2" t="s">
        <v>98</v>
      </c>
      <c r="S444" s="2" t="s">
        <v>2507</v>
      </c>
      <c r="T444" s="2" t="s">
        <v>98</v>
      </c>
      <c r="U444" s="2" t="s">
        <v>98</v>
      </c>
      <c r="V444" s="2" t="s">
        <v>439</v>
      </c>
      <c r="W444" s="2" t="s">
        <v>103</v>
      </c>
      <c r="X444" s="2" t="s">
        <v>98</v>
      </c>
      <c r="Y444" s="2" t="s">
        <v>427</v>
      </c>
      <c r="Z444" s="4">
        <v>240</v>
      </c>
      <c r="AA444" s="4">
        <f>=ROUNDDOWN(42.1052631578947,0)</f>
      </c>
      <c r="AB444" s="5">
        <v>5.7</v>
      </c>
      <c r="AC444" s="2" t="s">
        <v>98</v>
      </c>
      <c r="AD444" s="4"/>
      <c r="AE444" s="4"/>
      <c r="AF444" s="6">
        <v>65</v>
      </c>
      <c r="AG444" s="6">
        <v>48</v>
      </c>
      <c r="AH444" s="7">
        <v>1</v>
      </c>
      <c r="AI444" s="4"/>
      <c r="AJ444" s="4">
        <f>=ROUNDDOWN({0},0)</f>
      </c>
      <c r="AK444" s="5"/>
      <c r="AL444" s="2" t="s">
        <v>98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 t="s">
        <v>98</v>
      </c>
      <c r="BD444" s="8" t="s">
        <v>98</v>
      </c>
      <c r="BE444" s="4" t="s">
        <v>98</v>
      </c>
      <c r="BF444" s="8" t="s">
        <v>98</v>
      </c>
      <c r="BG444" s="7" t="s">
        <v>98</v>
      </c>
      <c r="BH444" s="7" t="s">
        <v>98</v>
      </c>
      <c r="BI444" s="7"/>
      <c r="BJ444" s="4">
        <v>2</v>
      </c>
      <c r="BK444" s="8">
        <v>224.44</v>
      </c>
      <c r="BL444" s="2" t="s">
        <v>2508</v>
      </c>
      <c r="BM444" s="7"/>
      <c r="BN444" s="7"/>
      <c r="BO444" s="4"/>
      <c r="BP444" s="8"/>
      <c r="BQ444" s="4"/>
      <c r="BR444" s="8"/>
      <c r="BS444" s="7"/>
      <c r="BT444" s="7"/>
      <c r="BU444" s="2" t="s">
        <v>107</v>
      </c>
      <c r="BV444" s="2" t="s">
        <v>1355</v>
      </c>
      <c r="BW444" s="2" t="s">
        <v>1472</v>
      </c>
      <c r="BX444" s="2" t="s">
        <v>1967</v>
      </c>
      <c r="BY444" s="2" t="s">
        <v>110</v>
      </c>
      <c r="BZ444" s="2" t="s">
        <v>98</v>
      </c>
    </row>
    <row r="445">
      <c r="A445" s="2" t="s">
        <v>2509</v>
      </c>
      <c r="B445" s="2" t="s">
        <v>1345</v>
      </c>
      <c r="C445" s="2" t="s">
        <v>88</v>
      </c>
      <c r="D445" s="2" t="s">
        <v>2390</v>
      </c>
      <c r="E445" s="2" t="s">
        <v>2391</v>
      </c>
      <c r="F445" s="2" t="s">
        <v>1391</v>
      </c>
      <c r="G445" s="2" t="s">
        <v>1392</v>
      </c>
      <c r="H445" s="2" t="s">
        <v>1393</v>
      </c>
      <c r="I445" s="2" t="s">
        <v>2505</v>
      </c>
      <c r="J445" s="2" t="s">
        <v>93</v>
      </c>
      <c r="K445" s="2" t="s">
        <v>1450</v>
      </c>
      <c r="L445" s="3">
        <v>153</v>
      </c>
      <c r="M445" s="3">
        <v>160.65</v>
      </c>
      <c r="N445" s="3">
        <v>319</v>
      </c>
      <c r="O445" s="2" t="s">
        <v>95</v>
      </c>
      <c r="P445" s="2" t="s">
        <v>142</v>
      </c>
      <c r="Q445" s="2" t="s">
        <v>97</v>
      </c>
      <c r="R445" s="2" t="s">
        <v>98</v>
      </c>
      <c r="S445" s="2" t="s">
        <v>98</v>
      </c>
      <c r="T445" s="2" t="s">
        <v>98</v>
      </c>
      <c r="U445" s="2" t="s">
        <v>98</v>
      </c>
      <c r="V445" s="2" t="s">
        <v>439</v>
      </c>
      <c r="W445" s="2" t="s">
        <v>103</v>
      </c>
      <c r="X445" s="2" t="s">
        <v>102</v>
      </c>
      <c r="Y445" s="2" t="s">
        <v>2510</v>
      </c>
      <c r="Z445" s="4">
        <v>21</v>
      </c>
      <c r="AA445" s="4">
        <f>=ROUNDDOWN(30,0)</f>
      </c>
      <c r="AB445" s="5">
        <v>0.7</v>
      </c>
      <c r="AC445" s="2" t="s">
        <v>2305</v>
      </c>
      <c r="AD445" s="4">
        <v>100</v>
      </c>
      <c r="AE445" s="4">
        <v>100</v>
      </c>
      <c r="AF445" s="6">
        <v>65</v>
      </c>
      <c r="AG445" s="6">
        <v>48</v>
      </c>
      <c r="AH445" s="7">
        <v>1</v>
      </c>
      <c r="AI445" s="4"/>
      <c r="AJ445" s="4">
        <f>=ROUNDDOWN({0},0)</f>
      </c>
      <c r="AK445" s="5"/>
      <c r="AL445" s="2" t="s">
        <v>98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/>
      <c r="AW445" s="8"/>
      <c r="AX445" s="4"/>
      <c r="AY445" s="8"/>
      <c r="AZ445" s="7"/>
      <c r="BA445" s="7"/>
      <c r="BB445" s="7"/>
      <c r="BC445" s="4" t="s">
        <v>98</v>
      </c>
      <c r="BD445" s="8" t="s">
        <v>98</v>
      </c>
      <c r="BE445" s="4" t="s">
        <v>98</v>
      </c>
      <c r="BF445" s="8" t="s">
        <v>98</v>
      </c>
      <c r="BG445" s="7" t="s">
        <v>98</v>
      </c>
      <c r="BH445" s="7" t="s">
        <v>98</v>
      </c>
      <c r="BI445" s="7"/>
      <c r="BJ445" s="4"/>
      <c r="BK445" s="8"/>
      <c r="BL445" s="2" t="s">
        <v>1379</v>
      </c>
      <c r="BM445" s="7"/>
      <c r="BN445" s="7"/>
      <c r="BO445" s="4"/>
      <c r="BP445" s="8"/>
      <c r="BQ445" s="4"/>
      <c r="BR445" s="8"/>
      <c r="BS445" s="7"/>
      <c r="BT445" s="7"/>
      <c r="BU445" s="2" t="s">
        <v>1376</v>
      </c>
      <c r="BV445" s="2" t="s">
        <v>95</v>
      </c>
      <c r="BW445" s="2" t="s">
        <v>98</v>
      </c>
      <c r="BX445" s="2" t="s">
        <v>98</v>
      </c>
      <c r="BY445" s="2" t="s">
        <v>110</v>
      </c>
      <c r="BZ445" s="2" t="s">
        <v>98</v>
      </c>
    </row>
    <row r="446">
      <c r="A446" s="2" t="s">
        <v>2511</v>
      </c>
      <c r="B446" s="2" t="s">
        <v>1345</v>
      </c>
      <c r="C446" s="2" t="s">
        <v>88</v>
      </c>
      <c r="D446" s="2" t="s">
        <v>2390</v>
      </c>
      <c r="E446" s="2" t="s">
        <v>2391</v>
      </c>
      <c r="F446" s="2" t="s">
        <v>1391</v>
      </c>
      <c r="G446" s="2" t="s">
        <v>1392</v>
      </c>
      <c r="H446" s="2" t="s">
        <v>1393</v>
      </c>
      <c r="I446" s="2" t="s">
        <v>2505</v>
      </c>
      <c r="J446" s="2" t="s">
        <v>93</v>
      </c>
      <c r="K446" s="2" t="s">
        <v>133</v>
      </c>
      <c r="L446" s="3">
        <v>153</v>
      </c>
      <c r="M446" s="3">
        <v>160.65</v>
      </c>
      <c r="N446" s="3">
        <v>319</v>
      </c>
      <c r="O446" s="2" t="s">
        <v>95</v>
      </c>
      <c r="P446" s="2" t="s">
        <v>134</v>
      </c>
      <c r="Q446" s="2" t="s">
        <v>97</v>
      </c>
      <c r="R446" s="2" t="s">
        <v>98</v>
      </c>
      <c r="S446" s="2" t="s">
        <v>98</v>
      </c>
      <c r="T446" s="2" t="s">
        <v>98</v>
      </c>
      <c r="U446" s="2" t="s">
        <v>117</v>
      </c>
      <c r="V446" s="2" t="s">
        <v>439</v>
      </c>
      <c r="W446" s="2" t="s">
        <v>103</v>
      </c>
      <c r="X446" s="2" t="s">
        <v>98</v>
      </c>
      <c r="Y446" s="2" t="s">
        <v>2512</v>
      </c>
      <c r="Z446" s="4">
        <v>444</v>
      </c>
      <c r="AA446" s="4">
        <f>=ROUNDDOWN(74,0)</f>
      </c>
      <c r="AB446" s="5">
        <v>6</v>
      </c>
      <c r="AC446" s="2" t="s">
        <v>98</v>
      </c>
      <c r="AD446" s="4"/>
      <c r="AE446" s="4"/>
      <c r="AF446" s="6">
        <v>65</v>
      </c>
      <c r="AG446" s="6">
        <v>48</v>
      </c>
      <c r="AH446" s="7">
        <v>1</v>
      </c>
      <c r="AI446" s="4"/>
      <c r="AJ446" s="4">
        <f>=ROUNDDOWN({0},0)</f>
      </c>
      <c r="AK446" s="5"/>
      <c r="AL446" s="2" t="s">
        <v>98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/>
      <c r="AW446" s="8"/>
      <c r="AX446" s="4"/>
      <c r="AY446" s="8"/>
      <c r="AZ446" s="7"/>
      <c r="BA446" s="7"/>
      <c r="BB446" s="7"/>
      <c r="BC446" s="4" t="s">
        <v>98</v>
      </c>
      <c r="BD446" s="8" t="s">
        <v>98</v>
      </c>
      <c r="BE446" s="4" t="s">
        <v>98</v>
      </c>
      <c r="BF446" s="8" t="s">
        <v>98</v>
      </c>
      <c r="BG446" s="7" t="s">
        <v>98</v>
      </c>
      <c r="BH446" s="7" t="s">
        <v>98</v>
      </c>
      <c r="BI446" s="7"/>
      <c r="BJ446" s="4">
        <v>5</v>
      </c>
      <c r="BK446" s="8">
        <v>781.64</v>
      </c>
      <c r="BL446" s="2" t="s">
        <v>2513</v>
      </c>
      <c r="BM446" s="7"/>
      <c r="BN446" s="7"/>
      <c r="BO446" s="4"/>
      <c r="BP446" s="8"/>
      <c r="BQ446" s="4"/>
      <c r="BR446" s="8"/>
      <c r="BS446" s="7"/>
      <c r="BT446" s="7"/>
      <c r="BU446" s="2" t="s">
        <v>107</v>
      </c>
      <c r="BV446" s="2" t="s">
        <v>1355</v>
      </c>
      <c r="BW446" s="2" t="s">
        <v>707</v>
      </c>
      <c r="BX446" s="2" t="s">
        <v>2514</v>
      </c>
      <c r="BY446" s="2" t="s">
        <v>110</v>
      </c>
      <c r="BZ446" s="2" t="s">
        <v>98</v>
      </c>
    </row>
    <row r="447">
      <c r="A447" s="2" t="s">
        <v>2515</v>
      </c>
      <c r="B447" s="2" t="s">
        <v>1345</v>
      </c>
      <c r="C447" s="2" t="s">
        <v>88</v>
      </c>
      <c r="D447" s="2" t="s">
        <v>2390</v>
      </c>
      <c r="E447" s="2" t="s">
        <v>2391</v>
      </c>
      <c r="F447" s="2" t="s">
        <v>2516</v>
      </c>
      <c r="G447" s="2" t="s">
        <v>2517</v>
      </c>
      <c r="H447" s="2" t="s">
        <v>2518</v>
      </c>
      <c r="I447" s="2" t="s">
        <v>2519</v>
      </c>
      <c r="J447" s="2" t="s">
        <v>93</v>
      </c>
      <c r="K447" s="2" t="s">
        <v>1490</v>
      </c>
      <c r="L447" s="3">
        <v>150</v>
      </c>
      <c r="M447" s="3">
        <v>157.5</v>
      </c>
      <c r="N447" s="3">
        <v>319</v>
      </c>
      <c r="O447" s="2" t="s">
        <v>95</v>
      </c>
      <c r="P447" s="2" t="s">
        <v>134</v>
      </c>
      <c r="Q447" s="2" t="s">
        <v>97</v>
      </c>
      <c r="R447" s="2" t="s">
        <v>98</v>
      </c>
      <c r="S447" s="2" t="s">
        <v>98</v>
      </c>
      <c r="T447" s="2" t="s">
        <v>98</v>
      </c>
      <c r="U447" s="2" t="s">
        <v>117</v>
      </c>
      <c r="V447" s="2" t="s">
        <v>296</v>
      </c>
      <c r="W447" s="2" t="s">
        <v>165</v>
      </c>
      <c r="X447" s="2" t="s">
        <v>102</v>
      </c>
      <c r="Y447" s="2" t="s">
        <v>1040</v>
      </c>
      <c r="Z447" s="4">
        <v>156</v>
      </c>
      <c r="AA447" s="4">
        <f>=ROUNDDOWN(22.2857142857143,0)</f>
      </c>
      <c r="AB447" s="5">
        <v>7</v>
      </c>
      <c r="AC447" s="2" t="s">
        <v>1470</v>
      </c>
      <c r="AD447" s="4">
        <v>100</v>
      </c>
      <c r="AE447" s="4">
        <v>100</v>
      </c>
      <c r="AF447" s="6">
        <v>65</v>
      </c>
      <c r="AG447" s="6">
        <v>48</v>
      </c>
      <c r="AH447" s="7">
        <v>1</v>
      </c>
      <c r="AI447" s="4"/>
      <c r="AJ447" s="4">
        <f>=ROUNDDOWN({0},0)</f>
      </c>
      <c r="AK447" s="5"/>
      <c r="AL447" s="2" t="s">
        <v>98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/>
      <c r="AW447" s="8"/>
      <c r="AX447" s="4"/>
      <c r="AY447" s="8"/>
      <c r="AZ447" s="7"/>
      <c r="BA447" s="7"/>
      <c r="BB447" s="7"/>
      <c r="BC447" s="4" t="s">
        <v>98</v>
      </c>
      <c r="BD447" s="8" t="s">
        <v>98</v>
      </c>
      <c r="BE447" s="4" t="s">
        <v>98</v>
      </c>
      <c r="BF447" s="8" t="s">
        <v>98</v>
      </c>
      <c r="BG447" s="7" t="s">
        <v>98</v>
      </c>
      <c r="BH447" s="7" t="s">
        <v>98</v>
      </c>
      <c r="BI447" s="7"/>
      <c r="BJ447" s="4">
        <v>3</v>
      </c>
      <c r="BK447" s="8">
        <v>494.14</v>
      </c>
      <c r="BL447" s="2" t="s">
        <v>1379</v>
      </c>
      <c r="BM447" s="7"/>
      <c r="BN447" s="7"/>
      <c r="BO447" s="4"/>
      <c r="BP447" s="8"/>
      <c r="BQ447" s="4"/>
      <c r="BR447" s="8"/>
      <c r="BS447" s="7"/>
      <c r="BT447" s="7"/>
      <c r="BU447" s="2" t="s">
        <v>1376</v>
      </c>
      <c r="BV447" s="2" t="s">
        <v>95</v>
      </c>
      <c r="BW447" s="2" t="s">
        <v>98</v>
      </c>
      <c r="BX447" s="2" t="s">
        <v>98</v>
      </c>
      <c r="BY447" s="2" t="s">
        <v>110</v>
      </c>
      <c r="BZ447" s="2" t="s">
        <v>98</v>
      </c>
    </row>
    <row r="448">
      <c r="A448" s="2" t="s">
        <v>2520</v>
      </c>
      <c r="B448" s="2" t="s">
        <v>1345</v>
      </c>
      <c r="C448" s="2" t="s">
        <v>88</v>
      </c>
      <c r="D448" s="2" t="s">
        <v>2390</v>
      </c>
      <c r="E448" s="2" t="s">
        <v>2391</v>
      </c>
      <c r="F448" s="2" t="s">
        <v>2516</v>
      </c>
      <c r="G448" s="2" t="s">
        <v>2517</v>
      </c>
      <c r="H448" s="2" t="s">
        <v>2518</v>
      </c>
      <c r="I448" s="2" t="s">
        <v>2519</v>
      </c>
      <c r="J448" s="2" t="s">
        <v>93</v>
      </c>
      <c r="K448" s="2" t="s">
        <v>127</v>
      </c>
      <c r="L448" s="3">
        <v>150</v>
      </c>
      <c r="M448" s="3">
        <v>157.5</v>
      </c>
      <c r="N448" s="3">
        <v>319</v>
      </c>
      <c r="O448" s="2" t="s">
        <v>95</v>
      </c>
      <c r="P448" s="2" t="s">
        <v>96</v>
      </c>
      <c r="Q448" s="2" t="s">
        <v>97</v>
      </c>
      <c r="R448" s="2" t="s">
        <v>98</v>
      </c>
      <c r="S448" s="2" t="s">
        <v>98</v>
      </c>
      <c r="T448" s="2" t="s">
        <v>98</v>
      </c>
      <c r="U448" s="2" t="s">
        <v>98</v>
      </c>
      <c r="V448" s="2" t="s">
        <v>296</v>
      </c>
      <c r="W448" s="2" t="s">
        <v>165</v>
      </c>
      <c r="X448" s="2" t="s">
        <v>98</v>
      </c>
      <c r="Y448" s="2" t="s">
        <v>2521</v>
      </c>
      <c r="Z448" s="4">
        <v>231</v>
      </c>
      <c r="AA448" s="4">
        <f>=ROUNDDOWN(10.5,0)</f>
      </c>
      <c r="AB448" s="5">
        <v>22</v>
      </c>
      <c r="AC448" s="2" t="s">
        <v>2077</v>
      </c>
      <c r="AD448" s="4">
        <v>180</v>
      </c>
      <c r="AE448" s="4">
        <v>500</v>
      </c>
      <c r="AF448" s="6">
        <v>65</v>
      </c>
      <c r="AG448" s="6">
        <v>48</v>
      </c>
      <c r="AH448" s="7">
        <v>1</v>
      </c>
      <c r="AI448" s="4"/>
      <c r="AJ448" s="4">
        <f>=ROUNDDOWN({0},0)</f>
      </c>
      <c r="AK448" s="5"/>
      <c r="AL448" s="2" t="s">
        <v>98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/>
      <c r="AW448" s="8"/>
      <c r="AX448" s="4"/>
      <c r="AY448" s="8"/>
      <c r="AZ448" s="7"/>
      <c r="BA448" s="7"/>
      <c r="BB448" s="7"/>
      <c r="BC448" s="4" t="s">
        <v>98</v>
      </c>
      <c r="BD448" s="8" t="s">
        <v>98</v>
      </c>
      <c r="BE448" s="4" t="s">
        <v>98</v>
      </c>
      <c r="BF448" s="8" t="s">
        <v>98</v>
      </c>
      <c r="BG448" s="7" t="s">
        <v>98</v>
      </c>
      <c r="BH448" s="7" t="s">
        <v>98</v>
      </c>
      <c r="BI448" s="7"/>
      <c r="BJ448" s="4">
        <v>3</v>
      </c>
      <c r="BK448" s="8">
        <v>507.1</v>
      </c>
      <c r="BL448" s="2" t="s">
        <v>1007</v>
      </c>
      <c r="BM448" s="7"/>
      <c r="BN448" s="7"/>
      <c r="BO448" s="4"/>
      <c r="BP448" s="8"/>
      <c r="BQ448" s="4"/>
      <c r="BR448" s="8"/>
      <c r="BS448" s="7"/>
      <c r="BT448" s="7"/>
      <c r="BU448" s="2" t="s">
        <v>1376</v>
      </c>
      <c r="BV448" s="2" t="s">
        <v>95</v>
      </c>
      <c r="BW448" s="2" t="s">
        <v>98</v>
      </c>
      <c r="BX448" s="2" t="s">
        <v>98</v>
      </c>
      <c r="BY448" s="2" t="s">
        <v>110</v>
      </c>
      <c r="BZ448" s="2" t="s">
        <v>98</v>
      </c>
    </row>
    <row r="449">
      <c r="A449" s="2" t="s">
        <v>2522</v>
      </c>
      <c r="B449" s="2" t="s">
        <v>1345</v>
      </c>
      <c r="C449" s="2" t="s">
        <v>88</v>
      </c>
      <c r="D449" s="2" t="s">
        <v>2390</v>
      </c>
      <c r="E449" s="2" t="s">
        <v>2391</v>
      </c>
      <c r="F449" s="2" t="s">
        <v>2523</v>
      </c>
      <c r="G449" s="2" t="s">
        <v>2524</v>
      </c>
      <c r="H449" s="2" t="s">
        <v>2525</v>
      </c>
      <c r="I449" s="2" t="s">
        <v>2526</v>
      </c>
      <c r="J449" s="2" t="s">
        <v>93</v>
      </c>
      <c r="K449" s="2" t="s">
        <v>928</v>
      </c>
      <c r="L449" s="3">
        <v>110</v>
      </c>
      <c r="M449" s="3">
        <v>115.5</v>
      </c>
      <c r="N449" s="3">
        <v>229</v>
      </c>
      <c r="O449" s="2" t="s">
        <v>155</v>
      </c>
      <c r="P449" s="2" t="s">
        <v>115</v>
      </c>
      <c r="Q449" s="2" t="s">
        <v>97</v>
      </c>
      <c r="R449" s="2" t="s">
        <v>98</v>
      </c>
      <c r="S449" s="2" t="s">
        <v>98</v>
      </c>
      <c r="T449" s="2" t="s">
        <v>98</v>
      </c>
      <c r="U449" s="2" t="s">
        <v>117</v>
      </c>
      <c r="V449" s="2" t="s">
        <v>439</v>
      </c>
      <c r="W449" s="2" t="s">
        <v>102</v>
      </c>
      <c r="X449" s="2" t="s">
        <v>963</v>
      </c>
      <c r="Y449" s="2" t="s">
        <v>643</v>
      </c>
      <c r="Z449" s="4">
        <v>121</v>
      </c>
      <c r="AA449" s="4">
        <f>=ROUNDDOWN(60.5,0)</f>
      </c>
      <c r="AB449" s="5">
        <v>2</v>
      </c>
      <c r="AC449" s="2" t="s">
        <v>98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98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/>
      <c r="BD449" s="8"/>
      <c r="BE449" s="4"/>
      <c r="BF449" s="8"/>
      <c r="BG449" s="7"/>
      <c r="BH449" s="7"/>
      <c r="BI449" s="7"/>
      <c r="BJ449" s="4"/>
      <c r="BK449" s="8"/>
      <c r="BL449" s="2" t="s">
        <v>98</v>
      </c>
      <c r="BM449" s="7"/>
      <c r="BN449" s="7"/>
      <c r="BO449" s="4"/>
      <c r="BP449" s="8"/>
      <c r="BQ449" s="4"/>
      <c r="BR449" s="8"/>
      <c r="BS449" s="7"/>
      <c r="BT449" s="7"/>
      <c r="BU449" s="2" t="s">
        <v>1376</v>
      </c>
      <c r="BV449" s="2" t="s">
        <v>95</v>
      </c>
      <c r="BW449" s="2" t="s">
        <v>98</v>
      </c>
      <c r="BX449" s="2" t="s">
        <v>98</v>
      </c>
      <c r="BY449" s="2" t="s">
        <v>110</v>
      </c>
      <c r="BZ449" s="2" t="s">
        <v>98</v>
      </c>
    </row>
    <row r="450">
      <c r="A450" s="2" t="s">
        <v>2527</v>
      </c>
      <c r="B450" s="2" t="s">
        <v>1345</v>
      </c>
      <c r="C450" s="2" t="s">
        <v>88</v>
      </c>
      <c r="D450" s="2" t="s">
        <v>2390</v>
      </c>
      <c r="E450" s="2" t="s">
        <v>2391</v>
      </c>
      <c r="F450" s="2" t="s">
        <v>2528</v>
      </c>
      <c r="G450" s="2" t="s">
        <v>2529</v>
      </c>
      <c r="H450" s="2" t="s">
        <v>2530</v>
      </c>
      <c r="I450" s="2" t="s">
        <v>2531</v>
      </c>
      <c r="J450" s="2" t="s">
        <v>93</v>
      </c>
      <c r="K450" s="2" t="s">
        <v>277</v>
      </c>
      <c r="L450" s="3">
        <v>165</v>
      </c>
      <c r="M450" s="3">
        <v>173.25</v>
      </c>
      <c r="N450" s="3">
        <v>349</v>
      </c>
      <c r="O450" s="2" t="s">
        <v>95</v>
      </c>
      <c r="P450" s="2" t="s">
        <v>134</v>
      </c>
      <c r="Q450" s="2" t="s">
        <v>97</v>
      </c>
      <c r="R450" s="2" t="s">
        <v>98</v>
      </c>
      <c r="S450" s="2" t="s">
        <v>2532</v>
      </c>
      <c r="T450" s="2" t="s">
        <v>98</v>
      </c>
      <c r="U450" s="2" t="s">
        <v>98</v>
      </c>
      <c r="V450" s="2" t="s">
        <v>439</v>
      </c>
      <c r="W450" s="2" t="s">
        <v>103</v>
      </c>
      <c r="X450" s="2" t="s">
        <v>98</v>
      </c>
      <c r="Y450" s="2" t="s">
        <v>1451</v>
      </c>
      <c r="Z450" s="4">
        <v>124</v>
      </c>
      <c r="AA450" s="4">
        <f>=ROUNDDOWN(12.4,0)</f>
      </c>
      <c r="AB450" s="5">
        <v>10</v>
      </c>
      <c r="AC450" s="2" t="s">
        <v>2077</v>
      </c>
      <c r="AD450" s="4">
        <v>100</v>
      </c>
      <c r="AE450" s="4">
        <v>250</v>
      </c>
      <c r="AF450" s="6">
        <v>65</v>
      </c>
      <c r="AG450" s="6">
        <v>48</v>
      </c>
      <c r="AH450" s="7">
        <v>1</v>
      </c>
      <c r="AI450" s="4"/>
      <c r="AJ450" s="4">
        <f>=ROUNDDOWN({0},0)</f>
      </c>
      <c r="AK450" s="5"/>
      <c r="AL450" s="2" t="s">
        <v>98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 t="s">
        <v>98</v>
      </c>
      <c r="BD450" s="8" t="s">
        <v>98</v>
      </c>
      <c r="BE450" s="4" t="s">
        <v>98</v>
      </c>
      <c r="BF450" s="8" t="s">
        <v>98</v>
      </c>
      <c r="BG450" s="7" t="s">
        <v>98</v>
      </c>
      <c r="BH450" s="7" t="s">
        <v>98</v>
      </c>
      <c r="BI450" s="7"/>
      <c r="BJ450" s="4">
        <v>11</v>
      </c>
      <c r="BK450" s="8">
        <v>1874.25</v>
      </c>
      <c r="BL450" s="2" t="s">
        <v>2533</v>
      </c>
      <c r="BM450" s="7"/>
      <c r="BN450" s="7"/>
      <c r="BO450" s="4"/>
      <c r="BP450" s="8"/>
      <c r="BQ450" s="4"/>
      <c r="BR450" s="8"/>
      <c r="BS450" s="7"/>
      <c r="BT450" s="7"/>
      <c r="BU450" s="2" t="s">
        <v>107</v>
      </c>
      <c r="BV450" s="2" t="s">
        <v>1355</v>
      </c>
      <c r="BW450" s="2" t="s">
        <v>1454</v>
      </c>
      <c r="BX450" s="2" t="s">
        <v>2534</v>
      </c>
      <c r="BY450" s="2" t="s">
        <v>110</v>
      </c>
      <c r="BZ450" s="2" t="s">
        <v>98</v>
      </c>
    </row>
    <row r="451">
      <c r="A451" s="2" t="s">
        <v>2535</v>
      </c>
      <c r="B451" s="2" t="s">
        <v>1345</v>
      </c>
      <c r="C451" s="2" t="s">
        <v>88</v>
      </c>
      <c r="D451" s="2" t="s">
        <v>2390</v>
      </c>
      <c r="E451" s="2" t="s">
        <v>2391</v>
      </c>
      <c r="F451" s="2" t="s">
        <v>2528</v>
      </c>
      <c r="G451" s="2" t="s">
        <v>2529</v>
      </c>
      <c r="H451" s="2" t="s">
        <v>2530</v>
      </c>
      <c r="I451" s="2" t="s">
        <v>2396</v>
      </c>
      <c r="J451" s="2" t="s">
        <v>93</v>
      </c>
      <c r="K451" s="2" t="s">
        <v>1439</v>
      </c>
      <c r="L451" s="3">
        <v>165</v>
      </c>
      <c r="M451" s="3">
        <v>173.25</v>
      </c>
      <c r="N451" s="3">
        <v>349</v>
      </c>
      <c r="O451" s="2" t="s">
        <v>95</v>
      </c>
      <c r="P451" s="2" t="s">
        <v>134</v>
      </c>
      <c r="Q451" s="2" t="s">
        <v>97</v>
      </c>
      <c r="R451" s="2" t="s">
        <v>98</v>
      </c>
      <c r="S451" s="2" t="s">
        <v>98</v>
      </c>
      <c r="T451" s="2" t="s">
        <v>98</v>
      </c>
      <c r="U451" s="2" t="s">
        <v>117</v>
      </c>
      <c r="V451" s="2" t="s">
        <v>439</v>
      </c>
      <c r="W451" s="2" t="s">
        <v>103</v>
      </c>
      <c r="X451" s="2" t="s">
        <v>102</v>
      </c>
      <c r="Y451" s="2" t="s">
        <v>1624</v>
      </c>
      <c r="Z451" s="4">
        <v>97</v>
      </c>
      <c r="AA451" s="4">
        <f>=ROUNDDOWN(4.85,0)</f>
      </c>
      <c r="AB451" s="5">
        <v>20</v>
      </c>
      <c r="AC451" s="2" t="s">
        <v>2077</v>
      </c>
      <c r="AD451" s="4">
        <v>13</v>
      </c>
      <c r="AE451" s="4">
        <v>390</v>
      </c>
      <c r="AF451" s="6">
        <v>65</v>
      </c>
      <c r="AG451" s="6">
        <v>48</v>
      </c>
      <c r="AH451" s="7">
        <v>1</v>
      </c>
      <c r="AI451" s="4"/>
      <c r="AJ451" s="4">
        <f>=ROUNDDOWN({0},0)</f>
      </c>
      <c r="AK451" s="5"/>
      <c r="AL451" s="2" t="s">
        <v>98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 t="s">
        <v>98</v>
      </c>
      <c r="BD451" s="8" t="s">
        <v>98</v>
      </c>
      <c r="BE451" s="4" t="s">
        <v>98</v>
      </c>
      <c r="BF451" s="8" t="s">
        <v>98</v>
      </c>
      <c r="BG451" s="7" t="s">
        <v>98</v>
      </c>
      <c r="BH451" s="7" t="s">
        <v>98</v>
      </c>
      <c r="BI451" s="7"/>
      <c r="BJ451" s="4">
        <v>3</v>
      </c>
      <c r="BK451" s="8">
        <v>464.32</v>
      </c>
      <c r="BL451" s="2" t="s">
        <v>2536</v>
      </c>
      <c r="BM451" s="7"/>
      <c r="BN451" s="7"/>
      <c r="BO451" s="4"/>
      <c r="BP451" s="8"/>
      <c r="BQ451" s="4"/>
      <c r="BR451" s="8"/>
      <c r="BS451" s="7"/>
      <c r="BT451" s="7"/>
      <c r="BU451" s="2" t="s">
        <v>1376</v>
      </c>
      <c r="BV451" s="2" t="s">
        <v>95</v>
      </c>
      <c r="BW451" s="2" t="s">
        <v>98</v>
      </c>
      <c r="BX451" s="2" t="s">
        <v>98</v>
      </c>
      <c r="BY451" s="2" t="s">
        <v>110</v>
      </c>
      <c r="BZ451" s="2" t="s">
        <v>98</v>
      </c>
    </row>
    <row r="452">
      <c r="A452" s="2" t="s">
        <v>2537</v>
      </c>
      <c r="B452" s="2" t="s">
        <v>1345</v>
      </c>
      <c r="C452" s="2" t="s">
        <v>88</v>
      </c>
      <c r="D452" s="2" t="s">
        <v>2390</v>
      </c>
      <c r="E452" s="2" t="s">
        <v>2391</v>
      </c>
      <c r="F452" s="2" t="s">
        <v>2538</v>
      </c>
      <c r="G452" s="2" t="s">
        <v>2539</v>
      </c>
      <c r="H452" s="2" t="s">
        <v>2540</v>
      </c>
      <c r="I452" s="2" t="s">
        <v>2541</v>
      </c>
      <c r="J452" s="2" t="s">
        <v>93</v>
      </c>
      <c r="K452" s="2" t="s">
        <v>1052</v>
      </c>
      <c r="L452" s="3">
        <v>128.7</v>
      </c>
      <c r="M452" s="3">
        <v>135.14</v>
      </c>
      <c r="N452" s="3">
        <v>269</v>
      </c>
      <c r="O452" s="2" t="s">
        <v>155</v>
      </c>
      <c r="P452" s="2" t="s">
        <v>115</v>
      </c>
      <c r="Q452" s="2" t="s">
        <v>97</v>
      </c>
      <c r="R452" s="2" t="s">
        <v>98</v>
      </c>
      <c r="S452" s="2" t="s">
        <v>2542</v>
      </c>
      <c r="T452" s="2" t="s">
        <v>98</v>
      </c>
      <c r="U452" s="2" t="s">
        <v>98</v>
      </c>
      <c r="V452" s="2" t="s">
        <v>439</v>
      </c>
      <c r="W452" s="2" t="s">
        <v>103</v>
      </c>
      <c r="X452" s="2" t="s">
        <v>98</v>
      </c>
      <c r="Y452" s="2" t="s">
        <v>366</v>
      </c>
      <c r="Z452" s="4">
        <v>54</v>
      </c>
      <c r="AA452" s="4">
        <f>=ROUNDDOWN(12.5581395348837,0)</f>
      </c>
      <c r="AB452" s="5">
        <v>4.3</v>
      </c>
      <c r="AC452" s="2" t="s">
        <v>98</v>
      </c>
      <c r="AD452" s="4"/>
      <c r="AE452" s="4"/>
      <c r="AF452" s="6">
        <v>74</v>
      </c>
      <c r="AG452" s="6">
        <v>60</v>
      </c>
      <c r="AH452" s="7">
        <v>1</v>
      </c>
      <c r="AI452" s="4"/>
      <c r="AJ452" s="4">
        <f>=ROUNDDOWN({0},0)</f>
      </c>
      <c r="AK452" s="5"/>
      <c r="AL452" s="2" t="s">
        <v>98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/>
      <c r="BD452" s="8"/>
      <c r="BE452" s="4"/>
      <c r="BF452" s="8"/>
      <c r="BG452" s="7"/>
      <c r="BH452" s="7"/>
      <c r="BI452" s="7"/>
      <c r="BJ452" s="4"/>
      <c r="BK452" s="8"/>
      <c r="BL452" s="2" t="s">
        <v>895</v>
      </c>
      <c r="BM452" s="7"/>
      <c r="BN452" s="7"/>
      <c r="BO452" s="4"/>
      <c r="BP452" s="8"/>
      <c r="BQ452" s="4"/>
      <c r="BR452" s="8"/>
      <c r="BS452" s="7"/>
      <c r="BT452" s="7"/>
      <c r="BU452" s="2" t="s">
        <v>107</v>
      </c>
      <c r="BV452" s="2" t="s">
        <v>1355</v>
      </c>
      <c r="BW452" s="2" t="s">
        <v>1356</v>
      </c>
      <c r="BX452" s="2" t="s">
        <v>2543</v>
      </c>
      <c r="BY452" s="2" t="s">
        <v>110</v>
      </c>
      <c r="BZ452" s="2" t="s">
        <v>98</v>
      </c>
    </row>
    <row r="453">
      <c r="A453" s="2" t="s">
        <v>2544</v>
      </c>
      <c r="B453" s="2" t="s">
        <v>1345</v>
      </c>
      <c r="C453" s="2" t="s">
        <v>88</v>
      </c>
      <c r="D453" s="2" t="s">
        <v>2390</v>
      </c>
      <c r="E453" s="2" t="s">
        <v>2391</v>
      </c>
      <c r="F453" s="2" t="s">
        <v>2545</v>
      </c>
      <c r="G453" s="2" t="s">
        <v>2546</v>
      </c>
      <c r="H453" s="2" t="s">
        <v>2547</v>
      </c>
      <c r="I453" s="2" t="s">
        <v>2433</v>
      </c>
      <c r="J453" s="2" t="s">
        <v>93</v>
      </c>
      <c r="K453" s="2" t="s">
        <v>2114</v>
      </c>
      <c r="L453" s="3">
        <v>160</v>
      </c>
      <c r="M453" s="3">
        <v>168</v>
      </c>
      <c r="N453" s="3">
        <v>339</v>
      </c>
      <c r="O453" s="2" t="s">
        <v>155</v>
      </c>
      <c r="P453" s="2" t="s">
        <v>115</v>
      </c>
      <c r="Q453" s="2" t="s">
        <v>97</v>
      </c>
      <c r="R453" s="2" t="s">
        <v>98</v>
      </c>
      <c r="S453" s="2" t="s">
        <v>2548</v>
      </c>
      <c r="T453" s="2" t="s">
        <v>98</v>
      </c>
      <c r="U453" s="2" t="s">
        <v>98</v>
      </c>
      <c r="V453" s="2" t="s">
        <v>439</v>
      </c>
      <c r="W453" s="2" t="s">
        <v>103</v>
      </c>
      <c r="X453" s="2" t="s">
        <v>98</v>
      </c>
      <c r="Y453" s="2" t="s">
        <v>2549</v>
      </c>
      <c r="Z453" s="4">
        <v>88</v>
      </c>
      <c r="AA453" s="4">
        <f>=ROUNDDOWN(88,0)</f>
      </c>
      <c r="AB453" s="5">
        <v>1</v>
      </c>
      <c r="AC453" s="2" t="s">
        <v>98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98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/>
      <c r="BD453" s="8"/>
      <c r="BE453" s="4"/>
      <c r="BF453" s="8"/>
      <c r="BG453" s="7"/>
      <c r="BH453" s="7"/>
      <c r="BI453" s="7"/>
      <c r="BJ453" s="4"/>
      <c r="BK453" s="8"/>
      <c r="BL453" s="2" t="s">
        <v>2550</v>
      </c>
      <c r="BM453" s="7"/>
      <c r="BN453" s="7"/>
      <c r="BO453" s="4"/>
      <c r="BP453" s="8"/>
      <c r="BQ453" s="4"/>
      <c r="BR453" s="8"/>
      <c r="BS453" s="7"/>
      <c r="BT453" s="7"/>
      <c r="BU453" s="2" t="s">
        <v>107</v>
      </c>
      <c r="BV453" s="2" t="s">
        <v>1355</v>
      </c>
      <c r="BW453" s="2" t="s">
        <v>1826</v>
      </c>
      <c r="BX453" s="2" t="s">
        <v>2551</v>
      </c>
      <c r="BY453" s="2" t="s">
        <v>110</v>
      </c>
      <c r="BZ453" s="2" t="s">
        <v>98</v>
      </c>
    </row>
    <row r="454">
      <c r="A454" s="2" t="s">
        <v>2552</v>
      </c>
      <c r="B454" s="2" t="s">
        <v>1345</v>
      </c>
      <c r="C454" s="2" t="s">
        <v>88</v>
      </c>
      <c r="D454" s="2" t="s">
        <v>2390</v>
      </c>
      <c r="E454" s="2" t="s">
        <v>2391</v>
      </c>
      <c r="F454" s="2" t="s">
        <v>2553</v>
      </c>
      <c r="G454" s="2" t="s">
        <v>2554</v>
      </c>
      <c r="H454" s="2" t="s">
        <v>2555</v>
      </c>
      <c r="I454" s="2" t="s">
        <v>2396</v>
      </c>
      <c r="J454" s="2" t="s">
        <v>93</v>
      </c>
      <c r="K454" s="2" t="s">
        <v>277</v>
      </c>
      <c r="L454" s="3">
        <v>171</v>
      </c>
      <c r="M454" s="3">
        <v>179.55</v>
      </c>
      <c r="N454" s="3">
        <v>359</v>
      </c>
      <c r="O454" s="2" t="s">
        <v>95</v>
      </c>
      <c r="P454" s="2" t="s">
        <v>134</v>
      </c>
      <c r="Q454" s="2" t="s">
        <v>97</v>
      </c>
      <c r="R454" s="2" t="s">
        <v>98</v>
      </c>
      <c r="S454" s="2" t="s">
        <v>2556</v>
      </c>
      <c r="T454" s="2" t="s">
        <v>98</v>
      </c>
      <c r="U454" s="2" t="s">
        <v>117</v>
      </c>
      <c r="V454" s="2" t="s">
        <v>439</v>
      </c>
      <c r="W454" s="2" t="s">
        <v>103</v>
      </c>
      <c r="X454" s="2" t="s">
        <v>98</v>
      </c>
      <c r="Y454" s="2" t="s">
        <v>2557</v>
      </c>
      <c r="Z454" s="4">
        <v>99</v>
      </c>
      <c r="AA454" s="4">
        <f>=ROUNDDOWN(12.375,0)</f>
      </c>
      <c r="AB454" s="5">
        <v>8</v>
      </c>
      <c r="AC454" s="2" t="s">
        <v>222</v>
      </c>
      <c r="AD454" s="4">
        <v>100</v>
      </c>
      <c r="AE454" s="4">
        <v>200</v>
      </c>
      <c r="AF454" s="6">
        <v>65</v>
      </c>
      <c r="AG454" s="6">
        <v>48</v>
      </c>
      <c r="AH454" s="7">
        <v>1</v>
      </c>
      <c r="AI454" s="4"/>
      <c r="AJ454" s="4">
        <f>=ROUNDDOWN({0},0)</f>
      </c>
      <c r="AK454" s="5"/>
      <c r="AL454" s="2" t="s">
        <v>98</v>
      </c>
      <c r="AM454" s="4"/>
      <c r="AN454" s="4"/>
      <c r="AO454" s="7">
        <v>0</v>
      </c>
      <c r="AP454" s="4"/>
      <c r="AQ454" s="8"/>
      <c r="AR454" s="4">
        <v>3</v>
      </c>
      <c r="AS454" s="8">
        <v>559.59</v>
      </c>
      <c r="AT454" s="7">
        <v>-1</v>
      </c>
      <c r="AU454" s="7">
        <v>-1</v>
      </c>
      <c r="AV454" s="4"/>
      <c r="AW454" s="8"/>
      <c r="AX454" s="4">
        <v>3</v>
      </c>
      <c r="AY454" s="8">
        <v>559.59</v>
      </c>
      <c r="AZ454" s="7">
        <v>-1</v>
      </c>
      <c r="BA454" s="7">
        <v>-1</v>
      </c>
      <c r="BB454" s="7"/>
      <c r="BC454" s="4" t="s">
        <v>98</v>
      </c>
      <c r="BD454" s="8" t="s">
        <v>98</v>
      </c>
      <c r="BE454" s="4">
        <v>3</v>
      </c>
      <c r="BF454" s="8">
        <v>559.59</v>
      </c>
      <c r="BG454" s="7" t="s">
        <v>98</v>
      </c>
      <c r="BH454" s="7" t="s">
        <v>98</v>
      </c>
      <c r="BI454" s="7"/>
      <c r="BJ454" s="4">
        <v>1</v>
      </c>
      <c r="BK454" s="8">
        <v>145.3</v>
      </c>
      <c r="BL454" s="2" t="s">
        <v>2244</v>
      </c>
      <c r="BM454" s="7"/>
      <c r="BN454" s="7"/>
      <c r="BO454" s="4"/>
      <c r="BP454" s="8"/>
      <c r="BQ454" s="4">
        <v>3</v>
      </c>
      <c r="BR454" s="8">
        <v>559.59</v>
      </c>
      <c r="BS454" s="7">
        <v>-1</v>
      </c>
      <c r="BT454" s="7">
        <v>-1</v>
      </c>
      <c r="BU454" s="2" t="s">
        <v>107</v>
      </c>
      <c r="BV454" s="2" t="s">
        <v>1355</v>
      </c>
      <c r="BW454" s="2" t="s">
        <v>1550</v>
      </c>
      <c r="BX454" s="2" t="s">
        <v>2551</v>
      </c>
      <c r="BY454" s="2" t="s">
        <v>110</v>
      </c>
      <c r="BZ454" s="2" t="s">
        <v>98</v>
      </c>
    </row>
    <row r="455">
      <c r="A455" s="2" t="s">
        <v>2558</v>
      </c>
      <c r="B455" s="2" t="s">
        <v>1345</v>
      </c>
      <c r="C455" s="2" t="s">
        <v>88</v>
      </c>
      <c r="D455" s="2" t="s">
        <v>2390</v>
      </c>
      <c r="E455" s="2" t="s">
        <v>2391</v>
      </c>
      <c r="F455" s="2" t="s">
        <v>2553</v>
      </c>
      <c r="G455" s="2" t="s">
        <v>2554</v>
      </c>
      <c r="H455" s="2" t="s">
        <v>2555</v>
      </c>
      <c r="I455" s="2" t="s">
        <v>2396</v>
      </c>
      <c r="J455" s="2" t="s">
        <v>93</v>
      </c>
      <c r="K455" s="2" t="s">
        <v>127</v>
      </c>
      <c r="L455" s="3">
        <v>171</v>
      </c>
      <c r="M455" s="3">
        <v>179.55</v>
      </c>
      <c r="N455" s="3">
        <v>359</v>
      </c>
      <c r="O455" s="2" t="s">
        <v>155</v>
      </c>
      <c r="P455" s="2" t="s">
        <v>115</v>
      </c>
      <c r="Q455" s="2" t="s">
        <v>97</v>
      </c>
      <c r="R455" s="2" t="s">
        <v>98</v>
      </c>
      <c r="S455" s="2" t="s">
        <v>98</v>
      </c>
      <c r="T455" s="2" t="s">
        <v>98</v>
      </c>
      <c r="U455" s="2" t="s">
        <v>117</v>
      </c>
      <c r="V455" s="2" t="s">
        <v>296</v>
      </c>
      <c r="W455" s="2" t="s">
        <v>103</v>
      </c>
      <c r="X455" s="2" t="s">
        <v>98</v>
      </c>
      <c r="Y455" s="2" t="s">
        <v>2559</v>
      </c>
      <c r="Z455" s="4">
        <v>242</v>
      </c>
      <c r="AA455" s="4">
        <f>=ROUNDDOWN(121,0)</f>
      </c>
      <c r="AB455" s="5">
        <v>2</v>
      </c>
      <c r="AC455" s="2" t="s">
        <v>98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98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 t="s">
        <v>98</v>
      </c>
      <c r="BD455" s="8" t="s">
        <v>98</v>
      </c>
      <c r="BE455" s="4" t="s">
        <v>98</v>
      </c>
      <c r="BF455" s="8" t="s">
        <v>98</v>
      </c>
      <c r="BG455" s="7" t="s">
        <v>98</v>
      </c>
      <c r="BH455" s="7" t="s">
        <v>98</v>
      </c>
      <c r="BI455" s="7"/>
      <c r="BJ455" s="4">
        <v>1</v>
      </c>
      <c r="BK455" s="8">
        <v>161.44</v>
      </c>
      <c r="BL455" s="2" t="s">
        <v>1379</v>
      </c>
      <c r="BM455" s="7"/>
      <c r="BN455" s="7"/>
      <c r="BO455" s="4"/>
      <c r="BP455" s="8"/>
      <c r="BQ455" s="4"/>
      <c r="BR455" s="8"/>
      <c r="BS455" s="7"/>
      <c r="BT455" s="7"/>
      <c r="BU455" s="2" t="s">
        <v>1376</v>
      </c>
      <c r="BV455" s="2" t="s">
        <v>95</v>
      </c>
      <c r="BW455" s="2" t="s">
        <v>98</v>
      </c>
      <c r="BX455" s="2" t="s">
        <v>98</v>
      </c>
      <c r="BY455" s="2" t="s">
        <v>110</v>
      </c>
      <c r="BZ455" s="2" t="s">
        <v>98</v>
      </c>
    </row>
    <row r="456">
      <c r="A456" s="2" t="s">
        <v>2560</v>
      </c>
      <c r="B456" s="2" t="s">
        <v>1345</v>
      </c>
      <c r="C456" s="2" t="s">
        <v>88</v>
      </c>
      <c r="D456" s="2" t="s">
        <v>2390</v>
      </c>
      <c r="E456" s="2" t="s">
        <v>2391</v>
      </c>
      <c r="F456" s="2" t="s">
        <v>2561</v>
      </c>
      <c r="G456" s="2" t="s">
        <v>2562</v>
      </c>
      <c r="H456" s="2" t="s">
        <v>2563</v>
      </c>
      <c r="I456" s="2" t="s">
        <v>2433</v>
      </c>
      <c r="J456" s="2" t="s">
        <v>93</v>
      </c>
      <c r="K456" s="2" t="s">
        <v>2564</v>
      </c>
      <c r="L456" s="3">
        <v>80</v>
      </c>
      <c r="M456" s="3">
        <v>84</v>
      </c>
      <c r="N456" s="3">
        <v>169</v>
      </c>
      <c r="O456" s="2" t="s">
        <v>95</v>
      </c>
      <c r="P456" s="2" t="s">
        <v>134</v>
      </c>
      <c r="Q456" s="2" t="s">
        <v>97</v>
      </c>
      <c r="R456" s="2" t="s">
        <v>98</v>
      </c>
      <c r="S456" s="2" t="s">
        <v>98</v>
      </c>
      <c r="T456" s="2" t="s">
        <v>98</v>
      </c>
      <c r="U456" s="2" t="s">
        <v>117</v>
      </c>
      <c r="V456" s="2" t="s">
        <v>439</v>
      </c>
      <c r="W456" s="2" t="s">
        <v>102</v>
      </c>
      <c r="X456" s="2" t="s">
        <v>963</v>
      </c>
      <c r="Y456" s="2" t="s">
        <v>2565</v>
      </c>
      <c r="Z456" s="4">
        <v>423</v>
      </c>
      <c r="AA456" s="4">
        <f>=ROUNDDOWN(26.4375,0)</f>
      </c>
      <c r="AB456" s="5">
        <v>16</v>
      </c>
      <c r="AC456" s="2" t="s">
        <v>214</v>
      </c>
      <c r="AD456" s="4">
        <v>420</v>
      </c>
      <c r="AE456" s="4">
        <v>420</v>
      </c>
      <c r="AF456" s="6">
        <v>67</v>
      </c>
      <c r="AG456" s="6"/>
      <c r="AH456" s="7">
        <v>1</v>
      </c>
      <c r="AI456" s="4"/>
      <c r="AJ456" s="4">
        <f>=ROUNDDOWN({0},0)</f>
      </c>
      <c r="AK456" s="5"/>
      <c r="AL456" s="2" t="s">
        <v>98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/>
      <c r="BD456" s="8"/>
      <c r="BE456" s="4"/>
      <c r="BF456" s="8"/>
      <c r="BG456" s="7"/>
      <c r="BH456" s="7"/>
      <c r="BI456" s="7"/>
      <c r="BJ456" s="4">
        <v>3</v>
      </c>
      <c r="BK456" s="8">
        <v>272.16</v>
      </c>
      <c r="BL456" s="2" t="s">
        <v>2566</v>
      </c>
      <c r="BM456" s="7"/>
      <c r="BN456" s="7"/>
      <c r="BO456" s="4"/>
      <c r="BP456" s="8"/>
      <c r="BQ456" s="4"/>
      <c r="BR456" s="8"/>
      <c r="BS456" s="7"/>
      <c r="BT456" s="7"/>
      <c r="BU456" s="2" t="s">
        <v>1376</v>
      </c>
      <c r="BV456" s="2" t="s">
        <v>95</v>
      </c>
      <c r="BW456" s="2" t="s">
        <v>98</v>
      </c>
      <c r="BX456" s="2" t="s">
        <v>98</v>
      </c>
      <c r="BY456" s="2" t="s">
        <v>110</v>
      </c>
      <c r="BZ456" s="2" t="s">
        <v>98</v>
      </c>
    </row>
    <row r="457">
      <c r="A457" s="2" t="s">
        <v>2567</v>
      </c>
      <c r="B457" s="2" t="s">
        <v>1345</v>
      </c>
      <c r="C457" s="2" t="s">
        <v>88</v>
      </c>
      <c r="D457" s="2" t="s">
        <v>2390</v>
      </c>
      <c r="E457" s="2" t="s">
        <v>2391</v>
      </c>
      <c r="F457" s="2" t="s">
        <v>2568</v>
      </c>
      <c r="G457" s="2" t="s">
        <v>2569</v>
      </c>
      <c r="H457" s="2" t="s">
        <v>2570</v>
      </c>
      <c r="I457" s="2" t="s">
        <v>2571</v>
      </c>
      <c r="J457" s="2" t="s">
        <v>93</v>
      </c>
      <c r="K457" s="2" t="s">
        <v>1915</v>
      </c>
      <c r="L457" s="3">
        <v>84.15</v>
      </c>
      <c r="M457" s="3">
        <v>88.36</v>
      </c>
      <c r="N457" s="3">
        <v>179</v>
      </c>
      <c r="O457" s="2" t="s">
        <v>95</v>
      </c>
      <c r="P457" s="2" t="s">
        <v>134</v>
      </c>
      <c r="Q457" s="2" t="s">
        <v>97</v>
      </c>
      <c r="R457" s="2" t="s">
        <v>98</v>
      </c>
      <c r="S457" s="2" t="s">
        <v>98</v>
      </c>
      <c r="T457" s="2" t="s">
        <v>98</v>
      </c>
      <c r="U457" s="2" t="s">
        <v>98</v>
      </c>
      <c r="V457" s="2" t="s">
        <v>296</v>
      </c>
      <c r="W457" s="2" t="s">
        <v>103</v>
      </c>
      <c r="X457" s="2" t="s">
        <v>98</v>
      </c>
      <c r="Y457" s="2" t="s">
        <v>2572</v>
      </c>
      <c r="Z457" s="4">
        <v>186</v>
      </c>
      <c r="AA457" s="4">
        <f>=ROUNDDOWN(32.0689655172414,0)</f>
      </c>
      <c r="AB457" s="5">
        <v>5.8</v>
      </c>
      <c r="AC457" s="2" t="s">
        <v>2327</v>
      </c>
      <c r="AD457" s="4">
        <v>1</v>
      </c>
      <c r="AE457" s="4">
        <v>126</v>
      </c>
      <c r="AF457" s="6">
        <v>76</v>
      </c>
      <c r="AG457" s="6"/>
      <c r="AH457" s="7">
        <v>1</v>
      </c>
      <c r="AI457" s="4"/>
      <c r="AJ457" s="4">
        <f>=ROUNDDOWN({0},0)</f>
      </c>
      <c r="AK457" s="5"/>
      <c r="AL457" s="2" t="s">
        <v>98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 t="s">
        <v>98</v>
      </c>
      <c r="BD457" s="8" t="s">
        <v>98</v>
      </c>
      <c r="BE457" s="4" t="s">
        <v>98</v>
      </c>
      <c r="BF457" s="8" t="s">
        <v>98</v>
      </c>
      <c r="BG457" s="7" t="s">
        <v>98</v>
      </c>
      <c r="BH457" s="7" t="s">
        <v>98</v>
      </c>
      <c r="BI457" s="7"/>
      <c r="BJ457" s="4">
        <v>4</v>
      </c>
      <c r="BK457" s="8">
        <v>317.76</v>
      </c>
      <c r="BL457" s="2" t="s">
        <v>1500</v>
      </c>
      <c r="BM457" s="7"/>
      <c r="BN457" s="7"/>
      <c r="BO457" s="4"/>
      <c r="BP457" s="8"/>
      <c r="BQ457" s="4"/>
      <c r="BR457" s="8"/>
      <c r="BS457" s="7"/>
      <c r="BT457" s="7"/>
      <c r="BU457" s="2" t="s">
        <v>1376</v>
      </c>
      <c r="BV457" s="2" t="s">
        <v>95</v>
      </c>
      <c r="BW457" s="2" t="s">
        <v>98</v>
      </c>
      <c r="BX457" s="2" t="s">
        <v>98</v>
      </c>
      <c r="BY457" s="2" t="s">
        <v>110</v>
      </c>
      <c r="BZ457" s="2" t="s">
        <v>98</v>
      </c>
    </row>
    <row r="458">
      <c r="A458" s="2" t="s">
        <v>2573</v>
      </c>
      <c r="B458" s="2" t="s">
        <v>1345</v>
      </c>
      <c r="C458" s="2" t="s">
        <v>88</v>
      </c>
      <c r="D458" s="2" t="s">
        <v>2390</v>
      </c>
      <c r="E458" s="2" t="s">
        <v>2391</v>
      </c>
      <c r="F458" s="2" t="s">
        <v>2568</v>
      </c>
      <c r="G458" s="2" t="s">
        <v>2569</v>
      </c>
      <c r="H458" s="2" t="s">
        <v>2570</v>
      </c>
      <c r="I458" s="2" t="s">
        <v>2571</v>
      </c>
      <c r="J458" s="2" t="s">
        <v>93</v>
      </c>
      <c r="K458" s="2" t="s">
        <v>357</v>
      </c>
      <c r="L458" s="3">
        <v>84.15</v>
      </c>
      <c r="M458" s="3">
        <v>88.36</v>
      </c>
      <c r="N458" s="3">
        <v>179</v>
      </c>
      <c r="O458" s="2" t="s">
        <v>95</v>
      </c>
      <c r="P458" s="2" t="s">
        <v>134</v>
      </c>
      <c r="Q458" s="2" t="s">
        <v>97</v>
      </c>
      <c r="R458" s="2" t="s">
        <v>98</v>
      </c>
      <c r="S458" s="2" t="s">
        <v>2574</v>
      </c>
      <c r="T458" s="2" t="s">
        <v>98</v>
      </c>
      <c r="U458" s="2" t="s">
        <v>98</v>
      </c>
      <c r="V458" s="2" t="s">
        <v>439</v>
      </c>
      <c r="W458" s="2" t="s">
        <v>102</v>
      </c>
      <c r="X458" s="2" t="s">
        <v>98</v>
      </c>
      <c r="Y458" s="2" t="s">
        <v>366</v>
      </c>
      <c r="Z458" s="4">
        <v>199</v>
      </c>
      <c r="AA458" s="4">
        <f>=ROUNDDOWN(19.9,0)</f>
      </c>
      <c r="AB458" s="5">
        <v>10</v>
      </c>
      <c r="AC458" s="2" t="s">
        <v>2575</v>
      </c>
      <c r="AD458" s="4">
        <v>160</v>
      </c>
      <c r="AE458" s="4">
        <v>160</v>
      </c>
      <c r="AF458" s="6">
        <v>76</v>
      </c>
      <c r="AG458" s="6"/>
      <c r="AH458" s="7">
        <v>1</v>
      </c>
      <c r="AI458" s="4"/>
      <c r="AJ458" s="4">
        <f>=ROUNDDOWN({0},0)</f>
      </c>
      <c r="AK458" s="5"/>
      <c r="AL458" s="2" t="s">
        <v>98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 t="s">
        <v>98</v>
      </c>
      <c r="BD458" s="8" t="s">
        <v>98</v>
      </c>
      <c r="BE458" s="4" t="s">
        <v>98</v>
      </c>
      <c r="BF458" s="8" t="s">
        <v>98</v>
      </c>
      <c r="BG458" s="7" t="s">
        <v>98</v>
      </c>
      <c r="BH458" s="7" t="s">
        <v>98</v>
      </c>
      <c r="BI458" s="7"/>
      <c r="BJ458" s="4"/>
      <c r="BK458" s="8"/>
      <c r="BL458" s="2" t="s">
        <v>1492</v>
      </c>
      <c r="BM458" s="7"/>
      <c r="BN458" s="7"/>
      <c r="BO458" s="4"/>
      <c r="BP458" s="8"/>
      <c r="BQ458" s="4"/>
      <c r="BR458" s="8"/>
      <c r="BS458" s="7"/>
      <c r="BT458" s="7"/>
      <c r="BU458" s="2" t="s">
        <v>107</v>
      </c>
      <c r="BV458" s="2" t="s">
        <v>1355</v>
      </c>
      <c r="BW458" s="2" t="s">
        <v>497</v>
      </c>
      <c r="BX458" s="2" t="s">
        <v>2481</v>
      </c>
      <c r="BY458" s="2" t="s">
        <v>110</v>
      </c>
      <c r="BZ458" s="2" t="s">
        <v>98</v>
      </c>
    </row>
    <row r="459">
      <c r="A459" s="2" t="s">
        <v>2576</v>
      </c>
      <c r="B459" s="2" t="s">
        <v>1345</v>
      </c>
      <c r="C459" s="2" t="s">
        <v>88</v>
      </c>
      <c r="D459" s="2" t="s">
        <v>2390</v>
      </c>
      <c r="E459" s="2" t="s">
        <v>2391</v>
      </c>
      <c r="F459" s="2" t="s">
        <v>2568</v>
      </c>
      <c r="G459" s="2" t="s">
        <v>2569</v>
      </c>
      <c r="H459" s="2" t="s">
        <v>2570</v>
      </c>
      <c r="I459" s="2" t="s">
        <v>2571</v>
      </c>
      <c r="J459" s="2" t="s">
        <v>93</v>
      </c>
      <c r="K459" s="2" t="s">
        <v>2139</v>
      </c>
      <c r="L459" s="3">
        <v>84.15</v>
      </c>
      <c r="M459" s="3">
        <v>88.36</v>
      </c>
      <c r="N459" s="3">
        <v>179</v>
      </c>
      <c r="O459" s="2" t="s">
        <v>95</v>
      </c>
      <c r="P459" s="2" t="s">
        <v>134</v>
      </c>
      <c r="Q459" s="2" t="s">
        <v>97</v>
      </c>
      <c r="R459" s="2" t="s">
        <v>98</v>
      </c>
      <c r="S459" s="2" t="s">
        <v>2577</v>
      </c>
      <c r="T459" s="2" t="s">
        <v>98</v>
      </c>
      <c r="U459" s="2" t="s">
        <v>98</v>
      </c>
      <c r="V459" s="2" t="s">
        <v>439</v>
      </c>
      <c r="W459" s="2" t="s">
        <v>103</v>
      </c>
      <c r="X459" s="2" t="s">
        <v>98</v>
      </c>
      <c r="Y459" s="2" t="s">
        <v>366</v>
      </c>
      <c r="Z459" s="4">
        <v>237</v>
      </c>
      <c r="AA459" s="4">
        <f>=ROUNDDOWN(14.8125,0)</f>
      </c>
      <c r="AB459" s="5">
        <v>16</v>
      </c>
      <c r="AC459" s="2" t="s">
        <v>2327</v>
      </c>
      <c r="AD459" s="4">
        <v>157</v>
      </c>
      <c r="AE459" s="4">
        <v>627</v>
      </c>
      <c r="AF459" s="6">
        <v>76</v>
      </c>
      <c r="AG459" s="6"/>
      <c r="AH459" s="7">
        <v>1</v>
      </c>
      <c r="AI459" s="4"/>
      <c r="AJ459" s="4">
        <f>=ROUNDDOWN({0},0)</f>
      </c>
      <c r="AK459" s="5"/>
      <c r="AL459" s="2" t="s">
        <v>98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 t="s">
        <v>98</v>
      </c>
      <c r="BD459" s="8" t="s">
        <v>98</v>
      </c>
      <c r="BE459" s="4" t="s">
        <v>98</v>
      </c>
      <c r="BF459" s="8" t="s">
        <v>98</v>
      </c>
      <c r="BG459" s="7" t="s">
        <v>98</v>
      </c>
      <c r="BH459" s="7" t="s">
        <v>98</v>
      </c>
      <c r="BI459" s="7"/>
      <c r="BJ459" s="4">
        <v>7</v>
      </c>
      <c r="BK459" s="8">
        <v>556.08</v>
      </c>
      <c r="BL459" s="2" t="s">
        <v>1500</v>
      </c>
      <c r="BM459" s="7"/>
      <c r="BN459" s="7"/>
      <c r="BO459" s="4"/>
      <c r="BP459" s="8"/>
      <c r="BQ459" s="4"/>
      <c r="BR459" s="8"/>
      <c r="BS459" s="7"/>
      <c r="BT459" s="7"/>
      <c r="BU459" s="2" t="s">
        <v>107</v>
      </c>
      <c r="BV459" s="2" t="s">
        <v>1355</v>
      </c>
      <c r="BW459" s="2" t="s">
        <v>1356</v>
      </c>
      <c r="BX459" s="2" t="s">
        <v>2578</v>
      </c>
      <c r="BY459" s="2" t="s">
        <v>110</v>
      </c>
      <c r="BZ459" s="2" t="s">
        <v>98</v>
      </c>
    </row>
    <row r="460">
      <c r="A460" s="2" t="s">
        <v>2579</v>
      </c>
      <c r="B460" s="2" t="s">
        <v>1345</v>
      </c>
      <c r="C460" s="2" t="s">
        <v>88</v>
      </c>
      <c r="D460" s="2" t="s">
        <v>2390</v>
      </c>
      <c r="E460" s="2" t="s">
        <v>2391</v>
      </c>
      <c r="F460" s="2" t="s">
        <v>2580</v>
      </c>
      <c r="G460" s="2" t="s">
        <v>2581</v>
      </c>
      <c r="H460" s="2" t="s">
        <v>2582</v>
      </c>
      <c r="I460" s="2" t="s">
        <v>2500</v>
      </c>
      <c r="J460" s="2" t="s">
        <v>93</v>
      </c>
      <c r="K460" s="2" t="s">
        <v>1385</v>
      </c>
      <c r="L460" s="3">
        <v>142.86</v>
      </c>
      <c r="M460" s="3">
        <v>150</v>
      </c>
      <c r="N460" s="3">
        <v>299</v>
      </c>
      <c r="O460" s="2" t="s">
        <v>95</v>
      </c>
      <c r="P460" s="2" t="s">
        <v>134</v>
      </c>
      <c r="Q460" s="2" t="s">
        <v>97</v>
      </c>
      <c r="R460" s="2" t="s">
        <v>98</v>
      </c>
      <c r="S460" s="2" t="s">
        <v>98</v>
      </c>
      <c r="T460" s="2" t="s">
        <v>98</v>
      </c>
      <c r="U460" s="2" t="s">
        <v>117</v>
      </c>
      <c r="V460" s="2" t="s">
        <v>439</v>
      </c>
      <c r="W460" s="2" t="s">
        <v>103</v>
      </c>
      <c r="X460" s="2" t="s">
        <v>98</v>
      </c>
      <c r="Y460" s="2" t="s">
        <v>2583</v>
      </c>
      <c r="Z460" s="4">
        <v>85</v>
      </c>
      <c r="AA460" s="4">
        <f>=ROUNDDOWN(11.6438356164384,0)</f>
      </c>
      <c r="AB460" s="5">
        <v>7.3</v>
      </c>
      <c r="AC460" s="2" t="s">
        <v>1457</v>
      </c>
      <c r="AD460" s="4">
        <v>180</v>
      </c>
      <c r="AE460" s="4">
        <v>270</v>
      </c>
      <c r="AF460" s="6">
        <v>67</v>
      </c>
      <c r="AG460" s="6">
        <v>50</v>
      </c>
      <c r="AH460" s="7">
        <v>1</v>
      </c>
      <c r="AI460" s="4"/>
      <c r="AJ460" s="4">
        <f>=ROUNDDOWN({0},0)</f>
      </c>
      <c r="AK460" s="5"/>
      <c r="AL460" s="2" t="s">
        <v>98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 t="s">
        <v>98</v>
      </c>
      <c r="BD460" s="8" t="s">
        <v>98</v>
      </c>
      <c r="BE460" s="4" t="s">
        <v>98</v>
      </c>
      <c r="BF460" s="8" t="s">
        <v>98</v>
      </c>
      <c r="BG460" s="7" t="s">
        <v>98</v>
      </c>
      <c r="BH460" s="7" t="s">
        <v>98</v>
      </c>
      <c r="BI460" s="7"/>
      <c r="BJ460" s="4">
        <v>4</v>
      </c>
      <c r="BK460" s="8">
        <v>486</v>
      </c>
      <c r="BL460" s="2" t="s">
        <v>2584</v>
      </c>
      <c r="BM460" s="7"/>
      <c r="BN460" s="7"/>
      <c r="BO460" s="4"/>
      <c r="BP460" s="8"/>
      <c r="BQ460" s="4"/>
      <c r="BR460" s="8"/>
      <c r="BS460" s="7"/>
      <c r="BT460" s="7"/>
      <c r="BU460" s="2" t="s">
        <v>107</v>
      </c>
      <c r="BV460" s="2" t="s">
        <v>1355</v>
      </c>
      <c r="BW460" s="2" t="s">
        <v>1584</v>
      </c>
      <c r="BX460" s="2" t="s">
        <v>98</v>
      </c>
      <c r="BY460" s="2" t="s">
        <v>110</v>
      </c>
      <c r="BZ460" s="2" t="s">
        <v>98</v>
      </c>
    </row>
    <row r="461">
      <c r="A461" s="2" t="s">
        <v>2585</v>
      </c>
      <c r="B461" s="2" t="s">
        <v>1345</v>
      </c>
      <c r="C461" s="2" t="s">
        <v>88</v>
      </c>
      <c r="D461" s="2" t="s">
        <v>2390</v>
      </c>
      <c r="E461" s="2" t="s">
        <v>2391</v>
      </c>
      <c r="F461" s="2" t="s">
        <v>2580</v>
      </c>
      <c r="G461" s="2" t="s">
        <v>2581</v>
      </c>
      <c r="H461" s="2" t="s">
        <v>2582</v>
      </c>
      <c r="I461" s="2" t="s">
        <v>2500</v>
      </c>
      <c r="J461" s="2" t="s">
        <v>93</v>
      </c>
      <c r="K461" s="2" t="s">
        <v>133</v>
      </c>
      <c r="L461" s="3">
        <v>142.86</v>
      </c>
      <c r="M461" s="3">
        <v>150</v>
      </c>
      <c r="N461" s="3">
        <v>299</v>
      </c>
      <c r="O461" s="2" t="s">
        <v>95</v>
      </c>
      <c r="P461" s="2" t="s">
        <v>142</v>
      </c>
      <c r="Q461" s="2" t="s">
        <v>97</v>
      </c>
      <c r="R461" s="2" t="s">
        <v>98</v>
      </c>
      <c r="S461" s="2" t="s">
        <v>98</v>
      </c>
      <c r="T461" s="2" t="s">
        <v>98</v>
      </c>
      <c r="U461" s="2" t="s">
        <v>117</v>
      </c>
      <c r="V461" s="2" t="s">
        <v>439</v>
      </c>
      <c r="W461" s="2" t="s">
        <v>103</v>
      </c>
      <c r="X461" s="2" t="s">
        <v>119</v>
      </c>
      <c r="Y461" s="2" t="s">
        <v>196</v>
      </c>
      <c r="Z461" s="4">
        <v>28</v>
      </c>
      <c r="AA461" s="4">
        <f>=ROUNDDOWN(14,0)</f>
      </c>
      <c r="AB461" s="5">
        <v>2</v>
      </c>
      <c r="AC461" s="2" t="s">
        <v>1457</v>
      </c>
      <c r="AD461" s="4">
        <v>20</v>
      </c>
      <c r="AE461" s="4">
        <v>30</v>
      </c>
      <c r="AF461" s="6">
        <v>67</v>
      </c>
      <c r="AG461" s="6">
        <v>50</v>
      </c>
      <c r="AH461" s="7">
        <v>1</v>
      </c>
      <c r="AI461" s="4"/>
      <c r="AJ461" s="4">
        <f>=ROUNDDOWN({0},0)</f>
      </c>
      <c r="AK461" s="5"/>
      <c r="AL461" s="2" t="s">
        <v>98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98</v>
      </c>
      <c r="BD461" s="8" t="s">
        <v>98</v>
      </c>
      <c r="BE461" s="4" t="s">
        <v>98</v>
      </c>
      <c r="BF461" s="8" t="s">
        <v>98</v>
      </c>
      <c r="BG461" s="7" t="s">
        <v>98</v>
      </c>
      <c r="BH461" s="7" t="s">
        <v>98</v>
      </c>
      <c r="BI461" s="7"/>
      <c r="BJ461" s="4"/>
      <c r="BK461" s="8"/>
      <c r="BL461" s="2" t="s">
        <v>98</v>
      </c>
      <c r="BM461" s="7"/>
      <c r="BN461" s="7"/>
      <c r="BO461" s="4"/>
      <c r="BP461" s="8"/>
      <c r="BQ461" s="4"/>
      <c r="BR461" s="8"/>
      <c r="BS461" s="7"/>
      <c r="BT461" s="7"/>
      <c r="BU461" s="2" t="s">
        <v>1376</v>
      </c>
      <c r="BV461" s="2" t="s">
        <v>95</v>
      </c>
      <c r="BW461" s="2" t="s">
        <v>98</v>
      </c>
      <c r="BX461" s="2" t="s">
        <v>98</v>
      </c>
      <c r="BY461" s="2" t="s">
        <v>110</v>
      </c>
      <c r="BZ461" s="2" t="s">
        <v>98</v>
      </c>
    </row>
    <row r="462">
      <c r="A462" s="2" t="s">
        <v>2586</v>
      </c>
      <c r="B462" s="2" t="s">
        <v>1345</v>
      </c>
      <c r="C462" s="2" t="s">
        <v>88</v>
      </c>
      <c r="D462" s="2" t="s">
        <v>2390</v>
      </c>
      <c r="E462" s="2" t="s">
        <v>2391</v>
      </c>
      <c r="F462" s="2" t="s">
        <v>2587</v>
      </c>
      <c r="G462" s="2" t="s">
        <v>2588</v>
      </c>
      <c r="H462" s="2" t="s">
        <v>2589</v>
      </c>
      <c r="I462" s="2" t="s">
        <v>2590</v>
      </c>
      <c r="J462" s="2" t="s">
        <v>93</v>
      </c>
      <c r="K462" s="2" t="s">
        <v>277</v>
      </c>
      <c r="L462" s="3">
        <v>190</v>
      </c>
      <c r="M462" s="3">
        <v>199.5</v>
      </c>
      <c r="N462" s="3">
        <v>399</v>
      </c>
      <c r="O462" s="2" t="s">
        <v>95</v>
      </c>
      <c r="P462" s="2" t="s">
        <v>134</v>
      </c>
      <c r="Q462" s="2" t="s">
        <v>97</v>
      </c>
      <c r="R462" s="2" t="s">
        <v>98</v>
      </c>
      <c r="S462" s="2" t="s">
        <v>98</v>
      </c>
      <c r="T462" s="2" t="s">
        <v>98</v>
      </c>
      <c r="U462" s="2" t="s">
        <v>117</v>
      </c>
      <c r="V462" s="2" t="s">
        <v>439</v>
      </c>
      <c r="W462" s="2" t="s">
        <v>103</v>
      </c>
      <c r="X462" s="2" t="s">
        <v>98</v>
      </c>
      <c r="Y462" s="2" t="s">
        <v>479</v>
      </c>
      <c r="Z462" s="4">
        <v>113</v>
      </c>
      <c r="AA462" s="4">
        <f>=ROUNDDOWN(22.6,0)</f>
      </c>
      <c r="AB462" s="5">
        <v>5</v>
      </c>
      <c r="AC462" s="2" t="s">
        <v>1657</v>
      </c>
      <c r="AD462" s="4">
        <v>100</v>
      </c>
      <c r="AE462" s="4">
        <v>100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98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 t="s">
        <v>98</v>
      </c>
      <c r="BD462" s="8" t="s">
        <v>98</v>
      </c>
      <c r="BE462" s="4" t="s">
        <v>98</v>
      </c>
      <c r="BF462" s="8" t="s">
        <v>98</v>
      </c>
      <c r="BG462" s="7" t="s">
        <v>98</v>
      </c>
      <c r="BH462" s="7" t="s">
        <v>98</v>
      </c>
      <c r="BI462" s="7"/>
      <c r="BJ462" s="4"/>
      <c r="BK462" s="8"/>
      <c r="BL462" s="2" t="s">
        <v>895</v>
      </c>
      <c r="BM462" s="7"/>
      <c r="BN462" s="7"/>
      <c r="BO462" s="4"/>
      <c r="BP462" s="8"/>
      <c r="BQ462" s="4"/>
      <c r="BR462" s="8"/>
      <c r="BS462" s="7"/>
      <c r="BT462" s="7"/>
      <c r="BU462" s="2" t="s">
        <v>1376</v>
      </c>
      <c r="BV462" s="2" t="s">
        <v>95</v>
      </c>
      <c r="BW462" s="2" t="s">
        <v>98</v>
      </c>
      <c r="BX462" s="2" t="s">
        <v>98</v>
      </c>
      <c r="BY462" s="2" t="s">
        <v>110</v>
      </c>
      <c r="BZ462" s="2" t="s">
        <v>98</v>
      </c>
    </row>
    <row r="463">
      <c r="A463" s="2" t="s">
        <v>2591</v>
      </c>
      <c r="B463" s="2" t="s">
        <v>1345</v>
      </c>
      <c r="C463" s="2" t="s">
        <v>88</v>
      </c>
      <c r="D463" s="2" t="s">
        <v>2390</v>
      </c>
      <c r="E463" s="2" t="s">
        <v>2391</v>
      </c>
      <c r="F463" s="2" t="s">
        <v>2587</v>
      </c>
      <c r="G463" s="2" t="s">
        <v>2588</v>
      </c>
      <c r="H463" s="2" t="s">
        <v>2589</v>
      </c>
      <c r="I463" s="2" t="s">
        <v>2590</v>
      </c>
      <c r="J463" s="2" t="s">
        <v>93</v>
      </c>
      <c r="K463" s="2" t="s">
        <v>1439</v>
      </c>
      <c r="L463" s="3">
        <v>190</v>
      </c>
      <c r="M463" s="3">
        <v>199.5</v>
      </c>
      <c r="N463" s="3">
        <v>399</v>
      </c>
      <c r="O463" s="2" t="s">
        <v>95</v>
      </c>
      <c r="P463" s="2" t="s">
        <v>134</v>
      </c>
      <c r="Q463" s="2" t="s">
        <v>97</v>
      </c>
      <c r="R463" s="2" t="s">
        <v>98</v>
      </c>
      <c r="S463" s="2" t="s">
        <v>98</v>
      </c>
      <c r="T463" s="2" t="s">
        <v>98</v>
      </c>
      <c r="U463" s="2" t="s">
        <v>117</v>
      </c>
      <c r="V463" s="2" t="s">
        <v>439</v>
      </c>
      <c r="W463" s="2" t="s">
        <v>103</v>
      </c>
      <c r="X463" s="2" t="s">
        <v>98</v>
      </c>
      <c r="Y463" s="2" t="s">
        <v>1547</v>
      </c>
      <c r="Z463" s="4">
        <v>127</v>
      </c>
      <c r="AA463" s="4">
        <f>=ROUNDDOWN(12.7,0)</f>
      </c>
      <c r="AB463" s="5">
        <v>10</v>
      </c>
      <c r="AC463" s="2" t="s">
        <v>222</v>
      </c>
      <c r="AD463" s="4">
        <v>150</v>
      </c>
      <c r="AE463" s="4">
        <v>250</v>
      </c>
      <c r="AF463" s="6">
        <v>65</v>
      </c>
      <c r="AG463" s="6">
        <v>48</v>
      </c>
      <c r="AH463" s="7">
        <v>1</v>
      </c>
      <c r="AI463" s="4"/>
      <c r="AJ463" s="4">
        <f>=ROUNDDOWN({0},0)</f>
      </c>
      <c r="AK463" s="5"/>
      <c r="AL463" s="2" t="s">
        <v>98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 t="s">
        <v>98</v>
      </c>
      <c r="BD463" s="8" t="s">
        <v>98</v>
      </c>
      <c r="BE463" s="4" t="s">
        <v>98</v>
      </c>
      <c r="BF463" s="8" t="s">
        <v>98</v>
      </c>
      <c r="BG463" s="7" t="s">
        <v>98</v>
      </c>
      <c r="BH463" s="7" t="s">
        <v>98</v>
      </c>
      <c r="BI463" s="7"/>
      <c r="BJ463" s="4">
        <v>11</v>
      </c>
      <c r="BK463" s="8">
        <v>1723.02</v>
      </c>
      <c r="BL463" s="2" t="s">
        <v>1625</v>
      </c>
      <c r="BM463" s="7"/>
      <c r="BN463" s="7"/>
      <c r="BO463" s="4"/>
      <c r="BP463" s="8"/>
      <c r="BQ463" s="4"/>
      <c r="BR463" s="8"/>
      <c r="BS463" s="7"/>
      <c r="BT463" s="7"/>
      <c r="BU463" s="2" t="s">
        <v>107</v>
      </c>
      <c r="BV463" s="2" t="s">
        <v>1355</v>
      </c>
      <c r="BW463" s="2" t="s">
        <v>1550</v>
      </c>
      <c r="BX463" s="2" t="s">
        <v>2592</v>
      </c>
      <c r="BY463" s="2" t="s">
        <v>110</v>
      </c>
      <c r="BZ463" s="2" t="s">
        <v>98</v>
      </c>
    </row>
    <row r="464">
      <c r="A464" s="2" t="s">
        <v>2593</v>
      </c>
      <c r="B464" s="2" t="s">
        <v>1345</v>
      </c>
      <c r="C464" s="2" t="s">
        <v>88</v>
      </c>
      <c r="D464" s="2" t="s">
        <v>2390</v>
      </c>
      <c r="E464" s="2" t="s">
        <v>2391</v>
      </c>
      <c r="F464" s="2" t="s">
        <v>2587</v>
      </c>
      <c r="G464" s="2" t="s">
        <v>2588</v>
      </c>
      <c r="H464" s="2" t="s">
        <v>2589</v>
      </c>
      <c r="I464" s="2" t="s">
        <v>2590</v>
      </c>
      <c r="J464" s="2" t="s">
        <v>93</v>
      </c>
      <c r="K464" s="2" t="s">
        <v>133</v>
      </c>
      <c r="L464" s="3">
        <v>190</v>
      </c>
      <c r="M464" s="3">
        <v>199.5</v>
      </c>
      <c r="N464" s="3">
        <v>399</v>
      </c>
      <c r="O464" s="2" t="s">
        <v>95</v>
      </c>
      <c r="P464" s="2" t="s">
        <v>134</v>
      </c>
      <c r="Q464" s="2" t="s">
        <v>97</v>
      </c>
      <c r="R464" s="2" t="s">
        <v>98</v>
      </c>
      <c r="S464" s="2" t="s">
        <v>98</v>
      </c>
      <c r="T464" s="2" t="s">
        <v>98</v>
      </c>
      <c r="U464" s="2" t="s">
        <v>117</v>
      </c>
      <c r="V464" s="2" t="s">
        <v>439</v>
      </c>
      <c r="W464" s="2" t="s">
        <v>103</v>
      </c>
      <c r="X464" s="2" t="s">
        <v>98</v>
      </c>
      <c r="Y464" s="2" t="s">
        <v>2594</v>
      </c>
      <c r="Z464" s="4">
        <v>90</v>
      </c>
      <c r="AA464" s="4">
        <f>=ROUNDDOWN(11.25,0)</f>
      </c>
      <c r="AB464" s="5">
        <v>8</v>
      </c>
      <c r="AC464" s="2" t="s">
        <v>2077</v>
      </c>
      <c r="AD464" s="4">
        <v>100</v>
      </c>
      <c r="AE464" s="4">
        <v>200</v>
      </c>
      <c r="AF464" s="6">
        <v>65</v>
      </c>
      <c r="AG464" s="6">
        <v>48</v>
      </c>
      <c r="AH464" s="7">
        <v>1</v>
      </c>
      <c r="AI464" s="4"/>
      <c r="AJ464" s="4">
        <f>=ROUNDDOWN({0},0)</f>
      </c>
      <c r="AK464" s="5"/>
      <c r="AL464" s="2" t="s">
        <v>98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 t="s">
        <v>98</v>
      </c>
      <c r="BD464" s="8" t="s">
        <v>98</v>
      </c>
      <c r="BE464" s="4" t="s">
        <v>98</v>
      </c>
      <c r="BF464" s="8" t="s">
        <v>98</v>
      </c>
      <c r="BG464" s="7" t="s">
        <v>98</v>
      </c>
      <c r="BH464" s="7" t="s">
        <v>98</v>
      </c>
      <c r="BI464" s="7"/>
      <c r="BJ464" s="4"/>
      <c r="BK464" s="8"/>
      <c r="BL464" s="2" t="s">
        <v>1379</v>
      </c>
      <c r="BM464" s="7"/>
      <c r="BN464" s="7"/>
      <c r="BO464" s="4"/>
      <c r="BP464" s="8"/>
      <c r="BQ464" s="4"/>
      <c r="BR464" s="8"/>
      <c r="BS464" s="7"/>
      <c r="BT464" s="7"/>
      <c r="BU464" s="2" t="s">
        <v>1376</v>
      </c>
      <c r="BV464" s="2" t="s">
        <v>95</v>
      </c>
      <c r="BW464" s="2" t="s">
        <v>98</v>
      </c>
      <c r="BX464" s="2" t="s">
        <v>98</v>
      </c>
      <c r="BY464" s="2" t="s">
        <v>110</v>
      </c>
      <c r="BZ464" s="2" t="s">
        <v>98</v>
      </c>
    </row>
    <row r="465">
      <c r="A465" s="2" t="s">
        <v>2595</v>
      </c>
      <c r="B465" s="2" t="s">
        <v>1345</v>
      </c>
      <c r="C465" s="2" t="s">
        <v>88</v>
      </c>
      <c r="D465" s="2" t="s">
        <v>2390</v>
      </c>
      <c r="E465" s="2" t="s">
        <v>2391</v>
      </c>
      <c r="F465" s="2" t="s">
        <v>2596</v>
      </c>
      <c r="G465" s="2" t="s">
        <v>2597</v>
      </c>
      <c r="H465" s="2" t="s">
        <v>2598</v>
      </c>
      <c r="I465" s="2" t="s">
        <v>2396</v>
      </c>
      <c r="J465" s="2" t="s">
        <v>93</v>
      </c>
      <c r="K465" s="2" t="s">
        <v>277</v>
      </c>
      <c r="L465" s="3">
        <v>162</v>
      </c>
      <c r="M465" s="3">
        <v>170.1</v>
      </c>
      <c r="N465" s="3">
        <v>349</v>
      </c>
      <c r="O465" s="2" t="s">
        <v>95</v>
      </c>
      <c r="P465" s="2" t="s">
        <v>96</v>
      </c>
      <c r="Q465" s="2" t="s">
        <v>97</v>
      </c>
      <c r="R465" s="2" t="s">
        <v>98</v>
      </c>
      <c r="S465" s="2" t="s">
        <v>98</v>
      </c>
      <c r="T465" s="2" t="s">
        <v>98</v>
      </c>
      <c r="U465" s="2" t="s">
        <v>117</v>
      </c>
      <c r="V465" s="2" t="s">
        <v>296</v>
      </c>
      <c r="W465" s="2" t="s">
        <v>103</v>
      </c>
      <c r="X465" s="2" t="s">
        <v>98</v>
      </c>
      <c r="Y465" s="2" t="s">
        <v>2599</v>
      </c>
      <c r="Z465" s="4">
        <v>531</v>
      </c>
      <c r="AA465" s="4">
        <f>=ROUNDDOWN(40.8461538461538,0)</f>
      </c>
      <c r="AB465" s="5">
        <v>13</v>
      </c>
      <c r="AC465" s="2" t="s">
        <v>2600</v>
      </c>
      <c r="AD465" s="4">
        <v>170</v>
      </c>
      <c r="AE465" s="4">
        <v>360</v>
      </c>
      <c r="AF465" s="6">
        <v>65</v>
      </c>
      <c r="AG465" s="6">
        <v>48</v>
      </c>
      <c r="AH465" s="7">
        <v>1</v>
      </c>
      <c r="AI465" s="4"/>
      <c r="AJ465" s="4">
        <f>=ROUNDDOWN({0},0)</f>
      </c>
      <c r="AK465" s="5"/>
      <c r="AL465" s="2" t="s">
        <v>98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98</v>
      </c>
      <c r="BD465" s="8" t="s">
        <v>98</v>
      </c>
      <c r="BE465" s="4" t="s">
        <v>98</v>
      </c>
      <c r="BF465" s="8" t="s">
        <v>98</v>
      </c>
      <c r="BG465" s="7" t="s">
        <v>98</v>
      </c>
      <c r="BH465" s="7" t="s">
        <v>98</v>
      </c>
      <c r="BI465" s="7"/>
      <c r="BJ465" s="4">
        <v>10</v>
      </c>
      <c r="BK465" s="8">
        <v>1590.17</v>
      </c>
      <c r="BL465" s="2" t="s">
        <v>1379</v>
      </c>
      <c r="BM465" s="7"/>
      <c r="BN465" s="7"/>
      <c r="BO465" s="4"/>
      <c r="BP465" s="8"/>
      <c r="BQ465" s="4"/>
      <c r="BR465" s="8"/>
      <c r="BS465" s="7"/>
      <c r="BT465" s="7"/>
      <c r="BU465" s="2" t="s">
        <v>1376</v>
      </c>
      <c r="BV465" s="2" t="s">
        <v>95</v>
      </c>
      <c r="BW465" s="2" t="s">
        <v>98</v>
      </c>
      <c r="BX465" s="2" t="s">
        <v>98</v>
      </c>
      <c r="BY465" s="2" t="s">
        <v>110</v>
      </c>
      <c r="BZ465" s="2" t="s">
        <v>98</v>
      </c>
    </row>
    <row r="466">
      <c r="A466" s="2" t="s">
        <v>2601</v>
      </c>
      <c r="B466" s="2" t="s">
        <v>1345</v>
      </c>
      <c r="C466" s="2" t="s">
        <v>88</v>
      </c>
      <c r="D466" s="2" t="s">
        <v>2390</v>
      </c>
      <c r="E466" s="2" t="s">
        <v>2391</v>
      </c>
      <c r="F466" s="2" t="s">
        <v>2596</v>
      </c>
      <c r="G466" s="2" t="s">
        <v>2597</v>
      </c>
      <c r="H466" s="2" t="s">
        <v>2598</v>
      </c>
      <c r="I466" s="2" t="s">
        <v>2392</v>
      </c>
      <c r="J466" s="2" t="s">
        <v>93</v>
      </c>
      <c r="K466" s="2" t="s">
        <v>133</v>
      </c>
      <c r="L466" s="3">
        <v>162</v>
      </c>
      <c r="M466" s="3">
        <v>170.1</v>
      </c>
      <c r="N466" s="3">
        <v>349</v>
      </c>
      <c r="O466" s="2" t="s">
        <v>95</v>
      </c>
      <c r="P466" s="2" t="s">
        <v>163</v>
      </c>
      <c r="Q466" s="2" t="s">
        <v>97</v>
      </c>
      <c r="R466" s="2" t="s">
        <v>98</v>
      </c>
      <c r="S466" s="2" t="s">
        <v>2602</v>
      </c>
      <c r="T466" s="2" t="s">
        <v>98</v>
      </c>
      <c r="U466" s="2" t="s">
        <v>117</v>
      </c>
      <c r="V466" s="2" t="s">
        <v>439</v>
      </c>
      <c r="W466" s="2" t="s">
        <v>103</v>
      </c>
      <c r="X466" s="2" t="s">
        <v>98</v>
      </c>
      <c r="Y466" s="2" t="s">
        <v>2603</v>
      </c>
      <c r="Z466" s="4">
        <v>108</v>
      </c>
      <c r="AA466" s="4">
        <f>=ROUNDDOWN(4.67532467532468,0)</f>
      </c>
      <c r="AB466" s="5">
        <v>23.1</v>
      </c>
      <c r="AC466" s="2" t="s">
        <v>167</v>
      </c>
      <c r="AD466" s="4">
        <v>50</v>
      </c>
      <c r="AE466" s="4">
        <v>506</v>
      </c>
      <c r="AF466" s="6">
        <v>65</v>
      </c>
      <c r="AG466" s="6">
        <v>48</v>
      </c>
      <c r="AH466" s="7">
        <v>1</v>
      </c>
      <c r="AI466" s="4"/>
      <c r="AJ466" s="4">
        <f>=ROUNDDOWN({0},0)</f>
      </c>
      <c r="AK466" s="5"/>
      <c r="AL466" s="2" t="s">
        <v>2604</v>
      </c>
      <c r="AM466" s="4">
        <v>300</v>
      </c>
      <c r="AN466" s="4">
        <v>505</v>
      </c>
      <c r="AO466" s="7">
        <v>0</v>
      </c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 t="s">
        <v>98</v>
      </c>
      <c r="BD466" s="8" t="s">
        <v>98</v>
      </c>
      <c r="BE466" s="4" t="s">
        <v>98</v>
      </c>
      <c r="BF466" s="8" t="s">
        <v>98</v>
      </c>
      <c r="BG466" s="7" t="s">
        <v>98</v>
      </c>
      <c r="BH466" s="7" t="s">
        <v>98</v>
      </c>
      <c r="BI466" s="7"/>
      <c r="BJ466" s="4">
        <v>30</v>
      </c>
      <c r="BK466" s="8">
        <v>4691.3</v>
      </c>
      <c r="BL466" s="2" t="s">
        <v>1575</v>
      </c>
      <c r="BM466" s="7"/>
      <c r="BN466" s="7"/>
      <c r="BO466" s="4"/>
      <c r="BP466" s="8"/>
      <c r="BQ466" s="4"/>
      <c r="BR466" s="8"/>
      <c r="BS466" s="7"/>
      <c r="BT466" s="7"/>
      <c r="BU466" s="2" t="s">
        <v>107</v>
      </c>
      <c r="BV466" s="2" t="s">
        <v>1355</v>
      </c>
      <c r="BW466" s="2" t="s">
        <v>2605</v>
      </c>
      <c r="BX466" s="2" t="s">
        <v>2606</v>
      </c>
      <c r="BY466" s="2" t="s">
        <v>110</v>
      </c>
      <c r="BZ466" s="2" t="s">
        <v>98</v>
      </c>
    </row>
    <row r="467">
      <c r="A467" s="2" t="s">
        <v>2607</v>
      </c>
      <c r="B467" s="2" t="s">
        <v>1345</v>
      </c>
      <c r="C467" s="2" t="s">
        <v>88</v>
      </c>
      <c r="D467" s="2" t="s">
        <v>2390</v>
      </c>
      <c r="E467" s="2" t="s">
        <v>2391</v>
      </c>
      <c r="F467" s="2" t="s">
        <v>2596</v>
      </c>
      <c r="G467" s="2" t="s">
        <v>2597</v>
      </c>
      <c r="H467" s="2" t="s">
        <v>2598</v>
      </c>
      <c r="I467" s="2" t="s">
        <v>2396</v>
      </c>
      <c r="J467" s="2" t="s">
        <v>93</v>
      </c>
      <c r="K467" s="2" t="s">
        <v>2608</v>
      </c>
      <c r="L467" s="3">
        <v>162</v>
      </c>
      <c r="M467" s="3">
        <v>170.1</v>
      </c>
      <c r="N467" s="3">
        <v>349</v>
      </c>
      <c r="O467" s="2" t="s">
        <v>95</v>
      </c>
      <c r="P467" s="2" t="s">
        <v>134</v>
      </c>
      <c r="Q467" s="2" t="s">
        <v>97</v>
      </c>
      <c r="R467" s="2" t="s">
        <v>98</v>
      </c>
      <c r="S467" s="2" t="s">
        <v>98</v>
      </c>
      <c r="T467" s="2" t="s">
        <v>98</v>
      </c>
      <c r="U467" s="2" t="s">
        <v>117</v>
      </c>
      <c r="V467" s="2" t="s">
        <v>296</v>
      </c>
      <c r="W467" s="2" t="s">
        <v>103</v>
      </c>
      <c r="X467" s="2" t="s">
        <v>98</v>
      </c>
      <c r="Y467" s="2" t="s">
        <v>1635</v>
      </c>
      <c r="Z467" s="4">
        <v>206</v>
      </c>
      <c r="AA467" s="4">
        <f>=ROUNDDOWN(25.75,0)</f>
      </c>
      <c r="AB467" s="5">
        <v>8</v>
      </c>
      <c r="AC467" s="2" t="s">
        <v>1562</v>
      </c>
      <c r="AD467" s="4">
        <v>100</v>
      </c>
      <c r="AE467" s="4">
        <v>100</v>
      </c>
      <c r="AF467" s="6">
        <v>65</v>
      </c>
      <c r="AG467" s="6">
        <v>48</v>
      </c>
      <c r="AH467" s="7">
        <v>1</v>
      </c>
      <c r="AI467" s="4"/>
      <c r="AJ467" s="4">
        <f>=ROUNDDOWN({0},0)</f>
      </c>
      <c r="AK467" s="5"/>
      <c r="AL467" s="2" t="s">
        <v>98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 t="s">
        <v>98</v>
      </c>
      <c r="BD467" s="8" t="s">
        <v>98</v>
      </c>
      <c r="BE467" s="4" t="s">
        <v>98</v>
      </c>
      <c r="BF467" s="8" t="s">
        <v>98</v>
      </c>
      <c r="BG467" s="7" t="s">
        <v>98</v>
      </c>
      <c r="BH467" s="7" t="s">
        <v>98</v>
      </c>
      <c r="BI467" s="7"/>
      <c r="BJ467" s="4">
        <v>6</v>
      </c>
      <c r="BK467" s="8">
        <v>887.54</v>
      </c>
      <c r="BL467" s="2" t="s">
        <v>1379</v>
      </c>
      <c r="BM467" s="7"/>
      <c r="BN467" s="7"/>
      <c r="BO467" s="4"/>
      <c r="BP467" s="8"/>
      <c r="BQ467" s="4"/>
      <c r="BR467" s="8"/>
      <c r="BS467" s="7"/>
      <c r="BT467" s="7"/>
      <c r="BU467" s="2" t="s">
        <v>1376</v>
      </c>
      <c r="BV467" s="2" t="s">
        <v>95</v>
      </c>
      <c r="BW467" s="2" t="s">
        <v>98</v>
      </c>
      <c r="BX467" s="2" t="s">
        <v>98</v>
      </c>
      <c r="BY467" s="2" t="s">
        <v>110</v>
      </c>
      <c r="BZ467" s="2" t="s">
        <v>98</v>
      </c>
    </row>
    <row r="468">
      <c r="A468" s="2" t="s">
        <v>2609</v>
      </c>
      <c r="B468" s="2" t="s">
        <v>1345</v>
      </c>
      <c r="C468" s="2" t="s">
        <v>88</v>
      </c>
      <c r="D468" s="2" t="s">
        <v>2390</v>
      </c>
      <c r="E468" s="2" t="s">
        <v>2391</v>
      </c>
      <c r="F468" s="2" t="s">
        <v>2596</v>
      </c>
      <c r="G468" s="2" t="s">
        <v>2597</v>
      </c>
      <c r="H468" s="2" t="s">
        <v>2598</v>
      </c>
      <c r="I468" s="2" t="s">
        <v>2396</v>
      </c>
      <c r="J468" s="2" t="s">
        <v>93</v>
      </c>
      <c r="K468" s="2" t="s">
        <v>1423</v>
      </c>
      <c r="L468" s="3">
        <v>162</v>
      </c>
      <c r="M468" s="3">
        <v>170.1</v>
      </c>
      <c r="N468" s="3">
        <v>349</v>
      </c>
      <c r="O468" s="2" t="s">
        <v>95</v>
      </c>
      <c r="P468" s="2" t="s">
        <v>163</v>
      </c>
      <c r="Q468" s="2" t="s">
        <v>97</v>
      </c>
      <c r="R468" s="2" t="s">
        <v>98</v>
      </c>
      <c r="S468" s="2" t="s">
        <v>98</v>
      </c>
      <c r="T468" s="2" t="s">
        <v>98</v>
      </c>
      <c r="U468" s="2" t="s">
        <v>117</v>
      </c>
      <c r="V468" s="2" t="s">
        <v>439</v>
      </c>
      <c r="W468" s="2" t="s">
        <v>103</v>
      </c>
      <c r="X468" s="2" t="s">
        <v>98</v>
      </c>
      <c r="Y468" s="2" t="s">
        <v>2304</v>
      </c>
      <c r="Z468" s="4">
        <v>235</v>
      </c>
      <c r="AA468" s="4">
        <f>=ROUNDDOWN(12.5668449197861,0)</f>
      </c>
      <c r="AB468" s="5">
        <v>18.7</v>
      </c>
      <c r="AC468" s="2" t="s">
        <v>167</v>
      </c>
      <c r="AD468" s="4">
        <v>60</v>
      </c>
      <c r="AE468" s="4">
        <v>630</v>
      </c>
      <c r="AF468" s="6">
        <v>65</v>
      </c>
      <c r="AG468" s="6">
        <v>48</v>
      </c>
      <c r="AH468" s="7">
        <v>1</v>
      </c>
      <c r="AI468" s="4"/>
      <c r="AJ468" s="4">
        <f>=ROUNDDOWN({0},0)</f>
      </c>
      <c r="AK468" s="5"/>
      <c r="AL468" s="2" t="s">
        <v>2604</v>
      </c>
      <c r="AM468" s="4">
        <v>110</v>
      </c>
      <c r="AN468" s="4">
        <v>315</v>
      </c>
      <c r="AO468" s="7">
        <v>0</v>
      </c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 t="s">
        <v>98</v>
      </c>
      <c r="BD468" s="8" t="s">
        <v>98</v>
      </c>
      <c r="BE468" s="4" t="s">
        <v>98</v>
      </c>
      <c r="BF468" s="8" t="s">
        <v>98</v>
      </c>
      <c r="BG468" s="7" t="s">
        <v>98</v>
      </c>
      <c r="BH468" s="7" t="s">
        <v>98</v>
      </c>
      <c r="BI468" s="7"/>
      <c r="BJ468" s="4">
        <v>12</v>
      </c>
      <c r="BK468" s="8">
        <v>1971.06</v>
      </c>
      <c r="BL468" s="2" t="s">
        <v>2610</v>
      </c>
      <c r="BM468" s="7"/>
      <c r="BN468" s="7"/>
      <c r="BO468" s="4"/>
      <c r="BP468" s="8"/>
      <c r="BQ468" s="4"/>
      <c r="BR468" s="8"/>
      <c r="BS468" s="7"/>
      <c r="BT468" s="7"/>
      <c r="BU468" s="2" t="s">
        <v>1376</v>
      </c>
      <c r="BV468" s="2" t="s">
        <v>1355</v>
      </c>
      <c r="BW468" s="2" t="s">
        <v>98</v>
      </c>
      <c r="BX468" s="2" t="s">
        <v>98</v>
      </c>
      <c r="BY468" s="2" t="s">
        <v>110</v>
      </c>
      <c r="BZ468" s="2" t="s">
        <v>98</v>
      </c>
    </row>
    <row r="469">
      <c r="A469" s="2" t="s">
        <v>2611</v>
      </c>
      <c r="B469" s="2" t="s">
        <v>1345</v>
      </c>
      <c r="C469" s="2" t="s">
        <v>88</v>
      </c>
      <c r="D469" s="2" t="s">
        <v>2390</v>
      </c>
      <c r="E469" s="2" t="s">
        <v>2391</v>
      </c>
      <c r="F469" s="2" t="s">
        <v>2612</v>
      </c>
      <c r="G469" s="2" t="s">
        <v>266</v>
      </c>
      <c r="H469" s="2" t="s">
        <v>2613</v>
      </c>
      <c r="I469" s="2" t="s">
        <v>2433</v>
      </c>
      <c r="J469" s="2" t="s">
        <v>93</v>
      </c>
      <c r="K469" s="2" t="s">
        <v>1439</v>
      </c>
      <c r="L469" s="3">
        <v>128.7</v>
      </c>
      <c r="M469" s="3">
        <v>135.14</v>
      </c>
      <c r="N469" s="3">
        <v>279</v>
      </c>
      <c r="O469" s="2" t="s">
        <v>95</v>
      </c>
      <c r="P469" s="2" t="s">
        <v>134</v>
      </c>
      <c r="Q469" s="2" t="s">
        <v>97</v>
      </c>
      <c r="R469" s="2" t="s">
        <v>98</v>
      </c>
      <c r="S469" s="2" t="s">
        <v>2614</v>
      </c>
      <c r="T469" s="2" t="s">
        <v>98</v>
      </c>
      <c r="U469" s="2" t="s">
        <v>98</v>
      </c>
      <c r="V469" s="2" t="s">
        <v>439</v>
      </c>
      <c r="W469" s="2" t="s">
        <v>103</v>
      </c>
      <c r="X469" s="2" t="s">
        <v>98</v>
      </c>
      <c r="Y469" s="2" t="s">
        <v>1451</v>
      </c>
      <c r="Z469" s="4">
        <v>78</v>
      </c>
      <c r="AA469" s="4">
        <f>=ROUNDDOWN(11.1428571428571,0)</f>
      </c>
      <c r="AB469" s="5">
        <v>7</v>
      </c>
      <c r="AC469" s="2" t="s">
        <v>222</v>
      </c>
      <c r="AD469" s="4">
        <v>100</v>
      </c>
      <c r="AE469" s="4">
        <v>200</v>
      </c>
      <c r="AF469" s="6">
        <v>65</v>
      </c>
      <c r="AG469" s="6">
        <v>48</v>
      </c>
      <c r="AH469" s="7">
        <v>1</v>
      </c>
      <c r="AI469" s="4"/>
      <c r="AJ469" s="4">
        <f>=ROUNDDOWN({0},0)</f>
      </c>
      <c r="AK469" s="5"/>
      <c r="AL469" s="2" t="s">
        <v>98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/>
      <c r="BD469" s="8"/>
      <c r="BE469" s="4"/>
      <c r="BF469" s="8"/>
      <c r="BG469" s="7"/>
      <c r="BH469" s="7"/>
      <c r="BI469" s="7"/>
      <c r="BJ469" s="4"/>
      <c r="BK469" s="8"/>
      <c r="BL469" s="2" t="s">
        <v>98</v>
      </c>
      <c r="BM469" s="7"/>
      <c r="BN469" s="7"/>
      <c r="BO469" s="4"/>
      <c r="BP469" s="8"/>
      <c r="BQ469" s="4"/>
      <c r="BR469" s="8"/>
      <c r="BS469" s="7"/>
      <c r="BT469" s="7"/>
      <c r="BU469" s="2" t="s">
        <v>107</v>
      </c>
      <c r="BV469" s="2" t="s">
        <v>1355</v>
      </c>
      <c r="BW469" s="2" t="s">
        <v>1550</v>
      </c>
      <c r="BX469" s="2" t="s">
        <v>2615</v>
      </c>
      <c r="BY469" s="2" t="s">
        <v>110</v>
      </c>
      <c r="BZ469" s="2" t="s">
        <v>98</v>
      </c>
    </row>
    <row r="470">
      <c r="A470" s="2" t="s">
        <v>2616</v>
      </c>
      <c r="B470" s="2" t="s">
        <v>1345</v>
      </c>
      <c r="C470" s="2" t="s">
        <v>88</v>
      </c>
      <c r="D470" s="2" t="s">
        <v>2390</v>
      </c>
      <c r="E470" s="2" t="s">
        <v>2391</v>
      </c>
      <c r="F470" s="2" t="s">
        <v>2617</v>
      </c>
      <c r="G470" s="2" t="s">
        <v>2618</v>
      </c>
      <c r="H470" s="2" t="s">
        <v>2619</v>
      </c>
      <c r="I470" s="2" t="s">
        <v>2620</v>
      </c>
      <c r="J470" s="2" t="s">
        <v>93</v>
      </c>
      <c r="K470" s="2" t="s">
        <v>2139</v>
      </c>
      <c r="L470" s="3">
        <v>171</v>
      </c>
      <c r="M470" s="3">
        <v>179.55</v>
      </c>
      <c r="N470" s="3">
        <v>359</v>
      </c>
      <c r="O470" s="2" t="s">
        <v>95</v>
      </c>
      <c r="P470" s="2" t="s">
        <v>142</v>
      </c>
      <c r="Q470" s="2" t="s">
        <v>97</v>
      </c>
      <c r="R470" s="2" t="s">
        <v>98</v>
      </c>
      <c r="S470" s="2" t="s">
        <v>98</v>
      </c>
      <c r="T470" s="2" t="s">
        <v>98</v>
      </c>
      <c r="U470" s="2" t="s">
        <v>117</v>
      </c>
      <c r="V470" s="2" t="s">
        <v>439</v>
      </c>
      <c r="W470" s="2" t="s">
        <v>103</v>
      </c>
      <c r="X470" s="2" t="s">
        <v>204</v>
      </c>
      <c r="Y470" s="2" t="s">
        <v>2621</v>
      </c>
      <c r="Z470" s="4">
        <v>65</v>
      </c>
      <c r="AA470" s="4">
        <f>=ROUNDDOWN(108.333333333333,0)</f>
      </c>
      <c r="AB470" s="5">
        <v>0.6</v>
      </c>
      <c r="AC470" s="2" t="s">
        <v>1425</v>
      </c>
      <c r="AD470" s="4">
        <v>98</v>
      </c>
      <c r="AE470" s="4">
        <v>98</v>
      </c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98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/>
      <c r="BD470" s="8"/>
      <c r="BE470" s="4"/>
      <c r="BF470" s="8"/>
      <c r="BG470" s="7"/>
      <c r="BH470" s="7"/>
      <c r="BI470" s="7"/>
      <c r="BJ470" s="4"/>
      <c r="BK470" s="8"/>
      <c r="BL470" s="2" t="s">
        <v>98</v>
      </c>
      <c r="BM470" s="7"/>
      <c r="BN470" s="7"/>
      <c r="BO470" s="4"/>
      <c r="BP470" s="8"/>
      <c r="BQ470" s="4"/>
      <c r="BR470" s="8"/>
      <c r="BS470" s="7"/>
      <c r="BT470" s="7"/>
      <c r="BU470" s="2" t="s">
        <v>1376</v>
      </c>
      <c r="BV470" s="2" t="s">
        <v>95</v>
      </c>
      <c r="BW470" s="2" t="s">
        <v>98</v>
      </c>
      <c r="BX470" s="2" t="s">
        <v>98</v>
      </c>
      <c r="BY470" s="2" t="s">
        <v>110</v>
      </c>
      <c r="BZ470" s="2" t="s">
        <v>98</v>
      </c>
    </row>
    <row r="471">
      <c r="A471" s="2" t="s">
        <v>2622</v>
      </c>
      <c r="B471" s="2" t="s">
        <v>1345</v>
      </c>
      <c r="C471" s="2" t="s">
        <v>88</v>
      </c>
      <c r="D471" s="2" t="s">
        <v>2390</v>
      </c>
      <c r="E471" s="2" t="s">
        <v>2391</v>
      </c>
      <c r="F471" s="2" t="s">
        <v>2623</v>
      </c>
      <c r="G471" s="2" t="s">
        <v>2624</v>
      </c>
      <c r="H471" s="2" t="s">
        <v>2625</v>
      </c>
      <c r="I471" s="2" t="s">
        <v>2433</v>
      </c>
      <c r="J471" s="2" t="s">
        <v>93</v>
      </c>
      <c r="K471" s="2" t="s">
        <v>127</v>
      </c>
      <c r="L471" s="3">
        <v>220</v>
      </c>
      <c r="M471" s="3">
        <v>231</v>
      </c>
      <c r="N471" s="3">
        <v>459</v>
      </c>
      <c r="O471" s="2" t="s">
        <v>95</v>
      </c>
      <c r="P471" s="2" t="s">
        <v>134</v>
      </c>
      <c r="Q471" s="2" t="s">
        <v>97</v>
      </c>
      <c r="R471" s="2" t="s">
        <v>98</v>
      </c>
      <c r="S471" s="2" t="s">
        <v>2626</v>
      </c>
      <c r="T471" s="2" t="s">
        <v>98</v>
      </c>
      <c r="U471" s="2" t="s">
        <v>98</v>
      </c>
      <c r="V471" s="2" t="s">
        <v>439</v>
      </c>
      <c r="W471" s="2" t="s">
        <v>204</v>
      </c>
      <c r="X471" s="2" t="s">
        <v>103</v>
      </c>
      <c r="Y471" s="2" t="s">
        <v>1510</v>
      </c>
      <c r="Z471" s="4">
        <v>238</v>
      </c>
      <c r="AA471" s="4">
        <f>=ROUNDDOWN(21.6363636363636,0)</f>
      </c>
      <c r="AB471" s="5">
        <v>11</v>
      </c>
      <c r="AC471" s="2" t="s">
        <v>1562</v>
      </c>
      <c r="AD471" s="4">
        <v>100</v>
      </c>
      <c r="AE471" s="4">
        <v>100</v>
      </c>
      <c r="AF471" s="6">
        <v>65</v>
      </c>
      <c r="AG471" s="6">
        <v>48</v>
      </c>
      <c r="AH471" s="7">
        <v>1</v>
      </c>
      <c r="AI471" s="4"/>
      <c r="AJ471" s="4">
        <f>=ROUNDDOWN({0},0)</f>
      </c>
      <c r="AK471" s="5"/>
      <c r="AL471" s="2" t="s">
        <v>98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/>
      <c r="BD471" s="8"/>
      <c r="BE471" s="4"/>
      <c r="BF471" s="8"/>
      <c r="BG471" s="7"/>
      <c r="BH471" s="7"/>
      <c r="BI471" s="7"/>
      <c r="BJ471" s="4"/>
      <c r="BK471" s="8"/>
      <c r="BL471" s="2" t="s">
        <v>98</v>
      </c>
      <c r="BM471" s="7"/>
      <c r="BN471" s="7"/>
      <c r="BO471" s="4"/>
      <c r="BP471" s="8"/>
      <c r="BQ471" s="4"/>
      <c r="BR471" s="8"/>
      <c r="BS471" s="7"/>
      <c r="BT471" s="7"/>
      <c r="BU471" s="2" t="s">
        <v>107</v>
      </c>
      <c r="BV471" s="2" t="s">
        <v>1355</v>
      </c>
      <c r="BW471" s="2" t="s">
        <v>1512</v>
      </c>
      <c r="BX471" s="2" t="s">
        <v>98</v>
      </c>
      <c r="BY471" s="2" t="s">
        <v>110</v>
      </c>
      <c r="BZ471" s="2" t="s">
        <v>98</v>
      </c>
    </row>
    <row r="472">
      <c r="A472" s="2" t="s">
        <v>2627</v>
      </c>
      <c r="B472" s="2" t="s">
        <v>1345</v>
      </c>
      <c r="C472" s="2" t="s">
        <v>88</v>
      </c>
      <c r="D472" s="2" t="s">
        <v>2390</v>
      </c>
      <c r="E472" s="2" t="s">
        <v>2390</v>
      </c>
      <c r="F472" s="2" t="s">
        <v>2430</v>
      </c>
      <c r="G472" s="2" t="s">
        <v>2431</v>
      </c>
      <c r="H472" s="2" t="s">
        <v>2432</v>
      </c>
      <c r="I472" s="2" t="s">
        <v>2436</v>
      </c>
      <c r="J472" s="2" t="s">
        <v>93</v>
      </c>
      <c r="K472" s="2" t="s">
        <v>2628</v>
      </c>
      <c r="L472" s="3">
        <v>71.43</v>
      </c>
      <c r="M472" s="3">
        <v>75</v>
      </c>
      <c r="N472" s="3">
        <v>149</v>
      </c>
      <c r="O472" s="2" t="s">
        <v>155</v>
      </c>
      <c r="P472" s="2" t="s">
        <v>115</v>
      </c>
      <c r="Q472" s="2" t="s">
        <v>97</v>
      </c>
      <c r="R472" s="2" t="s">
        <v>98</v>
      </c>
      <c r="S472" s="2" t="s">
        <v>2629</v>
      </c>
      <c r="T472" s="2" t="s">
        <v>98</v>
      </c>
      <c r="U472" s="2" t="s">
        <v>98</v>
      </c>
      <c r="V472" s="2" t="s">
        <v>439</v>
      </c>
      <c r="W472" s="2" t="s">
        <v>102</v>
      </c>
      <c r="X472" s="2" t="s">
        <v>98</v>
      </c>
      <c r="Y472" s="2" t="s">
        <v>366</v>
      </c>
      <c r="Z472" s="4"/>
      <c r="AA472" s="4">
        <f>=ROUNDDOWN({0},0)</f>
      </c>
      <c r="AB472" s="5"/>
      <c r="AC472" s="2" t="s">
        <v>98</v>
      </c>
      <c r="AD472" s="4"/>
      <c r="AE472" s="4"/>
      <c r="AF472" s="6">
        <v>75</v>
      </c>
      <c r="AG472" s="6"/>
      <c r="AH472" s="7">
        <v>0</v>
      </c>
      <c r="AI472" s="4"/>
      <c r="AJ472" s="4">
        <f>=ROUNDDOWN({0},0)</f>
      </c>
      <c r="AK472" s="5"/>
      <c r="AL472" s="2" t="s">
        <v>98</v>
      </c>
      <c r="AM472" s="4"/>
      <c r="AN472" s="4"/>
      <c r="AO472" s="7">
        <v>0</v>
      </c>
      <c r="AP472" s="4"/>
      <c r="AQ472" s="8"/>
      <c r="AR472" s="4">
        <v>5</v>
      </c>
      <c r="AS472" s="8">
        <v>300.75</v>
      </c>
      <c r="AT472" s="7">
        <v>-1</v>
      </c>
      <c r="AU472" s="7">
        <v>-1</v>
      </c>
      <c r="AV472" s="4"/>
      <c r="AW472" s="8"/>
      <c r="AX472" s="4">
        <v>5</v>
      </c>
      <c r="AY472" s="8">
        <v>300.75</v>
      </c>
      <c r="AZ472" s="7">
        <v>-1</v>
      </c>
      <c r="BA472" s="7">
        <v>-1</v>
      </c>
      <c r="BB472" s="7"/>
      <c r="BC472" s="4"/>
      <c r="BD472" s="8"/>
      <c r="BE472" s="4">
        <v>5</v>
      </c>
      <c r="BF472" s="8">
        <v>300.75</v>
      </c>
      <c r="BG472" s="7">
        <v>-1</v>
      </c>
      <c r="BH472" s="7">
        <v>-1</v>
      </c>
      <c r="BI472" s="7"/>
      <c r="BJ472" s="4"/>
      <c r="BK472" s="8"/>
      <c r="BL472" s="2" t="s">
        <v>2630</v>
      </c>
      <c r="BM472" s="7"/>
      <c r="BN472" s="7"/>
      <c r="BO472" s="4"/>
      <c r="BP472" s="8"/>
      <c r="BQ472" s="4">
        <v>5</v>
      </c>
      <c r="BR472" s="8">
        <v>300.75</v>
      </c>
      <c r="BS472" s="7">
        <v>-1</v>
      </c>
      <c r="BT472" s="7">
        <v>-1</v>
      </c>
      <c r="BU472" s="2" t="s">
        <v>107</v>
      </c>
      <c r="BV472" s="2" t="s">
        <v>1355</v>
      </c>
      <c r="BW472" s="2" t="s">
        <v>1600</v>
      </c>
      <c r="BX472" s="2" t="s">
        <v>2631</v>
      </c>
      <c r="BY472" s="2" t="s">
        <v>110</v>
      </c>
      <c r="BZ472" s="2" t="s">
        <v>98</v>
      </c>
    </row>
    <row r="473">
      <c r="A473" s="2" t="s">
        <v>2632</v>
      </c>
      <c r="B473" s="2" t="s">
        <v>1345</v>
      </c>
      <c r="C473" s="2" t="s">
        <v>88</v>
      </c>
      <c r="D473" s="2" t="s">
        <v>2390</v>
      </c>
      <c r="E473" s="2" t="s">
        <v>2390</v>
      </c>
      <c r="F473" s="2" t="s">
        <v>2633</v>
      </c>
      <c r="G473" s="2" t="s">
        <v>2634</v>
      </c>
      <c r="H473" s="2" t="s">
        <v>2635</v>
      </c>
      <c r="I473" s="2" t="s">
        <v>2636</v>
      </c>
      <c r="J473" s="2" t="s">
        <v>93</v>
      </c>
      <c r="K473" s="2" t="s">
        <v>1052</v>
      </c>
      <c r="L473" s="3">
        <v>135</v>
      </c>
      <c r="M473" s="3">
        <v>141.75</v>
      </c>
      <c r="N473" s="3">
        <v>289</v>
      </c>
      <c r="O473" s="2" t="s">
        <v>155</v>
      </c>
      <c r="P473" s="2" t="s">
        <v>115</v>
      </c>
      <c r="Q473" s="2" t="s">
        <v>97</v>
      </c>
      <c r="R473" s="2" t="s">
        <v>98</v>
      </c>
      <c r="S473" s="2" t="s">
        <v>98</v>
      </c>
      <c r="T473" s="2" t="s">
        <v>98</v>
      </c>
      <c r="U473" s="2" t="s">
        <v>98</v>
      </c>
      <c r="V473" s="2" t="s">
        <v>296</v>
      </c>
      <c r="W473" s="2" t="s">
        <v>968</v>
      </c>
      <c r="X473" s="2" t="s">
        <v>98</v>
      </c>
      <c r="Y473" s="2" t="s">
        <v>2637</v>
      </c>
      <c r="Z473" s="4">
        <v>64</v>
      </c>
      <c r="AA473" s="4">
        <f>=ROUNDDOWN({0},0)</f>
      </c>
      <c r="AB473" s="5"/>
      <c r="AC473" s="2" t="s">
        <v>98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98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/>
      <c r="BD473" s="8"/>
      <c r="BE473" s="4"/>
      <c r="BF473" s="8"/>
      <c r="BG473" s="7"/>
      <c r="BH473" s="7"/>
      <c r="BI473" s="7"/>
      <c r="BJ473" s="4"/>
      <c r="BK473" s="8"/>
      <c r="BL473" s="2" t="s">
        <v>98</v>
      </c>
      <c r="BM473" s="7"/>
      <c r="BN473" s="7"/>
      <c r="BO473" s="4"/>
      <c r="BP473" s="8"/>
      <c r="BQ473" s="4"/>
      <c r="BR473" s="8"/>
      <c r="BS473" s="7"/>
      <c r="BT473" s="7"/>
      <c r="BU473" s="2" t="s">
        <v>1376</v>
      </c>
      <c r="BV473" s="2" t="s">
        <v>95</v>
      </c>
      <c r="BW473" s="2" t="s">
        <v>98</v>
      </c>
      <c r="BX473" s="2" t="s">
        <v>98</v>
      </c>
      <c r="BY473" s="2" t="s">
        <v>110</v>
      </c>
      <c r="BZ473" s="2" t="s">
        <v>98</v>
      </c>
    </row>
    <row r="474">
      <c r="A474" s="2" t="s">
        <v>2638</v>
      </c>
      <c r="B474" s="2" t="s">
        <v>1345</v>
      </c>
      <c r="C474" s="2" t="s">
        <v>88</v>
      </c>
      <c r="D474" s="2" t="s">
        <v>2390</v>
      </c>
      <c r="E474" s="2" t="s">
        <v>2390</v>
      </c>
      <c r="F474" s="2" t="s">
        <v>2310</v>
      </c>
      <c r="G474" s="2" t="s">
        <v>2311</v>
      </c>
      <c r="H474" s="2" t="s">
        <v>2312</v>
      </c>
      <c r="I474" s="2" t="s">
        <v>2639</v>
      </c>
      <c r="J474" s="2" t="s">
        <v>93</v>
      </c>
      <c r="K474" s="2" t="s">
        <v>1262</v>
      </c>
      <c r="L474" s="3">
        <v>152</v>
      </c>
      <c r="M474" s="3">
        <v>159.6</v>
      </c>
      <c r="N474" s="3">
        <v>319</v>
      </c>
      <c r="O474" s="2" t="s">
        <v>155</v>
      </c>
      <c r="P474" s="2" t="s">
        <v>115</v>
      </c>
      <c r="Q474" s="2" t="s">
        <v>97</v>
      </c>
      <c r="R474" s="2" t="s">
        <v>98</v>
      </c>
      <c r="S474" s="2" t="s">
        <v>98</v>
      </c>
      <c r="T474" s="2" t="s">
        <v>98</v>
      </c>
      <c r="U474" s="2" t="s">
        <v>100</v>
      </c>
      <c r="V474" s="2" t="s">
        <v>439</v>
      </c>
      <c r="W474" s="2" t="s">
        <v>968</v>
      </c>
      <c r="X474" s="2" t="s">
        <v>102</v>
      </c>
      <c r="Y474" s="2" t="s">
        <v>2640</v>
      </c>
      <c r="Z474" s="4">
        <v>39</v>
      </c>
      <c r="AA474" s="4">
        <f>=ROUNDDOWN(24.375,0)</f>
      </c>
      <c r="AB474" s="5">
        <v>1.6</v>
      </c>
      <c r="AC474" s="2" t="s">
        <v>98</v>
      </c>
      <c r="AD474" s="4"/>
      <c r="AE474" s="4"/>
      <c r="AF474" s="6">
        <v>75</v>
      </c>
      <c r="AG474" s="6"/>
      <c r="AH474" s="7">
        <v>1</v>
      </c>
      <c r="AI474" s="4"/>
      <c r="AJ474" s="4">
        <f>=ROUNDDOWN({0},0)</f>
      </c>
      <c r="AK474" s="5"/>
      <c r="AL474" s="2" t="s">
        <v>98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/>
      <c r="AW474" s="8"/>
      <c r="AX474" s="4"/>
      <c r="AY474" s="8"/>
      <c r="AZ474" s="7"/>
      <c r="BA474" s="7"/>
      <c r="BB474" s="7"/>
      <c r="BC474" s="4"/>
      <c r="BD474" s="8"/>
      <c r="BE474" s="4"/>
      <c r="BF474" s="8"/>
      <c r="BG474" s="7"/>
      <c r="BH474" s="7"/>
      <c r="BI474" s="7"/>
      <c r="BJ474" s="4">
        <v>2</v>
      </c>
      <c r="BK474" s="8">
        <v>223.44</v>
      </c>
      <c r="BL474" s="2" t="s">
        <v>2641</v>
      </c>
      <c r="BM474" s="7"/>
      <c r="BN474" s="7"/>
      <c r="BO474" s="4"/>
      <c r="BP474" s="8"/>
      <c r="BQ474" s="4"/>
      <c r="BR474" s="8"/>
      <c r="BS474" s="7"/>
      <c r="BT474" s="7"/>
      <c r="BU474" s="2" t="s">
        <v>1376</v>
      </c>
      <c r="BV474" s="2" t="s">
        <v>95</v>
      </c>
      <c r="BW474" s="2" t="s">
        <v>98</v>
      </c>
      <c r="BX474" s="2" t="s">
        <v>98</v>
      </c>
      <c r="BY474" s="2" t="s">
        <v>110</v>
      </c>
      <c r="BZ474" s="2" t="s">
        <v>98</v>
      </c>
    </row>
    <row r="475">
      <c r="A475" s="2" t="s">
        <v>2642</v>
      </c>
      <c r="B475" s="2" t="s">
        <v>1345</v>
      </c>
      <c r="C475" s="2" t="s">
        <v>88</v>
      </c>
      <c r="D475" s="2" t="s">
        <v>2390</v>
      </c>
      <c r="E475" s="2" t="s">
        <v>2390</v>
      </c>
      <c r="F475" s="2" t="s">
        <v>2643</v>
      </c>
      <c r="G475" s="2" t="s">
        <v>2644</v>
      </c>
      <c r="H475" s="2" t="s">
        <v>2645</v>
      </c>
      <c r="I475" s="2" t="s">
        <v>2433</v>
      </c>
      <c r="J475" s="2" t="s">
        <v>93</v>
      </c>
      <c r="K475" s="2" t="s">
        <v>1419</v>
      </c>
      <c r="L475" s="3">
        <v>138</v>
      </c>
      <c r="M475" s="3">
        <v>144.9</v>
      </c>
      <c r="N475" s="3">
        <v>289</v>
      </c>
      <c r="O475" s="2" t="s">
        <v>155</v>
      </c>
      <c r="P475" s="2" t="s">
        <v>115</v>
      </c>
      <c r="Q475" s="2" t="s">
        <v>97</v>
      </c>
      <c r="R475" s="2" t="s">
        <v>98</v>
      </c>
      <c r="S475" s="2" t="s">
        <v>2646</v>
      </c>
      <c r="T475" s="2" t="s">
        <v>98</v>
      </c>
      <c r="U475" s="2" t="s">
        <v>98</v>
      </c>
      <c r="V475" s="2" t="s">
        <v>439</v>
      </c>
      <c r="W475" s="2" t="s">
        <v>102</v>
      </c>
      <c r="X475" s="2" t="s">
        <v>98</v>
      </c>
      <c r="Y475" s="2" t="s">
        <v>366</v>
      </c>
      <c r="Z475" s="4">
        <v>2</v>
      </c>
      <c r="AA475" s="4">
        <f>=ROUNDDOWN(0.769230769230769,0)</f>
      </c>
      <c r="AB475" s="5">
        <v>2.6</v>
      </c>
      <c r="AC475" s="2" t="s">
        <v>98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98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/>
      <c r="AW475" s="8"/>
      <c r="AX475" s="4"/>
      <c r="AY475" s="8"/>
      <c r="AZ475" s="7"/>
      <c r="BA475" s="7"/>
      <c r="BB475" s="7"/>
      <c r="BC475" s="4"/>
      <c r="BD475" s="8"/>
      <c r="BE475" s="4"/>
      <c r="BF475" s="8"/>
      <c r="BG475" s="7"/>
      <c r="BH475" s="7"/>
      <c r="BI475" s="7"/>
      <c r="BJ475" s="4"/>
      <c r="BK475" s="8"/>
      <c r="BL475" s="2" t="s">
        <v>98</v>
      </c>
      <c r="BM475" s="7"/>
      <c r="BN475" s="7"/>
      <c r="BO475" s="4"/>
      <c r="BP475" s="8"/>
      <c r="BQ475" s="4"/>
      <c r="BR475" s="8"/>
      <c r="BS475" s="7"/>
      <c r="BT475" s="7"/>
      <c r="BU475" s="2" t="s">
        <v>107</v>
      </c>
      <c r="BV475" s="2" t="s">
        <v>1355</v>
      </c>
      <c r="BW475" s="2" t="s">
        <v>1356</v>
      </c>
      <c r="BX475" s="2" t="s">
        <v>2647</v>
      </c>
      <c r="BY475" s="2" t="s">
        <v>110</v>
      </c>
      <c r="BZ475" s="2" t="s">
        <v>98</v>
      </c>
    </row>
    <row r="476">
      <c r="A476" s="2" t="s">
        <v>2648</v>
      </c>
      <c r="B476" s="2" t="s">
        <v>1345</v>
      </c>
      <c r="C476" s="2" t="s">
        <v>88</v>
      </c>
      <c r="D476" s="2" t="s">
        <v>2390</v>
      </c>
      <c r="E476" s="2" t="s">
        <v>2390</v>
      </c>
      <c r="F476" s="2" t="s">
        <v>2322</v>
      </c>
      <c r="G476" s="2" t="s">
        <v>2323</v>
      </c>
      <c r="H476" s="2" t="s">
        <v>2324</v>
      </c>
      <c r="I476" s="2" t="s">
        <v>2433</v>
      </c>
      <c r="J476" s="2" t="s">
        <v>93</v>
      </c>
      <c r="K476" s="2" t="s">
        <v>277</v>
      </c>
      <c r="L476" s="3">
        <v>95</v>
      </c>
      <c r="M476" s="3">
        <v>99.75</v>
      </c>
      <c r="N476" s="3">
        <v>199</v>
      </c>
      <c r="O476" s="2" t="s">
        <v>155</v>
      </c>
      <c r="P476" s="2" t="s">
        <v>115</v>
      </c>
      <c r="Q476" s="2" t="s">
        <v>97</v>
      </c>
      <c r="R476" s="2" t="s">
        <v>98</v>
      </c>
      <c r="S476" s="2" t="s">
        <v>2649</v>
      </c>
      <c r="T476" s="2" t="s">
        <v>98</v>
      </c>
      <c r="U476" s="2" t="s">
        <v>98</v>
      </c>
      <c r="V476" s="2" t="s">
        <v>439</v>
      </c>
      <c r="W476" s="2" t="s">
        <v>103</v>
      </c>
      <c r="X476" s="2" t="s">
        <v>98</v>
      </c>
      <c r="Y476" s="2" t="s">
        <v>366</v>
      </c>
      <c r="Z476" s="4">
        <v>2</v>
      </c>
      <c r="AA476" s="4">
        <f>=ROUNDDOWN({0},0)</f>
      </c>
      <c r="AB476" s="5"/>
      <c r="AC476" s="2" t="s">
        <v>98</v>
      </c>
      <c r="AD476" s="4"/>
      <c r="AE476" s="4"/>
      <c r="AF476" s="6">
        <v>75</v>
      </c>
      <c r="AG476" s="6"/>
      <c r="AH476" s="7">
        <v>1</v>
      </c>
      <c r="AI476" s="4"/>
      <c r="AJ476" s="4">
        <f>=ROUNDDOWN({0},0)</f>
      </c>
      <c r="AK476" s="5"/>
      <c r="AL476" s="2" t="s">
        <v>98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98</v>
      </c>
      <c r="AW476" s="8" t="s">
        <v>98</v>
      </c>
      <c r="AX476" s="4" t="s">
        <v>98</v>
      </c>
      <c r="AY476" s="8" t="s">
        <v>98</v>
      </c>
      <c r="AZ476" s="7" t="s">
        <v>98</v>
      </c>
      <c r="BA476" s="7" t="s">
        <v>98</v>
      </c>
      <c r="BB476" s="7" t="s">
        <v>98</v>
      </c>
      <c r="BC476" s="4" t="s">
        <v>98</v>
      </c>
      <c r="BD476" s="8" t="s">
        <v>98</v>
      </c>
      <c r="BE476" s="4">
        <v>3</v>
      </c>
      <c r="BF476" s="8">
        <v>319.56</v>
      </c>
      <c r="BG476" s="7" t="s">
        <v>98</v>
      </c>
      <c r="BH476" s="7" t="s">
        <v>98</v>
      </c>
      <c r="BI476" s="7"/>
      <c r="BJ476" s="4"/>
      <c r="BK476" s="8"/>
      <c r="BL476" s="2" t="s">
        <v>98</v>
      </c>
      <c r="BM476" s="7"/>
      <c r="BN476" s="7"/>
      <c r="BO476" s="4"/>
      <c r="BP476" s="8"/>
      <c r="BQ476" s="4"/>
      <c r="BR476" s="8"/>
      <c r="BS476" s="7"/>
      <c r="BT476" s="7"/>
      <c r="BU476" s="2" t="s">
        <v>107</v>
      </c>
      <c r="BV476" s="2" t="s">
        <v>1355</v>
      </c>
      <c r="BW476" s="2" t="s">
        <v>1495</v>
      </c>
      <c r="BX476" s="2" t="s">
        <v>2650</v>
      </c>
      <c r="BY476" s="2" t="s">
        <v>110</v>
      </c>
      <c r="BZ476" s="2" t="s">
        <v>98</v>
      </c>
    </row>
    <row r="477">
      <c r="A477" s="2" t="s">
        <v>2651</v>
      </c>
      <c r="B477" s="2" t="s">
        <v>1345</v>
      </c>
      <c r="C477" s="2" t="s">
        <v>88</v>
      </c>
      <c r="D477" s="2" t="s">
        <v>2390</v>
      </c>
      <c r="E477" s="2" t="s">
        <v>2390</v>
      </c>
      <c r="F477" s="2" t="s">
        <v>2322</v>
      </c>
      <c r="G477" s="2" t="s">
        <v>2323</v>
      </c>
      <c r="H477" s="2" t="s">
        <v>2324</v>
      </c>
      <c r="I477" s="2" t="s">
        <v>2652</v>
      </c>
      <c r="J477" s="2" t="s">
        <v>93</v>
      </c>
      <c r="K477" s="2" t="s">
        <v>277</v>
      </c>
      <c r="L477" s="3">
        <v>99.75</v>
      </c>
      <c r="M477" s="3">
        <v>104.74</v>
      </c>
      <c r="N477" s="3">
        <v>209</v>
      </c>
      <c r="O477" s="2" t="s">
        <v>1278</v>
      </c>
      <c r="P477" s="2" t="s">
        <v>115</v>
      </c>
      <c r="Q477" s="2" t="s">
        <v>97</v>
      </c>
      <c r="R477" s="2" t="s">
        <v>98</v>
      </c>
      <c r="S477" s="2" t="s">
        <v>2653</v>
      </c>
      <c r="T477" s="2" t="s">
        <v>98</v>
      </c>
      <c r="U477" s="2" t="s">
        <v>98</v>
      </c>
      <c r="V477" s="2" t="s">
        <v>439</v>
      </c>
      <c r="W477" s="2" t="s">
        <v>103</v>
      </c>
      <c r="X477" s="2" t="s">
        <v>98</v>
      </c>
      <c r="Y477" s="2" t="s">
        <v>2654</v>
      </c>
      <c r="Z477" s="4"/>
      <c r="AA477" s="4">
        <f>=ROUNDDOWN({0},0)</f>
      </c>
      <c r="AB477" s="5">
        <v>5.5</v>
      </c>
      <c r="AC477" s="2" t="s">
        <v>98</v>
      </c>
      <c r="AD477" s="4"/>
      <c r="AE477" s="4"/>
      <c r="AF477" s="6">
        <v>75</v>
      </c>
      <c r="AG477" s="6">
        <v>66</v>
      </c>
      <c r="AH477" s="7">
        <v>0</v>
      </c>
      <c r="AI477" s="4"/>
      <c r="AJ477" s="4">
        <f>=ROUNDDOWN({0},0)</f>
      </c>
      <c r="AK477" s="5"/>
      <c r="AL477" s="2" t="s">
        <v>98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98</v>
      </c>
      <c r="AW477" s="8" t="s">
        <v>98</v>
      </c>
      <c r="AX477" s="4" t="s">
        <v>98</v>
      </c>
      <c r="AY477" s="8" t="s">
        <v>98</v>
      </c>
      <c r="AZ477" s="7" t="s">
        <v>98</v>
      </c>
      <c r="BA477" s="7" t="s">
        <v>98</v>
      </c>
      <c r="BB477" s="7" t="s">
        <v>98</v>
      </c>
      <c r="BC477" s="4" t="s">
        <v>98</v>
      </c>
      <c r="BD477" s="8" t="s">
        <v>98</v>
      </c>
      <c r="BE477" s="4" t="s">
        <v>98</v>
      </c>
      <c r="BF477" s="8" t="s">
        <v>98</v>
      </c>
      <c r="BG477" s="7" t="s">
        <v>98</v>
      </c>
      <c r="BH477" s="7" t="s">
        <v>98</v>
      </c>
      <c r="BI477" s="7"/>
      <c r="BJ477" s="4"/>
      <c r="BK477" s="8"/>
      <c r="BL477" s="2" t="s">
        <v>98</v>
      </c>
      <c r="BM477" s="7"/>
      <c r="BN477" s="7"/>
      <c r="BO477" s="4"/>
      <c r="BP477" s="8"/>
      <c r="BQ477" s="4"/>
      <c r="BR477" s="8"/>
      <c r="BS477" s="7"/>
      <c r="BT477" s="7"/>
      <c r="BU477" s="2" t="s">
        <v>107</v>
      </c>
      <c r="BV477" s="2" t="s">
        <v>1355</v>
      </c>
      <c r="BW477" s="2" t="s">
        <v>497</v>
      </c>
      <c r="BX477" s="2" t="s">
        <v>2655</v>
      </c>
      <c r="BY477" s="2" t="s">
        <v>110</v>
      </c>
      <c r="BZ477" s="2" t="s">
        <v>98</v>
      </c>
    </row>
    <row r="478">
      <c r="A478" s="2" t="s">
        <v>2656</v>
      </c>
      <c r="B478" s="2" t="s">
        <v>1345</v>
      </c>
      <c r="C478" s="2" t="s">
        <v>88</v>
      </c>
      <c r="D478" s="2" t="s">
        <v>2390</v>
      </c>
      <c r="E478" s="2" t="s">
        <v>2390</v>
      </c>
      <c r="F478" s="2" t="s">
        <v>2322</v>
      </c>
      <c r="G478" s="2" t="s">
        <v>2323</v>
      </c>
      <c r="H478" s="2" t="s">
        <v>2324</v>
      </c>
      <c r="I478" s="2" t="s">
        <v>2652</v>
      </c>
      <c r="J478" s="2" t="s">
        <v>93</v>
      </c>
      <c r="K478" s="2" t="s">
        <v>1439</v>
      </c>
      <c r="L478" s="3">
        <v>99.75</v>
      </c>
      <c r="M478" s="3">
        <v>104.74</v>
      </c>
      <c r="N478" s="3">
        <v>209</v>
      </c>
      <c r="O478" s="2" t="s">
        <v>95</v>
      </c>
      <c r="P478" s="2" t="s">
        <v>134</v>
      </c>
      <c r="Q478" s="2" t="s">
        <v>97</v>
      </c>
      <c r="R478" s="2" t="s">
        <v>98</v>
      </c>
      <c r="S478" s="2" t="s">
        <v>2657</v>
      </c>
      <c r="T478" s="2" t="s">
        <v>98</v>
      </c>
      <c r="U478" s="2" t="s">
        <v>98</v>
      </c>
      <c r="V478" s="2" t="s">
        <v>439</v>
      </c>
      <c r="W478" s="2" t="s">
        <v>103</v>
      </c>
      <c r="X478" s="2" t="s">
        <v>98</v>
      </c>
      <c r="Y478" s="2" t="s">
        <v>2654</v>
      </c>
      <c r="Z478" s="4"/>
      <c r="AA478" s="4">
        <f>=ROUNDDOWN({0},0)</f>
      </c>
      <c r="AB478" s="5">
        <v>10</v>
      </c>
      <c r="AC478" s="2" t="s">
        <v>2327</v>
      </c>
      <c r="AD478" s="4">
        <v>44</v>
      </c>
      <c r="AE478" s="4">
        <v>250</v>
      </c>
      <c r="AF478" s="6">
        <v>76</v>
      </c>
      <c r="AG478" s="6">
        <v>67</v>
      </c>
      <c r="AH478" s="7">
        <v>0</v>
      </c>
      <c r="AI478" s="4"/>
      <c r="AJ478" s="4">
        <f>=ROUNDDOWN({0},0)</f>
      </c>
      <c r="AK478" s="5"/>
      <c r="AL478" s="2" t="s">
        <v>98</v>
      </c>
      <c r="AM478" s="4"/>
      <c r="AN478" s="4"/>
      <c r="AO478" s="7">
        <v>0</v>
      </c>
      <c r="AP478" s="4"/>
      <c r="AQ478" s="8"/>
      <c r="AR478" s="4">
        <v>3</v>
      </c>
      <c r="AS478" s="8">
        <v>319.56</v>
      </c>
      <c r="AT478" s="7">
        <v>-1</v>
      </c>
      <c r="AU478" s="7">
        <v>-1</v>
      </c>
      <c r="AV478" s="4"/>
      <c r="AW478" s="8"/>
      <c r="AX478" s="4">
        <v>3</v>
      </c>
      <c r="AY478" s="8">
        <v>319.56</v>
      </c>
      <c r="AZ478" s="7">
        <v>-1</v>
      </c>
      <c r="BA478" s="7">
        <v>-1</v>
      </c>
      <c r="BB478" s="7"/>
      <c r="BC478" s="4" t="s">
        <v>98</v>
      </c>
      <c r="BD478" s="8" t="s">
        <v>98</v>
      </c>
      <c r="BE478" s="4" t="s">
        <v>98</v>
      </c>
      <c r="BF478" s="8" t="s">
        <v>98</v>
      </c>
      <c r="BG478" s="7" t="s">
        <v>98</v>
      </c>
      <c r="BH478" s="7" t="s">
        <v>98</v>
      </c>
      <c r="BI478" s="7"/>
      <c r="BJ478" s="4"/>
      <c r="BK478" s="8"/>
      <c r="BL478" s="2" t="s">
        <v>2658</v>
      </c>
      <c r="BM478" s="7"/>
      <c r="BN478" s="7"/>
      <c r="BO478" s="4"/>
      <c r="BP478" s="8"/>
      <c r="BQ478" s="4">
        <v>3</v>
      </c>
      <c r="BR478" s="8">
        <v>319.56</v>
      </c>
      <c r="BS478" s="7">
        <v>-1</v>
      </c>
      <c r="BT478" s="7">
        <v>-1</v>
      </c>
      <c r="BU478" s="2" t="s">
        <v>107</v>
      </c>
      <c r="BV478" s="2" t="s">
        <v>1355</v>
      </c>
      <c r="BW478" s="2" t="s">
        <v>497</v>
      </c>
      <c r="BX478" s="2" t="s">
        <v>2659</v>
      </c>
      <c r="BY478" s="2" t="s">
        <v>110</v>
      </c>
      <c r="BZ478" s="2" t="s">
        <v>98</v>
      </c>
    </row>
    <row r="479">
      <c r="A479" s="2" t="s">
        <v>2660</v>
      </c>
      <c r="B479" s="2" t="s">
        <v>1345</v>
      </c>
      <c r="C479" s="2" t="s">
        <v>88</v>
      </c>
      <c r="D479" s="2" t="s">
        <v>2390</v>
      </c>
      <c r="E479" s="2" t="s">
        <v>2390</v>
      </c>
      <c r="F479" s="2" t="s">
        <v>2322</v>
      </c>
      <c r="G479" s="2" t="s">
        <v>2323</v>
      </c>
      <c r="H479" s="2" t="s">
        <v>2324</v>
      </c>
      <c r="I479" s="2" t="s">
        <v>2652</v>
      </c>
      <c r="J479" s="2" t="s">
        <v>93</v>
      </c>
      <c r="K479" s="2" t="s">
        <v>133</v>
      </c>
      <c r="L479" s="3">
        <v>99.75</v>
      </c>
      <c r="M479" s="3">
        <v>104.74</v>
      </c>
      <c r="N479" s="3">
        <v>209</v>
      </c>
      <c r="O479" s="2" t="s">
        <v>155</v>
      </c>
      <c r="P479" s="2" t="s">
        <v>115</v>
      </c>
      <c r="Q479" s="2" t="s">
        <v>97</v>
      </c>
      <c r="R479" s="2" t="s">
        <v>98</v>
      </c>
      <c r="S479" s="2" t="s">
        <v>2661</v>
      </c>
      <c r="T479" s="2" t="s">
        <v>98</v>
      </c>
      <c r="U479" s="2" t="s">
        <v>98</v>
      </c>
      <c r="V479" s="2" t="s">
        <v>439</v>
      </c>
      <c r="W479" s="2" t="s">
        <v>103</v>
      </c>
      <c r="X479" s="2" t="s">
        <v>98</v>
      </c>
      <c r="Y479" s="2" t="s">
        <v>366</v>
      </c>
      <c r="Z479" s="4">
        <v>54</v>
      </c>
      <c r="AA479" s="4">
        <f>=ROUNDDOWN({0},0)</f>
      </c>
      <c r="AB479" s="5"/>
      <c r="AC479" s="2" t="s">
        <v>98</v>
      </c>
      <c r="AD479" s="4"/>
      <c r="AE479" s="4"/>
      <c r="AF479" s="6">
        <v>75</v>
      </c>
      <c r="AG479" s="6">
        <v>66</v>
      </c>
      <c r="AH479" s="7">
        <v>1</v>
      </c>
      <c r="AI479" s="4"/>
      <c r="AJ479" s="4">
        <f>=ROUNDDOWN({0},0)</f>
      </c>
      <c r="AK479" s="5"/>
      <c r="AL479" s="2" t="s">
        <v>98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/>
      <c r="AW479" s="8"/>
      <c r="AX479" s="4"/>
      <c r="AY479" s="8"/>
      <c r="AZ479" s="7"/>
      <c r="BA479" s="7"/>
      <c r="BB479" s="7"/>
      <c r="BC479" s="4" t="s">
        <v>98</v>
      </c>
      <c r="BD479" s="8" t="s">
        <v>98</v>
      </c>
      <c r="BE479" s="4" t="s">
        <v>98</v>
      </c>
      <c r="BF479" s="8" t="s">
        <v>98</v>
      </c>
      <c r="BG479" s="7" t="s">
        <v>98</v>
      </c>
      <c r="BH479" s="7" t="s">
        <v>98</v>
      </c>
      <c r="BI479" s="7"/>
      <c r="BJ479" s="4"/>
      <c r="BK479" s="8"/>
      <c r="BL479" s="2" t="s">
        <v>2662</v>
      </c>
      <c r="BM479" s="7"/>
      <c r="BN479" s="7"/>
      <c r="BO479" s="4"/>
      <c r="BP479" s="8"/>
      <c r="BQ479" s="4"/>
      <c r="BR479" s="8"/>
      <c r="BS479" s="7"/>
      <c r="BT479" s="7"/>
      <c r="BU479" s="2" t="s">
        <v>107</v>
      </c>
      <c r="BV479" s="2" t="s">
        <v>1355</v>
      </c>
      <c r="BW479" s="2" t="s">
        <v>497</v>
      </c>
      <c r="BX479" s="2" t="s">
        <v>449</v>
      </c>
      <c r="BY479" s="2" t="s">
        <v>110</v>
      </c>
      <c r="BZ479" s="2" t="s">
        <v>98</v>
      </c>
    </row>
    <row r="480">
      <c r="A480" s="2" t="s">
        <v>2663</v>
      </c>
      <c r="B480" s="2" t="s">
        <v>1345</v>
      </c>
      <c r="C480" s="2" t="s">
        <v>88</v>
      </c>
      <c r="D480" s="2" t="s">
        <v>2390</v>
      </c>
      <c r="E480" s="2" t="s">
        <v>2390</v>
      </c>
      <c r="F480" s="2" t="s">
        <v>2664</v>
      </c>
      <c r="G480" s="2" t="s">
        <v>2665</v>
      </c>
      <c r="H480" s="2" t="s">
        <v>2666</v>
      </c>
      <c r="I480" s="2" t="s">
        <v>2526</v>
      </c>
      <c r="J480" s="2" t="s">
        <v>93</v>
      </c>
      <c r="K480" s="2" t="s">
        <v>2667</v>
      </c>
      <c r="L480" s="3">
        <v>130</v>
      </c>
      <c r="M480" s="3">
        <v>136.5</v>
      </c>
      <c r="N480" s="3">
        <v>279</v>
      </c>
      <c r="O480" s="2" t="s">
        <v>155</v>
      </c>
      <c r="P480" s="2" t="s">
        <v>115</v>
      </c>
      <c r="Q480" s="2" t="s">
        <v>97</v>
      </c>
      <c r="R480" s="2" t="s">
        <v>98</v>
      </c>
      <c r="S480" s="2" t="s">
        <v>98</v>
      </c>
      <c r="T480" s="2" t="s">
        <v>98</v>
      </c>
      <c r="U480" s="2" t="s">
        <v>117</v>
      </c>
      <c r="V480" s="2" t="s">
        <v>439</v>
      </c>
      <c r="W480" s="2" t="s">
        <v>98</v>
      </c>
      <c r="X480" s="2" t="s">
        <v>98</v>
      </c>
      <c r="Y480" s="2" t="s">
        <v>643</v>
      </c>
      <c r="Z480" s="4">
        <v>46</v>
      </c>
      <c r="AA480" s="4">
        <f>=ROUNDDOWN(8.07017543859649,0)</f>
      </c>
      <c r="AB480" s="5">
        <v>5.7</v>
      </c>
      <c r="AC480" s="2" t="s">
        <v>98</v>
      </c>
      <c r="AD480" s="4"/>
      <c r="AE480" s="4"/>
      <c r="AF480" s="6">
        <v>67</v>
      </c>
      <c r="AG480" s="6"/>
      <c r="AH480" s="7">
        <v>1</v>
      </c>
      <c r="AI480" s="4"/>
      <c r="AJ480" s="4">
        <f>=ROUNDDOWN({0},0)</f>
      </c>
      <c r="AK480" s="5"/>
      <c r="AL480" s="2" t="s">
        <v>98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/>
      <c r="AW480" s="8"/>
      <c r="AX480" s="4"/>
      <c r="AY480" s="8"/>
      <c r="AZ480" s="7"/>
      <c r="BA480" s="7"/>
      <c r="BB480" s="7"/>
      <c r="BC480" s="4"/>
      <c r="BD480" s="8"/>
      <c r="BE480" s="4"/>
      <c r="BF480" s="8"/>
      <c r="BG480" s="7"/>
      <c r="BH480" s="7"/>
      <c r="BI480" s="7"/>
      <c r="BJ480" s="4">
        <v>1</v>
      </c>
      <c r="BK480" s="8">
        <v>131.25</v>
      </c>
      <c r="BL480" s="2" t="s">
        <v>895</v>
      </c>
      <c r="BM480" s="7"/>
      <c r="BN480" s="7"/>
      <c r="BO480" s="4"/>
      <c r="BP480" s="8"/>
      <c r="BQ480" s="4"/>
      <c r="BR480" s="8"/>
      <c r="BS480" s="7"/>
      <c r="BT480" s="7"/>
      <c r="BU480" s="2" t="s">
        <v>1376</v>
      </c>
      <c r="BV480" s="2" t="s">
        <v>95</v>
      </c>
      <c r="BW480" s="2" t="s">
        <v>98</v>
      </c>
      <c r="BX480" s="2" t="s">
        <v>98</v>
      </c>
      <c r="BY480" s="2" t="s">
        <v>110</v>
      </c>
      <c r="BZ480" s="2" t="s">
        <v>98</v>
      </c>
    </row>
    <row r="481">
      <c r="A481" s="2" t="s">
        <v>2668</v>
      </c>
      <c r="B481" s="2" t="s">
        <v>1345</v>
      </c>
      <c r="C481" s="2" t="s">
        <v>88</v>
      </c>
      <c r="D481" s="2" t="s">
        <v>2390</v>
      </c>
      <c r="E481" s="2" t="s">
        <v>2390</v>
      </c>
      <c r="F481" s="2" t="s">
        <v>2330</v>
      </c>
      <c r="G481" s="2" t="s">
        <v>2331</v>
      </c>
      <c r="H481" s="2" t="s">
        <v>2332</v>
      </c>
      <c r="I481" s="2" t="s">
        <v>2669</v>
      </c>
      <c r="J481" s="2" t="s">
        <v>93</v>
      </c>
      <c r="K481" s="2" t="s">
        <v>1052</v>
      </c>
      <c r="L481" s="3">
        <v>171.6</v>
      </c>
      <c r="M481" s="3">
        <v>180.18</v>
      </c>
      <c r="N481" s="3">
        <v>359</v>
      </c>
      <c r="O481" s="2" t="s">
        <v>155</v>
      </c>
      <c r="P481" s="2" t="s">
        <v>115</v>
      </c>
      <c r="Q481" s="2" t="s">
        <v>97</v>
      </c>
      <c r="R481" s="2" t="s">
        <v>98</v>
      </c>
      <c r="S481" s="2" t="s">
        <v>2670</v>
      </c>
      <c r="T481" s="2" t="s">
        <v>98</v>
      </c>
      <c r="U481" s="2" t="s">
        <v>98</v>
      </c>
      <c r="V481" s="2" t="s">
        <v>439</v>
      </c>
      <c r="W481" s="2" t="s">
        <v>103</v>
      </c>
      <c r="X481" s="2" t="s">
        <v>98</v>
      </c>
      <c r="Y481" s="2" t="s">
        <v>366</v>
      </c>
      <c r="Z481" s="4">
        <v>34</v>
      </c>
      <c r="AA481" s="4">
        <f>=ROUNDDOWN(34,0)</f>
      </c>
      <c r="AB481" s="5">
        <v>1</v>
      </c>
      <c r="AC481" s="2" t="s">
        <v>98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98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/>
      <c r="AW481" s="8"/>
      <c r="AX481" s="4"/>
      <c r="AY481" s="8"/>
      <c r="AZ481" s="7"/>
      <c r="BA481" s="7"/>
      <c r="BB481" s="7"/>
      <c r="BC481" s="4" t="s">
        <v>98</v>
      </c>
      <c r="BD481" s="8" t="s">
        <v>98</v>
      </c>
      <c r="BE481" s="4" t="s">
        <v>98</v>
      </c>
      <c r="BF481" s="8" t="s">
        <v>98</v>
      </c>
      <c r="BG481" s="7" t="s">
        <v>98</v>
      </c>
      <c r="BH481" s="7" t="s">
        <v>98</v>
      </c>
      <c r="BI481" s="7"/>
      <c r="BJ481" s="4">
        <v>2</v>
      </c>
      <c r="BK481" s="8">
        <v>294.18</v>
      </c>
      <c r="BL481" s="2" t="s">
        <v>1379</v>
      </c>
      <c r="BM481" s="7"/>
      <c r="BN481" s="7"/>
      <c r="BO481" s="4"/>
      <c r="BP481" s="8"/>
      <c r="BQ481" s="4"/>
      <c r="BR481" s="8"/>
      <c r="BS481" s="7"/>
      <c r="BT481" s="7"/>
      <c r="BU481" s="2" t="s">
        <v>107</v>
      </c>
      <c r="BV481" s="2" t="s">
        <v>1355</v>
      </c>
      <c r="BW481" s="2" t="s">
        <v>497</v>
      </c>
      <c r="BX481" s="2" t="s">
        <v>2671</v>
      </c>
      <c r="BY481" s="2" t="s">
        <v>110</v>
      </c>
      <c r="BZ481" s="2" t="s">
        <v>98</v>
      </c>
    </row>
    <row r="482">
      <c r="A482" s="2" t="s">
        <v>2672</v>
      </c>
      <c r="B482" s="2" t="s">
        <v>1345</v>
      </c>
      <c r="C482" s="2" t="s">
        <v>88</v>
      </c>
      <c r="D482" s="2" t="s">
        <v>2390</v>
      </c>
      <c r="E482" s="2" t="s">
        <v>2390</v>
      </c>
      <c r="F482" s="2" t="s">
        <v>2330</v>
      </c>
      <c r="G482" s="2" t="s">
        <v>2331</v>
      </c>
      <c r="H482" s="2" t="s">
        <v>2332</v>
      </c>
      <c r="I482" s="2" t="s">
        <v>2669</v>
      </c>
      <c r="J482" s="2" t="s">
        <v>93</v>
      </c>
      <c r="K482" s="2" t="s">
        <v>133</v>
      </c>
      <c r="L482" s="3">
        <v>171.6</v>
      </c>
      <c r="M482" s="3">
        <v>180.18</v>
      </c>
      <c r="N482" s="3">
        <v>359</v>
      </c>
      <c r="O482" s="2" t="s">
        <v>95</v>
      </c>
      <c r="P482" s="2" t="s">
        <v>115</v>
      </c>
      <c r="Q482" s="2" t="s">
        <v>97</v>
      </c>
      <c r="R482" s="2" t="s">
        <v>98</v>
      </c>
      <c r="S482" s="2" t="s">
        <v>2673</v>
      </c>
      <c r="T482" s="2" t="s">
        <v>98</v>
      </c>
      <c r="U482" s="2" t="s">
        <v>98</v>
      </c>
      <c r="V482" s="2" t="s">
        <v>439</v>
      </c>
      <c r="W482" s="2" t="s">
        <v>103</v>
      </c>
      <c r="X482" s="2" t="s">
        <v>98</v>
      </c>
      <c r="Y482" s="2" t="s">
        <v>366</v>
      </c>
      <c r="Z482" s="4"/>
      <c r="AA482" s="4">
        <f>=ROUNDDOWN({0},0)</f>
      </c>
      <c r="AB482" s="5">
        <v>2.7</v>
      </c>
      <c r="AC482" s="2" t="s">
        <v>98</v>
      </c>
      <c r="AD482" s="4"/>
      <c r="AE482" s="4"/>
      <c r="AF482" s="6">
        <v>65</v>
      </c>
      <c r="AG482" s="6"/>
      <c r="AH482" s="7">
        <v>0.7143</v>
      </c>
      <c r="AI482" s="4"/>
      <c r="AJ482" s="4">
        <f>=ROUNDDOWN({0},0)</f>
      </c>
      <c r="AK482" s="5"/>
      <c r="AL482" s="2" t="s">
        <v>98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 t="s">
        <v>98</v>
      </c>
      <c r="BD482" s="8" t="s">
        <v>98</v>
      </c>
      <c r="BE482" s="4" t="s">
        <v>98</v>
      </c>
      <c r="BF482" s="8" t="s">
        <v>98</v>
      </c>
      <c r="BG482" s="7" t="s">
        <v>98</v>
      </c>
      <c r="BH482" s="7" t="s">
        <v>98</v>
      </c>
      <c r="BI482" s="7"/>
      <c r="BJ482" s="4">
        <v>3</v>
      </c>
      <c r="BK482" s="8">
        <v>539.11</v>
      </c>
      <c r="BL482" s="2" t="s">
        <v>1625</v>
      </c>
      <c r="BM482" s="7"/>
      <c r="BN482" s="7"/>
      <c r="BO482" s="4"/>
      <c r="BP482" s="8"/>
      <c r="BQ482" s="4"/>
      <c r="BR482" s="8"/>
      <c r="BS482" s="7"/>
      <c r="BT482" s="7"/>
      <c r="BU482" s="2" t="s">
        <v>107</v>
      </c>
      <c r="BV482" s="2" t="s">
        <v>1355</v>
      </c>
      <c r="BW482" s="2" t="s">
        <v>497</v>
      </c>
      <c r="BX482" s="2" t="s">
        <v>2674</v>
      </c>
      <c r="BY482" s="2" t="s">
        <v>110</v>
      </c>
      <c r="BZ482" s="2" t="s">
        <v>98</v>
      </c>
    </row>
    <row r="483">
      <c r="A483" s="2" t="s">
        <v>2675</v>
      </c>
      <c r="B483" s="2" t="s">
        <v>1345</v>
      </c>
      <c r="C483" s="2" t="s">
        <v>88</v>
      </c>
      <c r="D483" s="2" t="s">
        <v>2390</v>
      </c>
      <c r="E483" s="2" t="s">
        <v>2390</v>
      </c>
      <c r="F483" s="2" t="s">
        <v>1391</v>
      </c>
      <c r="G483" s="2" t="s">
        <v>1392</v>
      </c>
      <c r="H483" s="2" t="s">
        <v>1393</v>
      </c>
      <c r="I483" s="2" t="s">
        <v>2676</v>
      </c>
      <c r="J483" s="2" t="s">
        <v>93</v>
      </c>
      <c r="K483" s="2" t="s">
        <v>2506</v>
      </c>
      <c r="L483" s="3">
        <v>192.5</v>
      </c>
      <c r="M483" s="3">
        <v>202.12</v>
      </c>
      <c r="N483" s="3">
        <v>409</v>
      </c>
      <c r="O483" s="2" t="s">
        <v>155</v>
      </c>
      <c r="P483" s="2" t="s">
        <v>115</v>
      </c>
      <c r="Q483" s="2" t="s">
        <v>97</v>
      </c>
      <c r="R483" s="2" t="s">
        <v>98</v>
      </c>
      <c r="S483" s="2" t="s">
        <v>2507</v>
      </c>
      <c r="T483" s="2" t="s">
        <v>98</v>
      </c>
      <c r="U483" s="2" t="s">
        <v>98</v>
      </c>
      <c r="V483" s="2" t="s">
        <v>439</v>
      </c>
      <c r="W483" s="2" t="s">
        <v>103</v>
      </c>
      <c r="X483" s="2" t="s">
        <v>98</v>
      </c>
      <c r="Y483" s="2" t="s">
        <v>427</v>
      </c>
      <c r="Z483" s="4">
        <v>34</v>
      </c>
      <c r="AA483" s="4">
        <f>=ROUNDDOWN(7.72727272727273,0)</f>
      </c>
      <c r="AB483" s="5">
        <v>4.4</v>
      </c>
      <c r="AC483" s="2" t="s">
        <v>98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98</v>
      </c>
      <c r="AM483" s="4"/>
      <c r="AN483" s="4"/>
      <c r="AO483" s="7">
        <v>0</v>
      </c>
      <c r="AP483" s="4"/>
      <c r="AQ483" s="8"/>
      <c r="AR483" s="4">
        <v>2</v>
      </c>
      <c r="AS483" s="8">
        <v>338.96</v>
      </c>
      <c r="AT483" s="7">
        <v>-1</v>
      </c>
      <c r="AU483" s="7">
        <v>-1</v>
      </c>
      <c r="AV483" s="4"/>
      <c r="AW483" s="8"/>
      <c r="AX483" s="4">
        <v>2</v>
      </c>
      <c r="AY483" s="8">
        <v>338.96</v>
      </c>
      <c r="AZ483" s="7">
        <v>-1</v>
      </c>
      <c r="BA483" s="7">
        <v>-1</v>
      </c>
      <c r="BB483" s="7"/>
      <c r="BC483" s="4" t="s">
        <v>98</v>
      </c>
      <c r="BD483" s="8" t="s">
        <v>98</v>
      </c>
      <c r="BE483" s="4">
        <v>2</v>
      </c>
      <c r="BF483" s="8">
        <v>338.96</v>
      </c>
      <c r="BG483" s="7" t="s">
        <v>98</v>
      </c>
      <c r="BH483" s="7" t="s">
        <v>98</v>
      </c>
      <c r="BI483" s="7"/>
      <c r="BJ483" s="4">
        <v>3</v>
      </c>
      <c r="BK483" s="8">
        <v>363.36</v>
      </c>
      <c r="BL483" s="2" t="s">
        <v>1445</v>
      </c>
      <c r="BM483" s="7"/>
      <c r="BN483" s="7"/>
      <c r="BO483" s="4"/>
      <c r="BP483" s="8"/>
      <c r="BQ483" s="4">
        <v>2</v>
      </c>
      <c r="BR483" s="8">
        <v>338.96</v>
      </c>
      <c r="BS483" s="7">
        <v>-1</v>
      </c>
      <c r="BT483" s="7">
        <v>-1</v>
      </c>
      <c r="BU483" s="2" t="s">
        <v>107</v>
      </c>
      <c r="BV483" s="2" t="s">
        <v>1355</v>
      </c>
      <c r="BW483" s="2" t="s">
        <v>1472</v>
      </c>
      <c r="BX483" s="2" t="s">
        <v>2122</v>
      </c>
      <c r="BY483" s="2" t="s">
        <v>110</v>
      </c>
      <c r="BZ483" s="2" t="s">
        <v>98</v>
      </c>
    </row>
    <row r="484">
      <c r="A484" s="2" t="s">
        <v>2677</v>
      </c>
      <c r="B484" s="2" t="s">
        <v>1345</v>
      </c>
      <c r="C484" s="2" t="s">
        <v>88</v>
      </c>
      <c r="D484" s="2" t="s">
        <v>2390</v>
      </c>
      <c r="E484" s="2" t="s">
        <v>2390</v>
      </c>
      <c r="F484" s="2" t="s">
        <v>1391</v>
      </c>
      <c r="G484" s="2" t="s">
        <v>1392</v>
      </c>
      <c r="H484" s="2" t="s">
        <v>1393</v>
      </c>
      <c r="I484" s="2" t="s">
        <v>2676</v>
      </c>
      <c r="J484" s="2" t="s">
        <v>93</v>
      </c>
      <c r="K484" s="2" t="s">
        <v>133</v>
      </c>
      <c r="L484" s="3">
        <v>192.5</v>
      </c>
      <c r="M484" s="3">
        <v>202.12</v>
      </c>
      <c r="N484" s="3">
        <v>409</v>
      </c>
      <c r="O484" s="2" t="s">
        <v>1278</v>
      </c>
      <c r="P484" s="2" t="s">
        <v>115</v>
      </c>
      <c r="Q484" s="2" t="s">
        <v>97</v>
      </c>
      <c r="R484" s="2" t="s">
        <v>98</v>
      </c>
      <c r="S484" s="2" t="s">
        <v>98</v>
      </c>
      <c r="T484" s="2" t="s">
        <v>98</v>
      </c>
      <c r="U484" s="2" t="s">
        <v>117</v>
      </c>
      <c r="V484" s="2" t="s">
        <v>439</v>
      </c>
      <c r="W484" s="2" t="s">
        <v>103</v>
      </c>
      <c r="X484" s="2" t="s">
        <v>98</v>
      </c>
      <c r="Y484" s="2" t="s">
        <v>2512</v>
      </c>
      <c r="Z484" s="4">
        <v>1</v>
      </c>
      <c r="AA484" s="4">
        <f>=ROUNDDOWN({0},0)</f>
      </c>
      <c r="AB484" s="5"/>
      <c r="AC484" s="2" t="s">
        <v>98</v>
      </c>
      <c r="AD484" s="4"/>
      <c r="AE484" s="4"/>
      <c r="AF484" s="6">
        <v>65</v>
      </c>
      <c r="AG484" s="6">
        <v>48</v>
      </c>
      <c r="AH484" s="7">
        <v>1</v>
      </c>
      <c r="AI484" s="4"/>
      <c r="AJ484" s="4">
        <f>=ROUNDDOWN({0},0)</f>
      </c>
      <c r="AK484" s="5"/>
      <c r="AL484" s="2" t="s">
        <v>98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/>
      <c r="AW484" s="8"/>
      <c r="AX484" s="4"/>
      <c r="AY484" s="8"/>
      <c r="AZ484" s="7"/>
      <c r="BA484" s="7"/>
      <c r="BB484" s="7"/>
      <c r="BC484" s="4" t="s">
        <v>98</v>
      </c>
      <c r="BD484" s="8" t="s">
        <v>98</v>
      </c>
      <c r="BE484" s="4" t="s">
        <v>98</v>
      </c>
      <c r="BF484" s="8" t="s">
        <v>98</v>
      </c>
      <c r="BG484" s="7" t="s">
        <v>98</v>
      </c>
      <c r="BH484" s="7" t="s">
        <v>98</v>
      </c>
      <c r="BI484" s="7"/>
      <c r="BJ484" s="4"/>
      <c r="BK484" s="8"/>
      <c r="BL484" s="2" t="s">
        <v>895</v>
      </c>
      <c r="BM484" s="7"/>
      <c r="BN484" s="7"/>
      <c r="BO484" s="4"/>
      <c r="BP484" s="8"/>
      <c r="BQ484" s="4"/>
      <c r="BR484" s="8"/>
      <c r="BS484" s="7"/>
      <c r="BT484" s="7"/>
      <c r="BU484" s="2" t="s">
        <v>107</v>
      </c>
      <c r="BV484" s="2" t="s">
        <v>1355</v>
      </c>
      <c r="BW484" s="2" t="s">
        <v>707</v>
      </c>
      <c r="BX484" s="2" t="s">
        <v>2106</v>
      </c>
      <c r="BY484" s="2" t="s">
        <v>110</v>
      </c>
      <c r="BZ484" s="2" t="s">
        <v>98</v>
      </c>
    </row>
    <row r="485">
      <c r="A485" s="2" t="s">
        <v>2678</v>
      </c>
      <c r="B485" s="2" t="s">
        <v>1345</v>
      </c>
      <c r="C485" s="2" t="s">
        <v>88</v>
      </c>
      <c r="D485" s="2" t="s">
        <v>2390</v>
      </c>
      <c r="E485" s="2" t="s">
        <v>2390</v>
      </c>
      <c r="F485" s="2" t="s">
        <v>2679</v>
      </c>
      <c r="G485" s="2" t="s">
        <v>2680</v>
      </c>
      <c r="H485" s="2" t="s">
        <v>2681</v>
      </c>
      <c r="I485" s="2" t="s">
        <v>2433</v>
      </c>
      <c r="J485" s="2" t="s">
        <v>93</v>
      </c>
      <c r="K485" s="2" t="s">
        <v>514</v>
      </c>
      <c r="L485" s="3">
        <v>188.57</v>
      </c>
      <c r="M485" s="3">
        <v>198</v>
      </c>
      <c r="N485" s="3">
        <v>399</v>
      </c>
      <c r="O485" s="2" t="s">
        <v>155</v>
      </c>
      <c r="P485" s="2" t="s">
        <v>115</v>
      </c>
      <c r="Q485" s="2" t="s">
        <v>97</v>
      </c>
      <c r="R485" s="2" t="s">
        <v>98</v>
      </c>
      <c r="S485" s="2" t="s">
        <v>98</v>
      </c>
      <c r="T485" s="2" t="s">
        <v>98</v>
      </c>
      <c r="U485" s="2" t="s">
        <v>117</v>
      </c>
      <c r="V485" s="2" t="s">
        <v>439</v>
      </c>
      <c r="W485" s="2" t="s">
        <v>204</v>
      </c>
      <c r="X485" s="2" t="s">
        <v>98</v>
      </c>
      <c r="Y485" s="2" t="s">
        <v>318</v>
      </c>
      <c r="Z485" s="4"/>
      <c r="AA485" s="4">
        <f>=ROUNDDOWN({0},0)</f>
      </c>
      <c r="AB485" s="5"/>
      <c r="AC485" s="2" t="s">
        <v>98</v>
      </c>
      <c r="AD485" s="4"/>
      <c r="AE485" s="4"/>
      <c r="AF485" s="6">
        <v>67</v>
      </c>
      <c r="AG485" s="6"/>
      <c r="AH485" s="7">
        <v>0</v>
      </c>
      <c r="AI485" s="4"/>
      <c r="AJ485" s="4">
        <f>=ROUNDDOWN({0},0)</f>
      </c>
      <c r="AK485" s="5"/>
      <c r="AL485" s="2" t="s">
        <v>98</v>
      </c>
      <c r="AM485" s="4"/>
      <c r="AN485" s="4"/>
      <c r="AO485" s="7">
        <v>0</v>
      </c>
      <c r="AP485" s="4"/>
      <c r="AQ485" s="8"/>
      <c r="AR485" s="4">
        <v>3</v>
      </c>
      <c r="AS485" s="8">
        <v>464.49</v>
      </c>
      <c r="AT485" s="7">
        <v>-1</v>
      </c>
      <c r="AU485" s="7">
        <v>-1</v>
      </c>
      <c r="AV485" s="4"/>
      <c r="AW485" s="8"/>
      <c r="AX485" s="4">
        <v>3</v>
      </c>
      <c r="AY485" s="8">
        <v>464.49</v>
      </c>
      <c r="AZ485" s="7">
        <v>-1</v>
      </c>
      <c r="BA485" s="7">
        <v>-1</v>
      </c>
      <c r="BB485" s="7"/>
      <c r="BC485" s="4"/>
      <c r="BD485" s="8"/>
      <c r="BE485" s="4">
        <v>3</v>
      </c>
      <c r="BF485" s="8">
        <v>464.49</v>
      </c>
      <c r="BG485" s="7">
        <v>-1</v>
      </c>
      <c r="BH485" s="7">
        <v>-1</v>
      </c>
      <c r="BI485" s="7"/>
      <c r="BJ485" s="4"/>
      <c r="BK485" s="8"/>
      <c r="BL485" s="2" t="s">
        <v>2682</v>
      </c>
      <c r="BM485" s="7"/>
      <c r="BN485" s="7"/>
      <c r="BO485" s="4"/>
      <c r="BP485" s="8"/>
      <c r="BQ485" s="4">
        <v>3</v>
      </c>
      <c r="BR485" s="8">
        <v>464.49</v>
      </c>
      <c r="BS485" s="7">
        <v>-1</v>
      </c>
      <c r="BT485" s="7">
        <v>-1</v>
      </c>
      <c r="BU485" s="2" t="s">
        <v>107</v>
      </c>
      <c r="BV485" s="2" t="s">
        <v>1355</v>
      </c>
      <c r="BW485" s="2" t="s">
        <v>1584</v>
      </c>
      <c r="BX485" s="2" t="s">
        <v>98</v>
      </c>
      <c r="BY485" s="2" t="s">
        <v>110</v>
      </c>
      <c r="BZ485" s="2" t="s">
        <v>98</v>
      </c>
    </row>
    <row r="486">
      <c r="A486" s="2" t="s">
        <v>2683</v>
      </c>
      <c r="B486" s="2" t="s">
        <v>1345</v>
      </c>
      <c r="C486" s="2" t="s">
        <v>88</v>
      </c>
      <c r="D486" s="2" t="s">
        <v>2390</v>
      </c>
      <c r="E486" s="2" t="s">
        <v>2390</v>
      </c>
      <c r="F486" s="2" t="s">
        <v>2684</v>
      </c>
      <c r="G486" s="2" t="s">
        <v>2685</v>
      </c>
      <c r="H486" s="2" t="s">
        <v>2686</v>
      </c>
      <c r="I486" s="2" t="s">
        <v>2433</v>
      </c>
      <c r="J486" s="2" t="s">
        <v>93</v>
      </c>
      <c r="K486" s="2" t="s">
        <v>595</v>
      </c>
      <c r="L486" s="3">
        <v>110</v>
      </c>
      <c r="M486" s="3">
        <v>115.5</v>
      </c>
      <c r="N486" s="3">
        <v>229</v>
      </c>
      <c r="O486" s="2" t="s">
        <v>155</v>
      </c>
      <c r="P486" s="2" t="s">
        <v>115</v>
      </c>
      <c r="Q486" s="2" t="s">
        <v>97</v>
      </c>
      <c r="R486" s="2" t="s">
        <v>98</v>
      </c>
      <c r="S486" s="2" t="s">
        <v>2687</v>
      </c>
      <c r="T486" s="2" t="s">
        <v>98</v>
      </c>
      <c r="U486" s="2" t="s">
        <v>98</v>
      </c>
      <c r="V486" s="2" t="s">
        <v>439</v>
      </c>
      <c r="W486" s="2" t="s">
        <v>103</v>
      </c>
      <c r="X486" s="2" t="s">
        <v>98</v>
      </c>
      <c r="Y486" s="2" t="s">
        <v>366</v>
      </c>
      <c r="Z486" s="4">
        <v>121</v>
      </c>
      <c r="AA486" s="4">
        <f>=ROUNDDOWN({0},0)</f>
      </c>
      <c r="AB486" s="5"/>
      <c r="AC486" s="2" t="s">
        <v>98</v>
      </c>
      <c r="AD486" s="4"/>
      <c r="AE486" s="4"/>
      <c r="AF486" s="6">
        <v>65</v>
      </c>
      <c r="AG486" s="6">
        <v>48</v>
      </c>
      <c r="AH486" s="7">
        <v>1</v>
      </c>
      <c r="AI486" s="4"/>
      <c r="AJ486" s="4">
        <f>=ROUNDDOWN({0},0)</f>
      </c>
      <c r="AK486" s="5"/>
      <c r="AL486" s="2" t="s">
        <v>98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/>
      <c r="AW486" s="8"/>
      <c r="AX486" s="4"/>
      <c r="AY486" s="8"/>
      <c r="AZ486" s="7"/>
      <c r="BA486" s="7"/>
      <c r="BB486" s="7"/>
      <c r="BC486" s="4" t="s">
        <v>98</v>
      </c>
      <c r="BD486" s="8" t="s">
        <v>98</v>
      </c>
      <c r="BE486" s="4" t="s">
        <v>98</v>
      </c>
      <c r="BF486" s="8" t="s">
        <v>98</v>
      </c>
      <c r="BG486" s="7" t="s">
        <v>98</v>
      </c>
      <c r="BH486" s="7" t="s">
        <v>98</v>
      </c>
      <c r="BI486" s="7"/>
      <c r="BJ486" s="4"/>
      <c r="BK486" s="8"/>
      <c r="BL486" s="2" t="s">
        <v>98</v>
      </c>
      <c r="BM486" s="7"/>
      <c r="BN486" s="7"/>
      <c r="BO486" s="4"/>
      <c r="BP486" s="8"/>
      <c r="BQ486" s="4"/>
      <c r="BR486" s="8"/>
      <c r="BS486" s="7"/>
      <c r="BT486" s="7"/>
      <c r="BU486" s="2" t="s">
        <v>107</v>
      </c>
      <c r="BV486" s="2" t="s">
        <v>1355</v>
      </c>
      <c r="BW486" s="2" t="s">
        <v>1356</v>
      </c>
      <c r="BX486" s="2" t="s">
        <v>2688</v>
      </c>
      <c r="BY486" s="2" t="s">
        <v>110</v>
      </c>
      <c r="BZ486" s="2" t="s">
        <v>98</v>
      </c>
    </row>
    <row r="487">
      <c r="A487" s="2" t="s">
        <v>2689</v>
      </c>
      <c r="B487" s="2" t="s">
        <v>1345</v>
      </c>
      <c r="C487" s="2" t="s">
        <v>88</v>
      </c>
      <c r="D487" s="2" t="s">
        <v>2390</v>
      </c>
      <c r="E487" s="2" t="s">
        <v>2390</v>
      </c>
      <c r="F487" s="2" t="s">
        <v>2684</v>
      </c>
      <c r="G487" s="2" t="s">
        <v>2685</v>
      </c>
      <c r="H487" s="2" t="s">
        <v>2686</v>
      </c>
      <c r="I487" s="2" t="s">
        <v>2433</v>
      </c>
      <c r="J487" s="2" t="s">
        <v>93</v>
      </c>
      <c r="K487" s="2" t="s">
        <v>1404</v>
      </c>
      <c r="L487" s="3">
        <v>110</v>
      </c>
      <c r="M487" s="3">
        <v>115.5</v>
      </c>
      <c r="N487" s="3">
        <v>229</v>
      </c>
      <c r="O487" s="2" t="s">
        <v>155</v>
      </c>
      <c r="P487" s="2" t="s">
        <v>115</v>
      </c>
      <c r="Q487" s="2" t="s">
        <v>97</v>
      </c>
      <c r="R487" s="2" t="s">
        <v>98</v>
      </c>
      <c r="S487" s="2" t="s">
        <v>2690</v>
      </c>
      <c r="T487" s="2" t="s">
        <v>98</v>
      </c>
      <c r="U487" s="2" t="s">
        <v>98</v>
      </c>
      <c r="V487" s="2" t="s">
        <v>439</v>
      </c>
      <c r="W487" s="2" t="s">
        <v>103</v>
      </c>
      <c r="X487" s="2" t="s">
        <v>98</v>
      </c>
      <c r="Y487" s="2" t="s">
        <v>366</v>
      </c>
      <c r="Z487" s="4">
        <v>33</v>
      </c>
      <c r="AA487" s="4">
        <f>=ROUNDDOWN(19.4117647058824,0)</f>
      </c>
      <c r="AB487" s="5">
        <v>1.7</v>
      </c>
      <c r="AC487" s="2" t="s">
        <v>98</v>
      </c>
      <c r="AD487" s="4"/>
      <c r="AE487" s="4"/>
      <c r="AF487" s="6">
        <v>74</v>
      </c>
      <c r="AG487" s="6">
        <v>60</v>
      </c>
      <c r="AH487" s="7">
        <v>1</v>
      </c>
      <c r="AI487" s="4"/>
      <c r="AJ487" s="4">
        <f>=ROUNDDOWN({0},0)</f>
      </c>
      <c r="AK487" s="5"/>
      <c r="AL487" s="2" t="s">
        <v>98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/>
      <c r="AW487" s="8"/>
      <c r="AX487" s="4"/>
      <c r="AY487" s="8"/>
      <c r="AZ487" s="7"/>
      <c r="BA487" s="7"/>
      <c r="BB487" s="7"/>
      <c r="BC487" s="4" t="s">
        <v>98</v>
      </c>
      <c r="BD487" s="8" t="s">
        <v>98</v>
      </c>
      <c r="BE487" s="4" t="s">
        <v>98</v>
      </c>
      <c r="BF487" s="8" t="s">
        <v>98</v>
      </c>
      <c r="BG487" s="7" t="s">
        <v>98</v>
      </c>
      <c r="BH487" s="7" t="s">
        <v>98</v>
      </c>
      <c r="BI487" s="7"/>
      <c r="BJ487" s="4"/>
      <c r="BK487" s="8"/>
      <c r="BL487" s="2" t="s">
        <v>98</v>
      </c>
      <c r="BM487" s="7"/>
      <c r="BN487" s="7"/>
      <c r="BO487" s="4"/>
      <c r="BP487" s="8"/>
      <c r="BQ487" s="4"/>
      <c r="BR487" s="8"/>
      <c r="BS487" s="7"/>
      <c r="BT487" s="7"/>
      <c r="BU487" s="2" t="s">
        <v>107</v>
      </c>
      <c r="BV487" s="2" t="s">
        <v>1355</v>
      </c>
      <c r="BW487" s="2" t="s">
        <v>1356</v>
      </c>
      <c r="BX487" s="2" t="s">
        <v>2691</v>
      </c>
      <c r="BY487" s="2" t="s">
        <v>110</v>
      </c>
      <c r="BZ487" s="2" t="s">
        <v>98</v>
      </c>
    </row>
    <row r="488">
      <c r="A488" s="2" t="s">
        <v>2692</v>
      </c>
      <c r="B488" s="2" t="s">
        <v>1345</v>
      </c>
      <c r="C488" s="2" t="s">
        <v>88</v>
      </c>
      <c r="D488" s="2" t="s">
        <v>2390</v>
      </c>
      <c r="E488" s="2" t="s">
        <v>2390</v>
      </c>
      <c r="F488" s="2" t="s">
        <v>2596</v>
      </c>
      <c r="G488" s="2" t="s">
        <v>2597</v>
      </c>
      <c r="H488" s="2" t="s">
        <v>2598</v>
      </c>
      <c r="I488" s="2" t="s">
        <v>2693</v>
      </c>
      <c r="J488" s="2" t="s">
        <v>93</v>
      </c>
      <c r="K488" s="2" t="s">
        <v>277</v>
      </c>
      <c r="L488" s="3">
        <v>171</v>
      </c>
      <c r="M488" s="3">
        <v>179.55</v>
      </c>
      <c r="N488" s="3">
        <v>369</v>
      </c>
      <c r="O488" s="2" t="s">
        <v>95</v>
      </c>
      <c r="P488" s="2" t="s">
        <v>134</v>
      </c>
      <c r="Q488" s="2" t="s">
        <v>97</v>
      </c>
      <c r="R488" s="2" t="s">
        <v>98</v>
      </c>
      <c r="S488" s="2" t="s">
        <v>98</v>
      </c>
      <c r="T488" s="2" t="s">
        <v>98</v>
      </c>
      <c r="U488" s="2" t="s">
        <v>117</v>
      </c>
      <c r="V488" s="2" t="s">
        <v>296</v>
      </c>
      <c r="W488" s="2" t="s">
        <v>103</v>
      </c>
      <c r="X488" s="2" t="s">
        <v>98</v>
      </c>
      <c r="Y488" s="2" t="s">
        <v>1635</v>
      </c>
      <c r="Z488" s="4">
        <v>88</v>
      </c>
      <c r="AA488" s="4">
        <f>=ROUNDDOWN(17.9591836734694,0)</f>
      </c>
      <c r="AB488" s="5">
        <v>4.9</v>
      </c>
      <c r="AC488" s="2" t="s">
        <v>1562</v>
      </c>
      <c r="AD488" s="4">
        <v>100</v>
      </c>
      <c r="AE488" s="4">
        <v>100</v>
      </c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98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/>
      <c r="AW488" s="8"/>
      <c r="AX488" s="4"/>
      <c r="AY488" s="8"/>
      <c r="AZ488" s="7"/>
      <c r="BA488" s="7"/>
      <c r="BB488" s="7"/>
      <c r="BC488" s="4" t="s">
        <v>98</v>
      </c>
      <c r="BD488" s="8" t="s">
        <v>98</v>
      </c>
      <c r="BE488" s="4" t="s">
        <v>98</v>
      </c>
      <c r="BF488" s="8" t="s">
        <v>98</v>
      </c>
      <c r="BG488" s="7" t="s">
        <v>98</v>
      </c>
      <c r="BH488" s="7" t="s">
        <v>98</v>
      </c>
      <c r="BI488" s="7"/>
      <c r="BJ488" s="4"/>
      <c r="BK488" s="8"/>
      <c r="BL488" s="2" t="s">
        <v>1379</v>
      </c>
      <c r="BM488" s="7"/>
      <c r="BN488" s="7"/>
      <c r="BO488" s="4"/>
      <c r="BP488" s="8"/>
      <c r="BQ488" s="4"/>
      <c r="BR488" s="8"/>
      <c r="BS488" s="7"/>
      <c r="BT488" s="7"/>
      <c r="BU488" s="2" t="s">
        <v>1376</v>
      </c>
      <c r="BV488" s="2" t="s">
        <v>95</v>
      </c>
      <c r="BW488" s="2" t="s">
        <v>98</v>
      </c>
      <c r="BX488" s="2" t="s">
        <v>98</v>
      </c>
      <c r="BY488" s="2" t="s">
        <v>110</v>
      </c>
      <c r="BZ488" s="2" t="s">
        <v>98</v>
      </c>
    </row>
    <row r="489">
      <c r="A489" s="2" t="s">
        <v>2694</v>
      </c>
      <c r="B489" s="2" t="s">
        <v>1345</v>
      </c>
      <c r="C489" s="2" t="s">
        <v>88</v>
      </c>
      <c r="D489" s="2" t="s">
        <v>2390</v>
      </c>
      <c r="E489" s="2" t="s">
        <v>2390</v>
      </c>
      <c r="F489" s="2" t="s">
        <v>2596</v>
      </c>
      <c r="G489" s="2" t="s">
        <v>2597</v>
      </c>
      <c r="H489" s="2" t="s">
        <v>2598</v>
      </c>
      <c r="I489" s="2" t="s">
        <v>2693</v>
      </c>
      <c r="J489" s="2" t="s">
        <v>93</v>
      </c>
      <c r="K489" s="2" t="s">
        <v>133</v>
      </c>
      <c r="L489" s="3">
        <v>171</v>
      </c>
      <c r="M489" s="3">
        <v>179.55</v>
      </c>
      <c r="N489" s="3">
        <v>369</v>
      </c>
      <c r="O489" s="2" t="s">
        <v>95</v>
      </c>
      <c r="P489" s="2" t="s">
        <v>134</v>
      </c>
      <c r="Q489" s="2" t="s">
        <v>97</v>
      </c>
      <c r="R489" s="2" t="s">
        <v>98</v>
      </c>
      <c r="S489" s="2" t="s">
        <v>98</v>
      </c>
      <c r="T489" s="2" t="s">
        <v>98</v>
      </c>
      <c r="U489" s="2" t="s">
        <v>117</v>
      </c>
      <c r="V489" s="2" t="s">
        <v>439</v>
      </c>
      <c r="W489" s="2" t="s">
        <v>103</v>
      </c>
      <c r="X489" s="2" t="s">
        <v>102</v>
      </c>
      <c r="Y489" s="2" t="s">
        <v>2695</v>
      </c>
      <c r="Z489" s="4">
        <v>161</v>
      </c>
      <c r="AA489" s="4">
        <f>=ROUNDDOWN(12.3846153846154,0)</f>
      </c>
      <c r="AB489" s="5">
        <v>13</v>
      </c>
      <c r="AC489" s="2" t="s">
        <v>167</v>
      </c>
      <c r="AD489" s="4">
        <v>39</v>
      </c>
      <c r="AE489" s="4">
        <v>350</v>
      </c>
      <c r="AF489" s="6">
        <v>65</v>
      </c>
      <c r="AG489" s="6">
        <v>48</v>
      </c>
      <c r="AH489" s="7">
        <v>1</v>
      </c>
      <c r="AI489" s="4"/>
      <c r="AJ489" s="4">
        <f>=ROUNDDOWN({0},0)</f>
      </c>
      <c r="AK489" s="5"/>
      <c r="AL489" s="2" t="s">
        <v>98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/>
      <c r="AW489" s="8"/>
      <c r="AX489" s="4"/>
      <c r="AY489" s="8"/>
      <c r="AZ489" s="7"/>
      <c r="BA489" s="7"/>
      <c r="BB489" s="7"/>
      <c r="BC489" s="4" t="s">
        <v>98</v>
      </c>
      <c r="BD489" s="8" t="s">
        <v>98</v>
      </c>
      <c r="BE489" s="4" t="s">
        <v>98</v>
      </c>
      <c r="BF489" s="8" t="s">
        <v>98</v>
      </c>
      <c r="BG489" s="7" t="s">
        <v>98</v>
      </c>
      <c r="BH489" s="7" t="s">
        <v>98</v>
      </c>
      <c r="BI489" s="7"/>
      <c r="BJ489" s="4">
        <v>9</v>
      </c>
      <c r="BK489" s="8">
        <v>1620.65</v>
      </c>
      <c r="BL489" s="2" t="s">
        <v>1379</v>
      </c>
      <c r="BM489" s="7"/>
      <c r="BN489" s="7"/>
      <c r="BO489" s="4"/>
      <c r="BP489" s="8"/>
      <c r="BQ489" s="4"/>
      <c r="BR489" s="8"/>
      <c r="BS489" s="7"/>
      <c r="BT489" s="7"/>
      <c r="BU489" s="2" t="s">
        <v>1376</v>
      </c>
      <c r="BV489" s="2" t="s">
        <v>95</v>
      </c>
      <c r="BW489" s="2" t="s">
        <v>98</v>
      </c>
      <c r="BX489" s="2" t="s">
        <v>98</v>
      </c>
      <c r="BY489" s="2" t="s">
        <v>110</v>
      </c>
      <c r="BZ489" s="2" t="s">
        <v>98</v>
      </c>
    </row>
    <row r="490">
      <c r="A490" s="2" t="s">
        <v>2696</v>
      </c>
      <c r="B490" s="2" t="s">
        <v>1345</v>
      </c>
      <c r="C490" s="2" t="s">
        <v>88</v>
      </c>
      <c r="D490" s="2" t="s">
        <v>2390</v>
      </c>
      <c r="E490" s="2" t="s">
        <v>2390</v>
      </c>
      <c r="F490" s="2" t="s">
        <v>2596</v>
      </c>
      <c r="G490" s="2" t="s">
        <v>2597</v>
      </c>
      <c r="H490" s="2" t="s">
        <v>2598</v>
      </c>
      <c r="I490" s="2" t="s">
        <v>2693</v>
      </c>
      <c r="J490" s="2" t="s">
        <v>93</v>
      </c>
      <c r="K490" s="2" t="s">
        <v>2608</v>
      </c>
      <c r="L490" s="3">
        <v>171</v>
      </c>
      <c r="M490" s="3">
        <v>179.55</v>
      </c>
      <c r="N490" s="3">
        <v>369</v>
      </c>
      <c r="O490" s="2" t="s">
        <v>155</v>
      </c>
      <c r="P490" s="2" t="s">
        <v>115</v>
      </c>
      <c r="Q490" s="2" t="s">
        <v>97</v>
      </c>
      <c r="R490" s="2" t="s">
        <v>98</v>
      </c>
      <c r="S490" s="2" t="s">
        <v>98</v>
      </c>
      <c r="T490" s="2" t="s">
        <v>98</v>
      </c>
      <c r="U490" s="2" t="s">
        <v>117</v>
      </c>
      <c r="V490" s="2" t="s">
        <v>296</v>
      </c>
      <c r="W490" s="2" t="s">
        <v>103</v>
      </c>
      <c r="X490" s="2" t="s">
        <v>98</v>
      </c>
      <c r="Y490" s="2" t="s">
        <v>1635</v>
      </c>
      <c r="Z490" s="4">
        <v>36</v>
      </c>
      <c r="AA490" s="4">
        <f>=ROUNDDOWN(12,0)</f>
      </c>
      <c r="AB490" s="5">
        <v>3</v>
      </c>
      <c r="AC490" s="2" t="s">
        <v>98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98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/>
      <c r="AW490" s="8"/>
      <c r="AX490" s="4"/>
      <c r="AY490" s="8"/>
      <c r="AZ490" s="7"/>
      <c r="BA490" s="7"/>
      <c r="BB490" s="7"/>
      <c r="BC490" s="4" t="s">
        <v>98</v>
      </c>
      <c r="BD490" s="8" t="s">
        <v>98</v>
      </c>
      <c r="BE490" s="4" t="s">
        <v>98</v>
      </c>
      <c r="BF490" s="8" t="s">
        <v>98</v>
      </c>
      <c r="BG490" s="7" t="s">
        <v>98</v>
      </c>
      <c r="BH490" s="7" t="s">
        <v>98</v>
      </c>
      <c r="BI490" s="7"/>
      <c r="BJ490" s="4">
        <v>11</v>
      </c>
      <c r="BK490" s="8">
        <v>1889.47</v>
      </c>
      <c r="BL490" s="2" t="s">
        <v>895</v>
      </c>
      <c r="BM490" s="7"/>
      <c r="BN490" s="7"/>
      <c r="BO490" s="4"/>
      <c r="BP490" s="8"/>
      <c r="BQ490" s="4"/>
      <c r="BR490" s="8"/>
      <c r="BS490" s="7"/>
      <c r="BT490" s="7"/>
      <c r="BU490" s="2" t="s">
        <v>1376</v>
      </c>
      <c r="BV490" s="2" t="s">
        <v>95</v>
      </c>
      <c r="BW490" s="2" t="s">
        <v>98</v>
      </c>
      <c r="BX490" s="2" t="s">
        <v>98</v>
      </c>
      <c r="BY490" s="2" t="s">
        <v>110</v>
      </c>
      <c r="BZ490" s="2" t="s">
        <v>98</v>
      </c>
    </row>
    <row r="491">
      <c r="A491" s="2" t="s">
        <v>2697</v>
      </c>
      <c r="B491" s="2" t="s">
        <v>1345</v>
      </c>
      <c r="C491" s="2" t="s">
        <v>88</v>
      </c>
      <c r="D491" s="2" t="s">
        <v>2390</v>
      </c>
      <c r="E491" s="2" t="s">
        <v>2390</v>
      </c>
      <c r="F491" s="2" t="s">
        <v>2596</v>
      </c>
      <c r="G491" s="2" t="s">
        <v>2597</v>
      </c>
      <c r="H491" s="2" t="s">
        <v>2598</v>
      </c>
      <c r="I491" s="2" t="s">
        <v>2693</v>
      </c>
      <c r="J491" s="2" t="s">
        <v>93</v>
      </c>
      <c r="K491" s="2" t="s">
        <v>1423</v>
      </c>
      <c r="L491" s="3">
        <v>171</v>
      </c>
      <c r="M491" s="3">
        <v>179.55</v>
      </c>
      <c r="N491" s="3">
        <v>369</v>
      </c>
      <c r="O491" s="2" t="s">
        <v>95</v>
      </c>
      <c r="P491" s="2" t="s">
        <v>134</v>
      </c>
      <c r="Q491" s="2" t="s">
        <v>97</v>
      </c>
      <c r="R491" s="2" t="s">
        <v>98</v>
      </c>
      <c r="S491" s="2" t="s">
        <v>98</v>
      </c>
      <c r="T491" s="2" t="s">
        <v>98</v>
      </c>
      <c r="U491" s="2" t="s">
        <v>117</v>
      </c>
      <c r="V491" s="2" t="s">
        <v>439</v>
      </c>
      <c r="W491" s="2" t="s">
        <v>103</v>
      </c>
      <c r="X491" s="2" t="s">
        <v>102</v>
      </c>
      <c r="Y491" s="2" t="s">
        <v>2695</v>
      </c>
      <c r="Z491" s="4">
        <v>115</v>
      </c>
      <c r="AA491" s="4">
        <f>=ROUNDDOWN(9.58333333333333,0)</f>
      </c>
      <c r="AB491" s="5">
        <v>12</v>
      </c>
      <c r="AC491" s="2" t="s">
        <v>2305</v>
      </c>
      <c r="AD491" s="4">
        <v>200</v>
      </c>
      <c r="AE491" s="4">
        <v>350</v>
      </c>
      <c r="AF491" s="6">
        <v>65</v>
      </c>
      <c r="AG491" s="6">
        <v>48</v>
      </c>
      <c r="AH491" s="7">
        <v>1</v>
      </c>
      <c r="AI491" s="4"/>
      <c r="AJ491" s="4">
        <f>=ROUNDDOWN({0},0)</f>
      </c>
      <c r="AK491" s="5"/>
      <c r="AL491" s="2" t="s">
        <v>98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/>
      <c r="AW491" s="8"/>
      <c r="AX491" s="4"/>
      <c r="AY491" s="8"/>
      <c r="AZ491" s="7"/>
      <c r="BA491" s="7"/>
      <c r="BB491" s="7"/>
      <c r="BC491" s="4" t="s">
        <v>98</v>
      </c>
      <c r="BD491" s="8" t="s">
        <v>98</v>
      </c>
      <c r="BE491" s="4" t="s">
        <v>98</v>
      </c>
      <c r="BF491" s="8" t="s">
        <v>98</v>
      </c>
      <c r="BG491" s="7" t="s">
        <v>98</v>
      </c>
      <c r="BH491" s="7" t="s">
        <v>98</v>
      </c>
      <c r="BI491" s="7"/>
      <c r="BJ491" s="4">
        <v>23</v>
      </c>
      <c r="BK491" s="8">
        <v>4046.73</v>
      </c>
      <c r="BL491" s="2" t="s">
        <v>2698</v>
      </c>
      <c r="BM491" s="7"/>
      <c r="BN491" s="7"/>
      <c r="BO491" s="4"/>
      <c r="BP491" s="8"/>
      <c r="BQ491" s="4"/>
      <c r="BR491" s="8"/>
      <c r="BS491" s="7"/>
      <c r="BT491" s="7"/>
      <c r="BU491" s="2" t="s">
        <v>1376</v>
      </c>
      <c r="BV491" s="2" t="s">
        <v>95</v>
      </c>
      <c r="BW491" s="2" t="s">
        <v>98</v>
      </c>
      <c r="BX491" s="2" t="s">
        <v>98</v>
      </c>
      <c r="BY491" s="2" t="s">
        <v>110</v>
      </c>
      <c r="BZ491" s="2" t="s">
        <v>98</v>
      </c>
    </row>
    <row r="492">
      <c r="A492" s="2" t="s">
        <v>2699</v>
      </c>
      <c r="B492" s="2" t="s">
        <v>1345</v>
      </c>
      <c r="C492" s="2" t="s">
        <v>88</v>
      </c>
      <c r="D492" s="2" t="s">
        <v>2700</v>
      </c>
      <c r="E492" s="2" t="s">
        <v>2700</v>
      </c>
      <c r="F492" s="2" t="s">
        <v>2701</v>
      </c>
      <c r="G492" s="2" t="s">
        <v>2702</v>
      </c>
      <c r="H492" s="2" t="s">
        <v>2703</v>
      </c>
      <c r="I492" s="2" t="s">
        <v>2704</v>
      </c>
      <c r="J492" s="2" t="s">
        <v>93</v>
      </c>
      <c r="K492" s="2" t="s">
        <v>2705</v>
      </c>
      <c r="L492" s="3">
        <v>303.03</v>
      </c>
      <c r="M492" s="3">
        <v>318.18</v>
      </c>
      <c r="N492" s="3">
        <v>649</v>
      </c>
      <c r="O492" s="2" t="s">
        <v>95</v>
      </c>
      <c r="P492" s="2" t="s">
        <v>163</v>
      </c>
      <c r="Q492" s="2" t="s">
        <v>97</v>
      </c>
      <c r="R492" s="2" t="s">
        <v>98</v>
      </c>
      <c r="S492" s="2" t="s">
        <v>98</v>
      </c>
      <c r="T492" s="2" t="s">
        <v>98</v>
      </c>
      <c r="U492" s="2" t="s">
        <v>117</v>
      </c>
      <c r="V492" s="2" t="s">
        <v>296</v>
      </c>
      <c r="W492" s="2" t="s">
        <v>204</v>
      </c>
      <c r="X492" s="2" t="s">
        <v>119</v>
      </c>
      <c r="Y492" s="2" t="s">
        <v>2706</v>
      </c>
      <c r="Z492" s="4">
        <v>351</v>
      </c>
      <c r="AA492" s="4">
        <f>=ROUNDDOWN(15.2608695652174,0)</f>
      </c>
      <c r="AB492" s="5">
        <v>23</v>
      </c>
      <c r="AC492" s="2" t="s">
        <v>2707</v>
      </c>
      <c r="AD492" s="4">
        <v>336</v>
      </c>
      <c r="AE492" s="4">
        <v>593</v>
      </c>
      <c r="AF492" s="6">
        <v>65</v>
      </c>
      <c r="AG492" s="6">
        <v>48</v>
      </c>
      <c r="AH492" s="7">
        <v>1</v>
      </c>
      <c r="AI492" s="4"/>
      <c r="AJ492" s="4">
        <f>=ROUNDDOWN({0},0)</f>
      </c>
      <c r="AK492" s="5"/>
      <c r="AL492" s="2" t="s">
        <v>98</v>
      </c>
      <c r="AM492" s="4"/>
      <c r="AN492" s="4"/>
      <c r="AO492" s="7">
        <v>0</v>
      </c>
      <c r="AP492" s="4">
        <v>5</v>
      </c>
      <c r="AQ492" s="8">
        <v>1486.95</v>
      </c>
      <c r="AR492" s="4">
        <v>3</v>
      </c>
      <c r="AS492" s="8">
        <v>986.91</v>
      </c>
      <c r="AT492" s="7">
        <v>0.6667</v>
      </c>
      <c r="AU492" s="7">
        <v>0.5067</v>
      </c>
      <c r="AV492" s="4">
        <v>5</v>
      </c>
      <c r="AW492" s="8">
        <v>1486.95</v>
      </c>
      <c r="AX492" s="4">
        <v>3</v>
      </c>
      <c r="AY492" s="8">
        <v>986.91</v>
      </c>
      <c r="AZ492" s="7">
        <v>0.6667</v>
      </c>
      <c r="BA492" s="7">
        <v>0.5067</v>
      </c>
      <c r="BB492" s="7">
        <v>1</v>
      </c>
      <c r="BC492" s="4">
        <v>5</v>
      </c>
      <c r="BD492" s="8">
        <v>1486.95</v>
      </c>
      <c r="BE492" s="4">
        <v>3</v>
      </c>
      <c r="BF492" s="8">
        <v>986.91</v>
      </c>
      <c r="BG492" s="7">
        <v>0.6667</v>
      </c>
      <c r="BH492" s="7">
        <v>0.5067</v>
      </c>
      <c r="BI492" s="7">
        <v>1</v>
      </c>
      <c r="BJ492" s="4">
        <v>18</v>
      </c>
      <c r="BK492" s="8">
        <v>5699.2</v>
      </c>
      <c r="BL492" s="2" t="s">
        <v>2708</v>
      </c>
      <c r="BM492" s="7">
        <v>0.2778</v>
      </c>
      <c r="BN492" s="7">
        <v>0.2609</v>
      </c>
      <c r="BO492" s="4">
        <v>5</v>
      </c>
      <c r="BP492" s="8">
        <v>1486.95</v>
      </c>
      <c r="BQ492" s="4">
        <v>3</v>
      </c>
      <c r="BR492" s="8">
        <v>986.91</v>
      </c>
      <c r="BS492" s="7">
        <v>0.6667</v>
      </c>
      <c r="BT492" s="7">
        <v>0.5067</v>
      </c>
      <c r="BU492" s="2" t="s">
        <v>107</v>
      </c>
      <c r="BV492" s="2" t="s">
        <v>1355</v>
      </c>
      <c r="BW492" s="2" t="s">
        <v>1284</v>
      </c>
      <c r="BX492" s="2" t="s">
        <v>2709</v>
      </c>
      <c r="BY492" s="2" t="s">
        <v>110</v>
      </c>
      <c r="BZ492" s="2" t="s">
        <v>98</v>
      </c>
    </row>
    <row r="493">
      <c r="A493" s="2" t="s">
        <v>2710</v>
      </c>
      <c r="B493" s="2" t="s">
        <v>1345</v>
      </c>
      <c r="C493" s="2" t="s">
        <v>88</v>
      </c>
      <c r="D493" s="2" t="s">
        <v>2700</v>
      </c>
      <c r="E493" s="2" t="s">
        <v>2700</v>
      </c>
      <c r="F493" s="2" t="s">
        <v>2701</v>
      </c>
      <c r="G493" s="2" t="s">
        <v>2702</v>
      </c>
      <c r="H493" s="2" t="s">
        <v>2703</v>
      </c>
      <c r="I493" s="2" t="s">
        <v>2704</v>
      </c>
      <c r="J493" s="2" t="s">
        <v>93</v>
      </c>
      <c r="K493" s="2" t="s">
        <v>2711</v>
      </c>
      <c r="L493" s="3">
        <v>303.03</v>
      </c>
      <c r="M493" s="3">
        <v>318.18</v>
      </c>
      <c r="N493" s="3">
        <v>649</v>
      </c>
      <c r="O493" s="2" t="s">
        <v>95</v>
      </c>
      <c r="P493" s="2" t="s">
        <v>134</v>
      </c>
      <c r="Q493" s="2" t="s">
        <v>97</v>
      </c>
      <c r="R493" s="2" t="s">
        <v>98</v>
      </c>
      <c r="S493" s="2" t="s">
        <v>98</v>
      </c>
      <c r="T493" s="2" t="s">
        <v>98</v>
      </c>
      <c r="U493" s="2" t="s">
        <v>117</v>
      </c>
      <c r="V493" s="2" t="s">
        <v>296</v>
      </c>
      <c r="W493" s="2" t="s">
        <v>204</v>
      </c>
      <c r="X493" s="2" t="s">
        <v>119</v>
      </c>
      <c r="Y493" s="2" t="s">
        <v>2712</v>
      </c>
      <c r="Z493" s="4">
        <v>140</v>
      </c>
      <c r="AA493" s="4">
        <f>=ROUNDDOWN(12.7272727272727,0)</f>
      </c>
      <c r="AB493" s="5">
        <v>11</v>
      </c>
      <c r="AC493" s="2" t="s">
        <v>2713</v>
      </c>
      <c r="AD493" s="4">
        <v>55</v>
      </c>
      <c r="AE493" s="4">
        <v>200</v>
      </c>
      <c r="AF493" s="6">
        <v>65</v>
      </c>
      <c r="AG493" s="6">
        <v>48</v>
      </c>
      <c r="AH493" s="7">
        <v>1</v>
      </c>
      <c r="AI493" s="4"/>
      <c r="AJ493" s="4">
        <f>=ROUNDDOWN({0},0)</f>
      </c>
      <c r="AK493" s="5"/>
      <c r="AL493" s="2" t="s">
        <v>98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 t="s">
        <v>98</v>
      </c>
      <c r="BD493" s="8" t="s">
        <v>98</v>
      </c>
      <c r="BE493" s="4" t="s">
        <v>98</v>
      </c>
      <c r="BF493" s="8" t="s">
        <v>98</v>
      </c>
      <c r="BG493" s="7" t="s">
        <v>98</v>
      </c>
      <c r="BH493" s="7" t="s">
        <v>98</v>
      </c>
      <c r="BI493" s="7"/>
      <c r="BJ493" s="4">
        <v>3</v>
      </c>
      <c r="BK493" s="8">
        <v>914.43</v>
      </c>
      <c r="BL493" s="2" t="s">
        <v>895</v>
      </c>
      <c r="BM493" s="7"/>
      <c r="BN493" s="7"/>
      <c r="BO493" s="4"/>
      <c r="BP493" s="8"/>
      <c r="BQ493" s="4"/>
      <c r="BR493" s="8"/>
      <c r="BS493" s="7"/>
      <c r="BT493" s="7"/>
      <c r="BU493" s="2" t="s">
        <v>1376</v>
      </c>
      <c r="BV493" s="2" t="s">
        <v>95</v>
      </c>
      <c r="BW493" s="2" t="s">
        <v>98</v>
      </c>
      <c r="BX493" s="2" t="s">
        <v>98</v>
      </c>
      <c r="BY493" s="2" t="s">
        <v>110</v>
      </c>
      <c r="BZ493" s="2" t="s">
        <v>98</v>
      </c>
    </row>
    <row r="494">
      <c r="A494" s="2" t="s">
        <v>2714</v>
      </c>
      <c r="B494" s="2" t="s">
        <v>1345</v>
      </c>
      <c r="C494" s="2" t="s">
        <v>88</v>
      </c>
      <c r="D494" s="2" t="s">
        <v>2700</v>
      </c>
      <c r="E494" s="2" t="s">
        <v>2700</v>
      </c>
      <c r="F494" s="2" t="s">
        <v>2715</v>
      </c>
      <c r="G494" s="2" t="s">
        <v>2716</v>
      </c>
      <c r="H494" s="2" t="s">
        <v>2717</v>
      </c>
      <c r="I494" s="2" t="s">
        <v>2718</v>
      </c>
      <c r="J494" s="2" t="s">
        <v>93</v>
      </c>
      <c r="K494" s="2" t="s">
        <v>1915</v>
      </c>
      <c r="L494" s="3">
        <v>360.75</v>
      </c>
      <c r="M494" s="3">
        <v>378.79</v>
      </c>
      <c r="N494" s="3">
        <v>749</v>
      </c>
      <c r="O494" s="2" t="s">
        <v>155</v>
      </c>
      <c r="P494" s="2" t="s">
        <v>115</v>
      </c>
      <c r="Q494" s="2" t="s">
        <v>97</v>
      </c>
      <c r="R494" s="2" t="s">
        <v>98</v>
      </c>
      <c r="S494" s="2" t="s">
        <v>98</v>
      </c>
      <c r="T494" s="2" t="s">
        <v>98</v>
      </c>
      <c r="U494" s="2" t="s">
        <v>117</v>
      </c>
      <c r="V494" s="2" t="s">
        <v>439</v>
      </c>
      <c r="W494" s="2" t="s">
        <v>103</v>
      </c>
      <c r="X494" s="2" t="s">
        <v>98</v>
      </c>
      <c r="Y494" s="2" t="s">
        <v>2347</v>
      </c>
      <c r="Z494" s="4">
        <v>8</v>
      </c>
      <c r="AA494" s="4">
        <f>=ROUNDDOWN(80,0)</f>
      </c>
      <c r="AB494" s="5">
        <v>0.1</v>
      </c>
      <c r="AC494" s="2" t="s">
        <v>98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98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/>
      <c r="BD494" s="8"/>
      <c r="BE494" s="4"/>
      <c r="BF494" s="8"/>
      <c r="BG494" s="7"/>
      <c r="BH494" s="7"/>
      <c r="BI494" s="7"/>
      <c r="BJ494" s="4"/>
      <c r="BK494" s="8"/>
      <c r="BL494" s="2" t="s">
        <v>98</v>
      </c>
      <c r="BM494" s="7"/>
      <c r="BN494" s="7"/>
      <c r="BO494" s="4"/>
      <c r="BP494" s="8"/>
      <c r="BQ494" s="4"/>
      <c r="BR494" s="8"/>
      <c r="BS494" s="7"/>
      <c r="BT494" s="7"/>
      <c r="BU494" s="2" t="s">
        <v>107</v>
      </c>
      <c r="BV494" s="2" t="s">
        <v>1355</v>
      </c>
      <c r="BW494" s="2" t="s">
        <v>1584</v>
      </c>
      <c r="BX494" s="2" t="s">
        <v>98</v>
      </c>
      <c r="BY494" s="2" t="s">
        <v>110</v>
      </c>
      <c r="BZ494" s="2" t="s">
        <v>98</v>
      </c>
    </row>
    <row r="495">
      <c r="A495" s="2" t="s">
        <v>2719</v>
      </c>
      <c r="B495" s="2" t="s">
        <v>1345</v>
      </c>
      <c r="C495" s="2" t="s">
        <v>88</v>
      </c>
      <c r="D495" s="2" t="s">
        <v>2700</v>
      </c>
      <c r="E495" s="2" t="s">
        <v>2700</v>
      </c>
      <c r="F495" s="2" t="s">
        <v>2310</v>
      </c>
      <c r="G495" s="2" t="s">
        <v>2311</v>
      </c>
      <c r="H495" s="2" t="s">
        <v>2312</v>
      </c>
      <c r="I495" s="2" t="s">
        <v>2720</v>
      </c>
      <c r="J495" s="2" t="s">
        <v>93</v>
      </c>
      <c r="K495" s="2" t="s">
        <v>133</v>
      </c>
      <c r="L495" s="3">
        <v>319</v>
      </c>
      <c r="M495" s="3">
        <v>334.95</v>
      </c>
      <c r="N495" s="3">
        <v>669</v>
      </c>
      <c r="O495" s="2" t="s">
        <v>155</v>
      </c>
      <c r="P495" s="2" t="s">
        <v>115</v>
      </c>
      <c r="Q495" s="2" t="s">
        <v>97</v>
      </c>
      <c r="R495" s="2" t="s">
        <v>98</v>
      </c>
      <c r="S495" s="2" t="s">
        <v>2721</v>
      </c>
      <c r="T495" s="2" t="s">
        <v>98</v>
      </c>
      <c r="U495" s="2" t="s">
        <v>98</v>
      </c>
      <c r="V495" s="2" t="s">
        <v>439</v>
      </c>
      <c r="W495" s="2" t="s">
        <v>968</v>
      </c>
      <c r="X495" s="2" t="s">
        <v>98</v>
      </c>
      <c r="Y495" s="2" t="s">
        <v>366</v>
      </c>
      <c r="Z495" s="4"/>
      <c r="AA495" s="4">
        <f>=ROUNDDOWN({0},0)</f>
      </c>
      <c r="AB495" s="5">
        <v>0.8</v>
      </c>
      <c r="AC495" s="2" t="s">
        <v>98</v>
      </c>
      <c r="AD495" s="4"/>
      <c r="AE495" s="4"/>
      <c r="AF495" s="6">
        <v>65</v>
      </c>
      <c r="AG495" s="6">
        <v>48</v>
      </c>
      <c r="AH495" s="7">
        <v>0</v>
      </c>
      <c r="AI495" s="4"/>
      <c r="AJ495" s="4">
        <f>=ROUNDDOWN({0},0)</f>
      </c>
      <c r="AK495" s="5"/>
      <c r="AL495" s="2" t="s">
        <v>98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/>
      <c r="AW495" s="8"/>
      <c r="AX495" s="4"/>
      <c r="AY495" s="8"/>
      <c r="AZ495" s="7"/>
      <c r="BA495" s="7"/>
      <c r="BB495" s="7"/>
      <c r="BC495" s="4"/>
      <c r="BD495" s="8"/>
      <c r="BE495" s="4"/>
      <c r="BF495" s="8"/>
      <c r="BG495" s="7"/>
      <c r="BH495" s="7"/>
      <c r="BI495" s="7"/>
      <c r="BJ495" s="4"/>
      <c r="BK495" s="8"/>
      <c r="BL495" s="2" t="s">
        <v>651</v>
      </c>
      <c r="BM495" s="7"/>
      <c r="BN495" s="7"/>
      <c r="BO495" s="4"/>
      <c r="BP495" s="8"/>
      <c r="BQ495" s="4"/>
      <c r="BR495" s="8"/>
      <c r="BS495" s="7"/>
      <c r="BT495" s="7"/>
      <c r="BU495" s="2" t="s">
        <v>107</v>
      </c>
      <c r="BV495" s="2" t="s">
        <v>1355</v>
      </c>
      <c r="BW495" s="2" t="s">
        <v>1356</v>
      </c>
      <c r="BX495" s="2" t="s">
        <v>1653</v>
      </c>
      <c r="BY495" s="2" t="s">
        <v>110</v>
      </c>
      <c r="BZ495" s="2" t="s">
        <v>98</v>
      </c>
    </row>
    <row r="496">
      <c r="A496" s="2" t="s">
        <v>2722</v>
      </c>
      <c r="B496" s="2" t="s">
        <v>1345</v>
      </c>
      <c r="C496" s="2" t="s">
        <v>88</v>
      </c>
      <c r="D496" s="2" t="s">
        <v>2700</v>
      </c>
      <c r="E496" s="2" t="s">
        <v>2700</v>
      </c>
      <c r="F496" s="2" t="s">
        <v>1481</v>
      </c>
      <c r="G496" s="2" t="s">
        <v>2723</v>
      </c>
      <c r="H496" s="2" t="s">
        <v>2724</v>
      </c>
      <c r="I496" s="2" t="s">
        <v>2725</v>
      </c>
      <c r="J496" s="2" t="s">
        <v>93</v>
      </c>
      <c r="K496" s="2" t="s">
        <v>1052</v>
      </c>
      <c r="L496" s="3">
        <v>380.97</v>
      </c>
      <c r="M496" s="3">
        <v>400.02</v>
      </c>
      <c r="N496" s="3">
        <v>799</v>
      </c>
      <c r="O496" s="2" t="s">
        <v>95</v>
      </c>
      <c r="P496" s="2" t="s">
        <v>142</v>
      </c>
      <c r="Q496" s="2" t="s">
        <v>97</v>
      </c>
      <c r="R496" s="2" t="s">
        <v>98</v>
      </c>
      <c r="S496" s="2" t="s">
        <v>98</v>
      </c>
      <c r="T496" s="2" t="s">
        <v>98</v>
      </c>
      <c r="U496" s="2" t="s">
        <v>98</v>
      </c>
      <c r="V496" s="2" t="s">
        <v>296</v>
      </c>
      <c r="W496" s="2" t="s">
        <v>314</v>
      </c>
      <c r="X496" s="2" t="s">
        <v>103</v>
      </c>
      <c r="Y496" s="2" t="s">
        <v>2726</v>
      </c>
      <c r="Z496" s="4">
        <v>88</v>
      </c>
      <c r="AA496" s="4">
        <f>=ROUNDDOWN(88,0)</f>
      </c>
      <c r="AB496" s="5">
        <v>1</v>
      </c>
      <c r="AC496" s="2" t="s">
        <v>98</v>
      </c>
      <c r="AD496" s="4"/>
      <c r="AE496" s="4"/>
      <c r="AF496" s="6">
        <v>74</v>
      </c>
      <c r="AG496" s="6"/>
      <c r="AH496" s="7">
        <v>1</v>
      </c>
      <c r="AI496" s="4"/>
      <c r="AJ496" s="4">
        <f>=ROUNDDOWN({0},0)</f>
      </c>
      <c r="AK496" s="5"/>
      <c r="AL496" s="2" t="s">
        <v>98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/>
      <c r="BD496" s="8"/>
      <c r="BE496" s="4"/>
      <c r="BF496" s="8"/>
      <c r="BG496" s="7"/>
      <c r="BH496" s="7"/>
      <c r="BI496" s="7"/>
      <c r="BJ496" s="4"/>
      <c r="BK496" s="8"/>
      <c r="BL496" s="2" t="s">
        <v>98</v>
      </c>
      <c r="BM496" s="7"/>
      <c r="BN496" s="7"/>
      <c r="BO496" s="4"/>
      <c r="BP496" s="8"/>
      <c r="BQ496" s="4"/>
      <c r="BR496" s="8"/>
      <c r="BS496" s="7"/>
      <c r="BT496" s="7"/>
      <c r="BU496" s="2" t="s">
        <v>1376</v>
      </c>
      <c r="BV496" s="2" t="s">
        <v>95</v>
      </c>
      <c r="BW496" s="2" t="s">
        <v>98</v>
      </c>
      <c r="BX496" s="2" t="s">
        <v>98</v>
      </c>
      <c r="BY496" s="2" t="s">
        <v>110</v>
      </c>
      <c r="BZ496" s="2" t="s">
        <v>98</v>
      </c>
    </row>
    <row r="497">
      <c r="A497" s="2" t="s">
        <v>2727</v>
      </c>
      <c r="B497" s="2" t="s">
        <v>1345</v>
      </c>
      <c r="C497" s="2" t="s">
        <v>88</v>
      </c>
      <c r="D497" s="2" t="s">
        <v>2728</v>
      </c>
      <c r="E497" s="2" t="s">
        <v>2729</v>
      </c>
      <c r="F497" s="2" t="s">
        <v>2730</v>
      </c>
      <c r="G497" s="2" t="s">
        <v>2731</v>
      </c>
      <c r="H497" s="2" t="s">
        <v>2732</v>
      </c>
      <c r="I497" s="2" t="s">
        <v>2733</v>
      </c>
      <c r="J497" s="2" t="s">
        <v>93</v>
      </c>
      <c r="K497" s="2" t="s">
        <v>2734</v>
      </c>
      <c r="L497" s="3">
        <v>148.5</v>
      </c>
      <c r="M497" s="3">
        <v>155.92</v>
      </c>
      <c r="N497" s="3">
        <v>309</v>
      </c>
      <c r="O497" s="2" t="s">
        <v>95</v>
      </c>
      <c r="P497" s="2" t="s">
        <v>134</v>
      </c>
      <c r="Q497" s="2" t="s">
        <v>97</v>
      </c>
      <c r="R497" s="2" t="s">
        <v>98</v>
      </c>
      <c r="S497" s="2" t="s">
        <v>2735</v>
      </c>
      <c r="T497" s="2" t="s">
        <v>98</v>
      </c>
      <c r="U497" s="2" t="s">
        <v>98</v>
      </c>
      <c r="V497" s="2" t="s">
        <v>439</v>
      </c>
      <c r="W497" s="2" t="s">
        <v>963</v>
      </c>
      <c r="X497" s="2" t="s">
        <v>98</v>
      </c>
      <c r="Y497" s="2" t="s">
        <v>2736</v>
      </c>
      <c r="Z497" s="4">
        <v>110</v>
      </c>
      <c r="AA497" s="4">
        <f>=ROUNDDOWN(22,0)</f>
      </c>
      <c r="AB497" s="5">
        <v>5</v>
      </c>
      <c r="AC497" s="2" t="s">
        <v>214</v>
      </c>
      <c r="AD497" s="4">
        <v>100</v>
      </c>
      <c r="AE497" s="4">
        <v>100</v>
      </c>
      <c r="AF497" s="6">
        <v>74</v>
      </c>
      <c r="AG497" s="6"/>
      <c r="AH497" s="7">
        <v>1</v>
      </c>
      <c r="AI497" s="4"/>
      <c r="AJ497" s="4">
        <f>=ROUNDDOWN({0},0)</f>
      </c>
      <c r="AK497" s="5"/>
      <c r="AL497" s="2" t="s">
        <v>98</v>
      </c>
      <c r="AM497" s="4"/>
      <c r="AN497" s="4"/>
      <c r="AO497" s="7">
        <v>0</v>
      </c>
      <c r="AP497" s="4">
        <v>3</v>
      </c>
      <c r="AQ497" s="8">
        <v>449.13</v>
      </c>
      <c r="AR497" s="4">
        <v>2</v>
      </c>
      <c r="AS497" s="8">
        <v>330.84</v>
      </c>
      <c r="AT497" s="7">
        <v>0.5</v>
      </c>
      <c r="AU497" s="7">
        <v>0.3575</v>
      </c>
      <c r="AV497" s="4">
        <v>3</v>
      </c>
      <c r="AW497" s="8">
        <v>449.13</v>
      </c>
      <c r="AX497" s="4">
        <v>2</v>
      </c>
      <c r="AY497" s="8">
        <v>330.84</v>
      </c>
      <c r="AZ497" s="7">
        <v>0.5</v>
      </c>
      <c r="BA497" s="7">
        <v>0.3575</v>
      </c>
      <c r="BB497" s="7">
        <v>1</v>
      </c>
      <c r="BC497" s="4">
        <v>3</v>
      </c>
      <c r="BD497" s="8">
        <v>449.13</v>
      </c>
      <c r="BE497" s="4">
        <v>2</v>
      </c>
      <c r="BF497" s="8">
        <v>330.84</v>
      </c>
      <c r="BG497" s="7">
        <v>0.5</v>
      </c>
      <c r="BH497" s="7">
        <v>0.3575</v>
      </c>
      <c r="BI497" s="7">
        <v>1</v>
      </c>
      <c r="BJ497" s="4">
        <v>6</v>
      </c>
      <c r="BK497" s="8">
        <v>877.94</v>
      </c>
      <c r="BL497" s="2" t="s">
        <v>2737</v>
      </c>
      <c r="BM497" s="7">
        <v>0.5</v>
      </c>
      <c r="BN497" s="7">
        <v>0.5116</v>
      </c>
      <c r="BO497" s="4">
        <v>3</v>
      </c>
      <c r="BP497" s="8">
        <v>449.13</v>
      </c>
      <c r="BQ497" s="4">
        <v>2</v>
      </c>
      <c r="BR497" s="8">
        <v>330.84</v>
      </c>
      <c r="BS497" s="7">
        <v>0.5</v>
      </c>
      <c r="BT497" s="7">
        <v>0.3575</v>
      </c>
      <c r="BU497" s="2" t="s">
        <v>107</v>
      </c>
      <c r="BV497" s="2" t="s">
        <v>1355</v>
      </c>
      <c r="BW497" s="2" t="s">
        <v>250</v>
      </c>
      <c r="BX497" s="2" t="s">
        <v>2738</v>
      </c>
      <c r="BY497" s="2" t="s">
        <v>110</v>
      </c>
      <c r="BZ497" s="2" t="s">
        <v>98</v>
      </c>
    </row>
    <row r="498">
      <c r="A498" s="2" t="s">
        <v>2739</v>
      </c>
      <c r="B498" s="2" t="s">
        <v>1345</v>
      </c>
      <c r="C498" s="2" t="s">
        <v>88</v>
      </c>
      <c r="D498" s="2" t="s">
        <v>2728</v>
      </c>
      <c r="E498" s="2" t="s">
        <v>2729</v>
      </c>
      <c r="F498" s="2" t="s">
        <v>2740</v>
      </c>
      <c r="G498" s="2" t="s">
        <v>2741</v>
      </c>
      <c r="H498" s="2" t="s">
        <v>2742</v>
      </c>
      <c r="I498" s="2" t="s">
        <v>2733</v>
      </c>
      <c r="J498" s="2" t="s">
        <v>93</v>
      </c>
      <c r="K498" s="2" t="s">
        <v>348</v>
      </c>
      <c r="L498" s="3">
        <v>350</v>
      </c>
      <c r="M498" s="3">
        <v>367.5</v>
      </c>
      <c r="N498" s="3">
        <v>729</v>
      </c>
      <c r="O498" s="2" t="s">
        <v>95</v>
      </c>
      <c r="P498" s="2" t="s">
        <v>142</v>
      </c>
      <c r="Q498" s="2" t="s">
        <v>97</v>
      </c>
      <c r="R498" s="2" t="s">
        <v>98</v>
      </c>
      <c r="S498" s="2" t="s">
        <v>2743</v>
      </c>
      <c r="T498" s="2" t="s">
        <v>98</v>
      </c>
      <c r="U498" s="2" t="s">
        <v>98</v>
      </c>
      <c r="V498" s="2" t="s">
        <v>439</v>
      </c>
      <c r="W498" s="2" t="s">
        <v>102</v>
      </c>
      <c r="X498" s="2" t="s">
        <v>98</v>
      </c>
      <c r="Y498" s="2" t="s">
        <v>2476</v>
      </c>
      <c r="Z498" s="4">
        <v>106</v>
      </c>
      <c r="AA498" s="4">
        <f>=ROUNDDOWN(35.3333333333333,0)</f>
      </c>
      <c r="AB498" s="5">
        <v>3</v>
      </c>
      <c r="AC498" s="2" t="s">
        <v>98</v>
      </c>
      <c r="AD498" s="4"/>
      <c r="AE498" s="4"/>
      <c r="AF498" s="6">
        <v>65</v>
      </c>
      <c r="AG498" s="6">
        <v>48</v>
      </c>
      <c r="AH498" s="7">
        <v>1</v>
      </c>
      <c r="AI498" s="4"/>
      <c r="AJ498" s="4">
        <f>=ROUNDDOWN({0},0)</f>
      </c>
      <c r="AK498" s="5"/>
      <c r="AL498" s="2" t="s">
        <v>98</v>
      </c>
      <c r="AM498" s="4"/>
      <c r="AN498" s="4"/>
      <c r="AO498" s="7">
        <v>0</v>
      </c>
      <c r="AP498" s="4">
        <v>1</v>
      </c>
      <c r="AQ498" s="8">
        <v>288.23</v>
      </c>
      <c r="AR498" s="4">
        <v>1</v>
      </c>
      <c r="AS498" s="8">
        <v>288.23</v>
      </c>
      <c r="AT498" s="7"/>
      <c r="AU498" s="7"/>
      <c r="AV498" s="4">
        <v>1</v>
      </c>
      <c r="AW498" s="8">
        <v>288.23</v>
      </c>
      <c r="AX498" s="4">
        <v>1</v>
      </c>
      <c r="AY498" s="8">
        <v>288.23</v>
      </c>
      <c r="AZ498" s="7"/>
      <c r="BA498" s="7"/>
      <c r="BB498" s="7">
        <v>1</v>
      </c>
      <c r="BC498" s="4">
        <v>1</v>
      </c>
      <c r="BD498" s="8">
        <v>288.23</v>
      </c>
      <c r="BE498" s="4">
        <v>1</v>
      </c>
      <c r="BF498" s="8">
        <v>288.23</v>
      </c>
      <c r="BG498" s="7"/>
      <c r="BH498" s="7"/>
      <c r="BI498" s="7">
        <v>1</v>
      </c>
      <c r="BJ498" s="4">
        <v>1</v>
      </c>
      <c r="BK498" s="8">
        <v>288.23</v>
      </c>
      <c r="BL498" s="2" t="s">
        <v>2244</v>
      </c>
      <c r="BM498" s="7">
        <v>1</v>
      </c>
      <c r="BN498" s="7">
        <v>1</v>
      </c>
      <c r="BO498" s="4">
        <v>1</v>
      </c>
      <c r="BP498" s="8">
        <v>288.23</v>
      </c>
      <c r="BQ498" s="4">
        <v>1</v>
      </c>
      <c r="BR498" s="8">
        <v>288.23</v>
      </c>
      <c r="BS498" s="7"/>
      <c r="BT498" s="7"/>
      <c r="BU498" s="2" t="s">
        <v>107</v>
      </c>
      <c r="BV498" s="2" t="s">
        <v>1355</v>
      </c>
      <c r="BW498" s="2" t="s">
        <v>248</v>
      </c>
      <c r="BX498" s="2" t="s">
        <v>1141</v>
      </c>
      <c r="BY498" s="2" t="s">
        <v>110</v>
      </c>
      <c r="BZ498" s="2" t="s">
        <v>98</v>
      </c>
    </row>
    <row r="499">
      <c r="A499" s="2" t="s">
        <v>2744</v>
      </c>
      <c r="B499" s="2" t="s">
        <v>1345</v>
      </c>
      <c r="C499" s="2" t="s">
        <v>88</v>
      </c>
      <c r="D499" s="2" t="s">
        <v>2728</v>
      </c>
      <c r="E499" s="2" t="s">
        <v>2729</v>
      </c>
      <c r="F499" s="2" t="s">
        <v>2745</v>
      </c>
      <c r="G499" s="2" t="s">
        <v>2746</v>
      </c>
      <c r="H499" s="2" t="s">
        <v>2747</v>
      </c>
      <c r="I499" s="2" t="s">
        <v>2733</v>
      </c>
      <c r="J499" s="2" t="s">
        <v>93</v>
      </c>
      <c r="K499" s="2" t="s">
        <v>2748</v>
      </c>
      <c r="L499" s="3">
        <v>161.5</v>
      </c>
      <c r="M499" s="3">
        <v>169.58</v>
      </c>
      <c r="N499" s="3">
        <v>339</v>
      </c>
      <c r="O499" s="2" t="s">
        <v>95</v>
      </c>
      <c r="P499" s="2" t="s">
        <v>163</v>
      </c>
      <c r="Q499" s="2" t="s">
        <v>97</v>
      </c>
      <c r="R499" s="2" t="s">
        <v>98</v>
      </c>
      <c r="S499" s="2" t="s">
        <v>98</v>
      </c>
      <c r="T499" s="2" t="s">
        <v>98</v>
      </c>
      <c r="U499" s="2" t="s">
        <v>117</v>
      </c>
      <c r="V499" s="2" t="s">
        <v>439</v>
      </c>
      <c r="W499" s="2" t="s">
        <v>102</v>
      </c>
      <c r="X499" s="2" t="s">
        <v>103</v>
      </c>
      <c r="Y499" s="2" t="s">
        <v>2749</v>
      </c>
      <c r="Z499" s="4">
        <v>400</v>
      </c>
      <c r="AA499" s="4">
        <f>=ROUNDDOWN(10,0)</f>
      </c>
      <c r="AB499" s="5">
        <v>40</v>
      </c>
      <c r="AC499" s="2" t="s">
        <v>1353</v>
      </c>
      <c r="AD499" s="4">
        <v>816</v>
      </c>
      <c r="AE499" s="4">
        <v>1528</v>
      </c>
      <c r="AF499" s="6">
        <v>74</v>
      </c>
      <c r="AG499" s="6">
        <v>60</v>
      </c>
      <c r="AH499" s="7">
        <v>1</v>
      </c>
      <c r="AI499" s="4"/>
      <c r="AJ499" s="4">
        <f>=ROUNDDOWN({0},0)</f>
      </c>
      <c r="AK499" s="5"/>
      <c r="AL499" s="2" t="s">
        <v>98</v>
      </c>
      <c r="AM499" s="4"/>
      <c r="AN499" s="4"/>
      <c r="AO499" s="7">
        <v>0</v>
      </c>
      <c r="AP499" s="4">
        <v>1</v>
      </c>
      <c r="AQ499" s="8">
        <v>163.52</v>
      </c>
      <c r="AR499" s="4"/>
      <c r="AS499" s="8"/>
      <c r="AT499" s="7"/>
      <c r="AU499" s="7"/>
      <c r="AV499" s="4">
        <v>1</v>
      </c>
      <c r="AW499" s="8">
        <v>163.52</v>
      </c>
      <c r="AX499" s="4"/>
      <c r="AY499" s="8"/>
      <c r="AZ499" s="7"/>
      <c r="BA499" s="7"/>
      <c r="BB499" s="7">
        <v>1</v>
      </c>
      <c r="BC499" s="4">
        <v>1</v>
      </c>
      <c r="BD499" s="8">
        <v>163.52</v>
      </c>
      <c r="BE499" s="4"/>
      <c r="BF499" s="8"/>
      <c r="BG499" s="7"/>
      <c r="BH499" s="7"/>
      <c r="BI499" s="7">
        <v>1</v>
      </c>
      <c r="BJ499" s="4">
        <v>54</v>
      </c>
      <c r="BK499" s="8">
        <v>9282.19</v>
      </c>
      <c r="BL499" s="2" t="s">
        <v>2750</v>
      </c>
      <c r="BM499" s="7">
        <v>0.0185</v>
      </c>
      <c r="BN499" s="7">
        <v>0.0176</v>
      </c>
      <c r="BO499" s="4">
        <v>1</v>
      </c>
      <c r="BP499" s="8">
        <v>163.52</v>
      </c>
      <c r="BQ499" s="4"/>
      <c r="BR499" s="8"/>
      <c r="BS499" s="7"/>
      <c r="BT499" s="7"/>
      <c r="BU499" s="2" t="s">
        <v>1376</v>
      </c>
      <c r="BV499" s="2" t="s">
        <v>95</v>
      </c>
      <c r="BW499" s="2" t="s">
        <v>98</v>
      </c>
      <c r="BX499" s="2" t="s">
        <v>98</v>
      </c>
      <c r="BY499" s="2" t="s">
        <v>110</v>
      </c>
      <c r="BZ499" s="2" t="s">
        <v>98</v>
      </c>
    </row>
    <row r="500">
      <c r="A500" s="2" t="s">
        <v>2751</v>
      </c>
      <c r="B500" s="2" t="s">
        <v>1345</v>
      </c>
      <c r="C500" s="2" t="s">
        <v>88</v>
      </c>
      <c r="D500" s="2" t="s">
        <v>2728</v>
      </c>
      <c r="E500" s="2" t="s">
        <v>2729</v>
      </c>
      <c r="F500" s="2" t="s">
        <v>2752</v>
      </c>
      <c r="G500" s="2" t="s">
        <v>2753</v>
      </c>
      <c r="H500" s="2" t="s">
        <v>2754</v>
      </c>
      <c r="I500" s="2" t="s">
        <v>2733</v>
      </c>
      <c r="J500" s="2" t="s">
        <v>93</v>
      </c>
      <c r="K500" s="2" t="s">
        <v>2755</v>
      </c>
      <c r="L500" s="3">
        <v>133</v>
      </c>
      <c r="M500" s="3">
        <v>139.65</v>
      </c>
      <c r="N500" s="3">
        <v>279</v>
      </c>
      <c r="O500" s="2" t="s">
        <v>95</v>
      </c>
      <c r="P500" s="2" t="s">
        <v>134</v>
      </c>
      <c r="Q500" s="2" t="s">
        <v>97</v>
      </c>
      <c r="R500" s="2" t="s">
        <v>98</v>
      </c>
      <c r="S500" s="2" t="s">
        <v>98</v>
      </c>
      <c r="T500" s="2" t="s">
        <v>98</v>
      </c>
      <c r="U500" s="2" t="s">
        <v>117</v>
      </c>
      <c r="V500" s="2" t="s">
        <v>439</v>
      </c>
      <c r="W500" s="2" t="s">
        <v>102</v>
      </c>
      <c r="X500" s="2" t="s">
        <v>963</v>
      </c>
      <c r="Y500" s="2" t="s">
        <v>2756</v>
      </c>
      <c r="Z500" s="4">
        <v>57</v>
      </c>
      <c r="AA500" s="4">
        <f>=ROUNDDOWN(14.25,0)</f>
      </c>
      <c r="AB500" s="5">
        <v>4</v>
      </c>
      <c r="AC500" s="2" t="s">
        <v>1353</v>
      </c>
      <c r="AD500" s="4">
        <v>150</v>
      </c>
      <c r="AE500" s="4">
        <v>150</v>
      </c>
      <c r="AF500" s="6">
        <v>74</v>
      </c>
      <c r="AG500" s="6"/>
      <c r="AH500" s="7">
        <v>1</v>
      </c>
      <c r="AI500" s="4"/>
      <c r="AJ500" s="4">
        <f>=ROUNDDOWN({0},0)</f>
      </c>
      <c r="AK500" s="5"/>
      <c r="AL500" s="2" t="s">
        <v>98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 t="s">
        <v>98</v>
      </c>
      <c r="BD500" s="8" t="s">
        <v>98</v>
      </c>
      <c r="BE500" s="4">
        <v>4</v>
      </c>
      <c r="BF500" s="8">
        <v>500</v>
      </c>
      <c r="BG500" s="7" t="s">
        <v>98</v>
      </c>
      <c r="BH500" s="7" t="s">
        <v>98</v>
      </c>
      <c r="BI500" s="7"/>
      <c r="BJ500" s="4">
        <v>2</v>
      </c>
      <c r="BK500" s="8">
        <v>260.92</v>
      </c>
      <c r="BL500" s="2" t="s">
        <v>895</v>
      </c>
      <c r="BM500" s="7"/>
      <c r="BN500" s="7"/>
      <c r="BO500" s="4"/>
      <c r="BP500" s="8"/>
      <c r="BQ500" s="4"/>
      <c r="BR500" s="8"/>
      <c r="BS500" s="7"/>
      <c r="BT500" s="7"/>
      <c r="BU500" s="2" t="s">
        <v>1376</v>
      </c>
      <c r="BV500" s="2" t="s">
        <v>95</v>
      </c>
      <c r="BW500" s="2" t="s">
        <v>98</v>
      </c>
      <c r="BX500" s="2" t="s">
        <v>98</v>
      </c>
      <c r="BY500" s="2" t="s">
        <v>110</v>
      </c>
      <c r="BZ500" s="2" t="s">
        <v>98</v>
      </c>
    </row>
    <row r="501">
      <c r="A501" s="2" t="s">
        <v>2757</v>
      </c>
      <c r="B501" s="2" t="s">
        <v>1345</v>
      </c>
      <c r="C501" s="2" t="s">
        <v>88</v>
      </c>
      <c r="D501" s="2" t="s">
        <v>2728</v>
      </c>
      <c r="E501" s="2" t="s">
        <v>2729</v>
      </c>
      <c r="F501" s="2" t="s">
        <v>2752</v>
      </c>
      <c r="G501" s="2" t="s">
        <v>2753</v>
      </c>
      <c r="H501" s="2" t="s">
        <v>2754</v>
      </c>
      <c r="I501" s="2" t="s">
        <v>2733</v>
      </c>
      <c r="J501" s="2" t="s">
        <v>93</v>
      </c>
      <c r="K501" s="2" t="s">
        <v>2758</v>
      </c>
      <c r="L501" s="3">
        <v>133</v>
      </c>
      <c r="M501" s="3">
        <v>139.65</v>
      </c>
      <c r="N501" s="3">
        <v>279</v>
      </c>
      <c r="O501" s="2" t="s">
        <v>95</v>
      </c>
      <c r="P501" s="2" t="s">
        <v>96</v>
      </c>
      <c r="Q501" s="2" t="s">
        <v>97</v>
      </c>
      <c r="R501" s="2" t="s">
        <v>98</v>
      </c>
      <c r="S501" s="2" t="s">
        <v>98</v>
      </c>
      <c r="T501" s="2" t="s">
        <v>98</v>
      </c>
      <c r="U501" s="2" t="s">
        <v>117</v>
      </c>
      <c r="V501" s="2" t="s">
        <v>439</v>
      </c>
      <c r="W501" s="2" t="s">
        <v>963</v>
      </c>
      <c r="X501" s="2" t="s">
        <v>102</v>
      </c>
      <c r="Y501" s="2" t="s">
        <v>2759</v>
      </c>
      <c r="Z501" s="4">
        <v>201</v>
      </c>
      <c r="AA501" s="4">
        <f>=ROUNDDOWN(16.890756302521,0)</f>
      </c>
      <c r="AB501" s="5">
        <v>11.9</v>
      </c>
      <c r="AC501" s="2" t="s">
        <v>1651</v>
      </c>
      <c r="AD501" s="4">
        <v>145</v>
      </c>
      <c r="AE501" s="4">
        <v>365</v>
      </c>
      <c r="AF501" s="6">
        <v>74</v>
      </c>
      <c r="AG501" s="6">
        <v>60</v>
      </c>
      <c r="AH501" s="7">
        <v>1</v>
      </c>
      <c r="AI501" s="4"/>
      <c r="AJ501" s="4">
        <f>=ROUNDDOWN({0},0)</f>
      </c>
      <c r="AK501" s="5"/>
      <c r="AL501" s="2" t="s">
        <v>2760</v>
      </c>
      <c r="AM501" s="4">
        <v>130</v>
      </c>
      <c r="AN501" s="4">
        <v>130</v>
      </c>
      <c r="AO501" s="7">
        <v>0</v>
      </c>
      <c r="AP501" s="4"/>
      <c r="AQ501" s="8"/>
      <c r="AR501" s="4"/>
      <c r="AS501" s="8"/>
      <c r="AT501" s="7"/>
      <c r="AU501" s="7"/>
      <c r="AV501" s="4"/>
      <c r="AW501" s="8"/>
      <c r="AX501" s="4"/>
      <c r="AY501" s="8"/>
      <c r="AZ501" s="7"/>
      <c r="BA501" s="7"/>
      <c r="BB501" s="7"/>
      <c r="BC501" s="4" t="s">
        <v>98</v>
      </c>
      <c r="BD501" s="8" t="s">
        <v>98</v>
      </c>
      <c r="BE501" s="4" t="s">
        <v>98</v>
      </c>
      <c r="BF501" s="8" t="s">
        <v>98</v>
      </c>
      <c r="BG501" s="7" t="s">
        <v>98</v>
      </c>
      <c r="BH501" s="7" t="s">
        <v>98</v>
      </c>
      <c r="BI501" s="7"/>
      <c r="BJ501" s="4">
        <v>18</v>
      </c>
      <c r="BK501" s="8">
        <v>2335.42</v>
      </c>
      <c r="BL501" s="2" t="s">
        <v>2761</v>
      </c>
      <c r="BM501" s="7"/>
      <c r="BN501" s="7"/>
      <c r="BO501" s="4"/>
      <c r="BP501" s="8"/>
      <c r="BQ501" s="4"/>
      <c r="BR501" s="8"/>
      <c r="BS501" s="7"/>
      <c r="BT501" s="7"/>
      <c r="BU501" s="2" t="s">
        <v>1376</v>
      </c>
      <c r="BV501" s="2" t="s">
        <v>95</v>
      </c>
      <c r="BW501" s="2" t="s">
        <v>98</v>
      </c>
      <c r="BX501" s="2" t="s">
        <v>98</v>
      </c>
      <c r="BY501" s="2" t="s">
        <v>110</v>
      </c>
      <c r="BZ501" s="2" t="s">
        <v>98</v>
      </c>
    </row>
    <row r="502">
      <c r="A502" s="2" t="s">
        <v>2762</v>
      </c>
      <c r="B502" s="2" t="s">
        <v>1345</v>
      </c>
      <c r="C502" s="2" t="s">
        <v>88</v>
      </c>
      <c r="D502" s="2" t="s">
        <v>2728</v>
      </c>
      <c r="E502" s="2" t="s">
        <v>2729</v>
      </c>
      <c r="F502" s="2" t="s">
        <v>2752</v>
      </c>
      <c r="G502" s="2" t="s">
        <v>2753</v>
      </c>
      <c r="H502" s="2" t="s">
        <v>2754</v>
      </c>
      <c r="I502" s="2" t="s">
        <v>2733</v>
      </c>
      <c r="J502" s="2" t="s">
        <v>93</v>
      </c>
      <c r="K502" s="2" t="s">
        <v>2763</v>
      </c>
      <c r="L502" s="3">
        <v>133</v>
      </c>
      <c r="M502" s="3">
        <v>139.65</v>
      </c>
      <c r="N502" s="3">
        <v>279</v>
      </c>
      <c r="O502" s="2" t="s">
        <v>95</v>
      </c>
      <c r="P502" s="2" t="s">
        <v>163</v>
      </c>
      <c r="Q502" s="2" t="s">
        <v>97</v>
      </c>
      <c r="R502" s="2" t="s">
        <v>98</v>
      </c>
      <c r="S502" s="2" t="s">
        <v>2764</v>
      </c>
      <c r="T502" s="2" t="s">
        <v>98</v>
      </c>
      <c r="U502" s="2" t="s">
        <v>98</v>
      </c>
      <c r="V502" s="2" t="s">
        <v>439</v>
      </c>
      <c r="W502" s="2" t="s">
        <v>963</v>
      </c>
      <c r="X502" s="2" t="s">
        <v>98</v>
      </c>
      <c r="Y502" s="2" t="s">
        <v>366</v>
      </c>
      <c r="Z502" s="4">
        <v>155</v>
      </c>
      <c r="AA502" s="4">
        <f>=ROUNDDOWN(4.03645833333333,0)</f>
      </c>
      <c r="AB502" s="5">
        <v>38.4</v>
      </c>
      <c r="AC502" s="2" t="s">
        <v>1651</v>
      </c>
      <c r="AD502" s="4">
        <v>300</v>
      </c>
      <c r="AE502" s="4">
        <v>770</v>
      </c>
      <c r="AF502" s="6">
        <v>74</v>
      </c>
      <c r="AG502" s="6">
        <v>60</v>
      </c>
      <c r="AH502" s="7">
        <v>1</v>
      </c>
      <c r="AI502" s="4"/>
      <c r="AJ502" s="4">
        <f>=ROUNDDOWN({0},0)</f>
      </c>
      <c r="AK502" s="5"/>
      <c r="AL502" s="2" t="s">
        <v>2760</v>
      </c>
      <c r="AM502" s="4">
        <v>116</v>
      </c>
      <c r="AN502" s="4">
        <v>266</v>
      </c>
      <c r="AO502" s="7">
        <v>0</v>
      </c>
      <c r="AP502" s="4"/>
      <c r="AQ502" s="8"/>
      <c r="AR502" s="4">
        <v>4</v>
      </c>
      <c r="AS502" s="8">
        <v>500</v>
      </c>
      <c r="AT502" s="7">
        <v>-1</v>
      </c>
      <c r="AU502" s="7">
        <v>-1</v>
      </c>
      <c r="AV502" s="4"/>
      <c r="AW502" s="8"/>
      <c r="AX502" s="4">
        <v>4</v>
      </c>
      <c r="AY502" s="8">
        <v>500</v>
      </c>
      <c r="AZ502" s="7">
        <v>-1</v>
      </c>
      <c r="BA502" s="7">
        <v>-1</v>
      </c>
      <c r="BB502" s="7"/>
      <c r="BC502" s="4" t="s">
        <v>98</v>
      </c>
      <c r="BD502" s="8" t="s">
        <v>98</v>
      </c>
      <c r="BE502" s="4" t="s">
        <v>98</v>
      </c>
      <c r="BF502" s="8" t="s">
        <v>98</v>
      </c>
      <c r="BG502" s="7" t="s">
        <v>98</v>
      </c>
      <c r="BH502" s="7" t="s">
        <v>98</v>
      </c>
      <c r="BI502" s="7"/>
      <c r="BJ502" s="4">
        <v>42</v>
      </c>
      <c r="BK502" s="8">
        <v>5250.88</v>
      </c>
      <c r="BL502" s="2" t="s">
        <v>2765</v>
      </c>
      <c r="BM502" s="7"/>
      <c r="BN502" s="7"/>
      <c r="BO502" s="4"/>
      <c r="BP502" s="8"/>
      <c r="BQ502" s="4">
        <v>4</v>
      </c>
      <c r="BR502" s="8">
        <v>500</v>
      </c>
      <c r="BS502" s="7">
        <v>-1</v>
      </c>
      <c r="BT502" s="7">
        <v>-1</v>
      </c>
      <c r="BU502" s="2" t="s">
        <v>107</v>
      </c>
      <c r="BV502" s="2" t="s">
        <v>1355</v>
      </c>
      <c r="BW502" s="2" t="s">
        <v>2766</v>
      </c>
      <c r="BX502" s="2" t="s">
        <v>2767</v>
      </c>
      <c r="BY502" s="2" t="s">
        <v>110</v>
      </c>
      <c r="BZ502" s="2" t="s">
        <v>98</v>
      </c>
    </row>
    <row r="503">
      <c r="A503" s="2" t="s">
        <v>2768</v>
      </c>
      <c r="B503" s="2" t="s">
        <v>1345</v>
      </c>
      <c r="C503" s="2" t="s">
        <v>88</v>
      </c>
      <c r="D503" s="2" t="s">
        <v>2728</v>
      </c>
      <c r="E503" s="2" t="s">
        <v>2729</v>
      </c>
      <c r="F503" s="2" t="s">
        <v>2769</v>
      </c>
      <c r="G503" s="2" t="s">
        <v>2770</v>
      </c>
      <c r="H503" s="2" t="s">
        <v>2771</v>
      </c>
      <c r="I503" s="2" t="s">
        <v>2772</v>
      </c>
      <c r="J503" s="2" t="s">
        <v>93</v>
      </c>
      <c r="K503" s="2" t="s">
        <v>127</v>
      </c>
      <c r="L503" s="3">
        <v>198</v>
      </c>
      <c r="M503" s="3">
        <v>207.9</v>
      </c>
      <c r="N503" s="3">
        <v>419</v>
      </c>
      <c r="O503" s="2" t="s">
        <v>155</v>
      </c>
      <c r="P503" s="2" t="s">
        <v>115</v>
      </c>
      <c r="Q503" s="2" t="s">
        <v>97</v>
      </c>
      <c r="R503" s="2" t="s">
        <v>98</v>
      </c>
      <c r="S503" s="2" t="s">
        <v>98</v>
      </c>
      <c r="T503" s="2" t="s">
        <v>98</v>
      </c>
      <c r="U503" s="2" t="s">
        <v>98</v>
      </c>
      <c r="V503" s="2" t="s">
        <v>296</v>
      </c>
      <c r="W503" s="2" t="s">
        <v>968</v>
      </c>
      <c r="X503" s="2" t="s">
        <v>119</v>
      </c>
      <c r="Y503" s="2" t="s">
        <v>2773</v>
      </c>
      <c r="Z503" s="4">
        <v>19</v>
      </c>
      <c r="AA503" s="4">
        <f>=ROUNDDOWN(190,0)</f>
      </c>
      <c r="AB503" s="5">
        <v>0.1</v>
      </c>
      <c r="AC503" s="2" t="s">
        <v>98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98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/>
      <c r="AW503" s="8"/>
      <c r="AX503" s="4"/>
      <c r="AY503" s="8"/>
      <c r="AZ503" s="7"/>
      <c r="BA503" s="7"/>
      <c r="BB503" s="7"/>
      <c r="BC503" s="4"/>
      <c r="BD503" s="8"/>
      <c r="BE503" s="4"/>
      <c r="BF503" s="8"/>
      <c r="BG503" s="7"/>
      <c r="BH503" s="7"/>
      <c r="BI503" s="7"/>
      <c r="BJ503" s="4"/>
      <c r="BK503" s="8"/>
      <c r="BL503" s="2" t="s">
        <v>98</v>
      </c>
      <c r="BM503" s="7"/>
      <c r="BN503" s="7"/>
      <c r="BO503" s="4"/>
      <c r="BP503" s="8"/>
      <c r="BQ503" s="4"/>
      <c r="BR503" s="8"/>
      <c r="BS503" s="7"/>
      <c r="BT503" s="7"/>
      <c r="BU503" s="2" t="s">
        <v>1376</v>
      </c>
      <c r="BV503" s="2" t="s">
        <v>1355</v>
      </c>
      <c r="BW503" s="2" t="s">
        <v>98</v>
      </c>
      <c r="BX503" s="2" t="s">
        <v>98</v>
      </c>
      <c r="BY503" s="2" t="s">
        <v>110</v>
      </c>
      <c r="BZ503" s="2" t="s">
        <v>98</v>
      </c>
    </row>
    <row r="504">
      <c r="A504" s="2" t="s">
        <v>2774</v>
      </c>
      <c r="B504" s="2" t="s">
        <v>1345</v>
      </c>
      <c r="C504" s="2" t="s">
        <v>88</v>
      </c>
      <c r="D504" s="2" t="s">
        <v>2728</v>
      </c>
      <c r="E504" s="2" t="s">
        <v>2775</v>
      </c>
      <c r="F504" s="2" t="s">
        <v>2745</v>
      </c>
      <c r="G504" s="2" t="s">
        <v>2746</v>
      </c>
      <c r="H504" s="2" t="s">
        <v>2747</v>
      </c>
      <c r="I504" s="2" t="s">
        <v>2776</v>
      </c>
      <c r="J504" s="2" t="s">
        <v>93</v>
      </c>
      <c r="K504" s="2" t="s">
        <v>2748</v>
      </c>
      <c r="L504" s="3">
        <v>95</v>
      </c>
      <c r="M504" s="3">
        <v>99.75</v>
      </c>
      <c r="N504" s="3">
        <v>199</v>
      </c>
      <c r="O504" s="2" t="s">
        <v>95</v>
      </c>
      <c r="P504" s="2" t="s">
        <v>134</v>
      </c>
      <c r="Q504" s="2" t="s">
        <v>97</v>
      </c>
      <c r="R504" s="2" t="s">
        <v>98</v>
      </c>
      <c r="S504" s="2" t="s">
        <v>98</v>
      </c>
      <c r="T504" s="2" t="s">
        <v>98</v>
      </c>
      <c r="U504" s="2" t="s">
        <v>117</v>
      </c>
      <c r="V504" s="2" t="s">
        <v>439</v>
      </c>
      <c r="W504" s="2" t="s">
        <v>102</v>
      </c>
      <c r="X504" s="2" t="s">
        <v>103</v>
      </c>
      <c r="Y504" s="2" t="s">
        <v>2749</v>
      </c>
      <c r="Z504" s="4">
        <v>145</v>
      </c>
      <c r="AA504" s="4">
        <f>=ROUNDDOWN(16.1111111111111,0)</f>
      </c>
      <c r="AB504" s="5">
        <v>9</v>
      </c>
      <c r="AC504" s="2" t="s">
        <v>1353</v>
      </c>
      <c r="AD504" s="4">
        <v>150</v>
      </c>
      <c r="AE504" s="4">
        <v>150</v>
      </c>
      <c r="AF504" s="6">
        <v>74</v>
      </c>
      <c r="AG504" s="6">
        <v>60</v>
      </c>
      <c r="AH504" s="7">
        <v>1</v>
      </c>
      <c r="AI504" s="4"/>
      <c r="AJ504" s="4">
        <f>=ROUNDDOWN({0},0)</f>
      </c>
      <c r="AK504" s="5"/>
      <c r="AL504" s="2" t="s">
        <v>98</v>
      </c>
      <c r="AM504" s="4"/>
      <c r="AN504" s="4"/>
      <c r="AO504" s="7">
        <v>0</v>
      </c>
      <c r="AP504" s="4">
        <v>2</v>
      </c>
      <c r="AQ504" s="8">
        <v>194.04</v>
      </c>
      <c r="AR504" s="4"/>
      <c r="AS504" s="8"/>
      <c r="AT504" s="7"/>
      <c r="AU504" s="7"/>
      <c r="AV504" s="4">
        <v>2</v>
      </c>
      <c r="AW504" s="8">
        <v>194.04</v>
      </c>
      <c r="AX504" s="4"/>
      <c r="AY504" s="8"/>
      <c r="AZ504" s="7"/>
      <c r="BA504" s="7"/>
      <c r="BB504" s="7">
        <v>1</v>
      </c>
      <c r="BC504" s="4">
        <v>2</v>
      </c>
      <c r="BD504" s="8">
        <v>194.04</v>
      </c>
      <c r="BE504" s="4"/>
      <c r="BF504" s="8"/>
      <c r="BG504" s="7"/>
      <c r="BH504" s="7"/>
      <c r="BI504" s="7">
        <v>1</v>
      </c>
      <c r="BJ504" s="4">
        <v>22</v>
      </c>
      <c r="BK504" s="8">
        <v>2357.04</v>
      </c>
      <c r="BL504" s="2" t="s">
        <v>2777</v>
      </c>
      <c r="BM504" s="7">
        <v>0.0909</v>
      </c>
      <c r="BN504" s="7">
        <v>0.0823</v>
      </c>
      <c r="BO504" s="4">
        <v>2</v>
      </c>
      <c r="BP504" s="8">
        <v>194.04</v>
      </c>
      <c r="BQ504" s="4"/>
      <c r="BR504" s="8"/>
      <c r="BS504" s="7"/>
      <c r="BT504" s="7"/>
      <c r="BU504" s="2" t="s">
        <v>1376</v>
      </c>
      <c r="BV504" s="2" t="s">
        <v>95</v>
      </c>
      <c r="BW504" s="2" t="s">
        <v>98</v>
      </c>
      <c r="BX504" s="2" t="s">
        <v>98</v>
      </c>
      <c r="BY504" s="2" t="s">
        <v>110</v>
      </c>
      <c r="BZ504" s="2" t="s">
        <v>98</v>
      </c>
    </row>
    <row r="505">
      <c r="A505" s="2" t="s">
        <v>2778</v>
      </c>
      <c r="B505" s="2" t="s">
        <v>1345</v>
      </c>
      <c r="C505" s="2" t="s">
        <v>88</v>
      </c>
      <c r="D505" s="2" t="s">
        <v>2728</v>
      </c>
      <c r="E505" s="2" t="s">
        <v>2775</v>
      </c>
      <c r="F505" s="2" t="s">
        <v>2730</v>
      </c>
      <c r="G505" s="2" t="s">
        <v>2731</v>
      </c>
      <c r="H505" s="2" t="s">
        <v>2732</v>
      </c>
      <c r="I505" s="2" t="s">
        <v>2776</v>
      </c>
      <c r="J505" s="2" t="s">
        <v>93</v>
      </c>
      <c r="K505" s="2" t="s">
        <v>2734</v>
      </c>
      <c r="L505" s="3">
        <v>94.5</v>
      </c>
      <c r="M505" s="3">
        <v>99.22</v>
      </c>
      <c r="N505" s="3">
        <v>199</v>
      </c>
      <c r="O505" s="2" t="s">
        <v>95</v>
      </c>
      <c r="P505" s="2" t="s">
        <v>134</v>
      </c>
      <c r="Q505" s="2" t="s">
        <v>97</v>
      </c>
      <c r="R505" s="2" t="s">
        <v>98</v>
      </c>
      <c r="S505" s="2" t="s">
        <v>2779</v>
      </c>
      <c r="T505" s="2" t="s">
        <v>98</v>
      </c>
      <c r="U505" s="2" t="s">
        <v>98</v>
      </c>
      <c r="V505" s="2" t="s">
        <v>439</v>
      </c>
      <c r="W505" s="2" t="s">
        <v>963</v>
      </c>
      <c r="X505" s="2" t="s">
        <v>98</v>
      </c>
      <c r="Y505" s="2" t="s">
        <v>2736</v>
      </c>
      <c r="Z505" s="4">
        <v>123</v>
      </c>
      <c r="AA505" s="4">
        <f>=ROUNDDOWN(24.6,0)</f>
      </c>
      <c r="AB505" s="5">
        <v>5</v>
      </c>
      <c r="AC505" s="2" t="s">
        <v>2780</v>
      </c>
      <c r="AD505" s="4">
        <v>100</v>
      </c>
      <c r="AE505" s="4">
        <v>100</v>
      </c>
      <c r="AF505" s="6">
        <v>74</v>
      </c>
      <c r="AG505" s="6">
        <v>60</v>
      </c>
      <c r="AH505" s="7">
        <v>1</v>
      </c>
      <c r="AI505" s="4"/>
      <c r="AJ505" s="4">
        <f>=ROUNDDOWN({0},0)</f>
      </c>
      <c r="AK505" s="5"/>
      <c r="AL505" s="2" t="s">
        <v>98</v>
      </c>
      <c r="AM505" s="4"/>
      <c r="AN505" s="4"/>
      <c r="AO505" s="7">
        <v>0</v>
      </c>
      <c r="AP505" s="4">
        <v>1</v>
      </c>
      <c r="AQ505" s="8">
        <v>95.14</v>
      </c>
      <c r="AR505" s="4">
        <v>1</v>
      </c>
      <c r="AS505" s="8">
        <v>104.2</v>
      </c>
      <c r="AT505" s="7"/>
      <c r="AU505" s="7">
        <v>-0.0869</v>
      </c>
      <c r="AV505" s="4">
        <v>1</v>
      </c>
      <c r="AW505" s="8">
        <v>95.14</v>
      </c>
      <c r="AX505" s="4">
        <v>1</v>
      </c>
      <c r="AY505" s="8">
        <v>104.2</v>
      </c>
      <c r="AZ505" s="7"/>
      <c r="BA505" s="7">
        <v>-0.0869</v>
      </c>
      <c r="BB505" s="7">
        <v>1</v>
      </c>
      <c r="BC505" s="4">
        <v>1</v>
      </c>
      <c r="BD505" s="8">
        <v>95.14</v>
      </c>
      <c r="BE505" s="4">
        <v>1</v>
      </c>
      <c r="BF505" s="8">
        <v>104.2</v>
      </c>
      <c r="BG505" s="7"/>
      <c r="BH505" s="7">
        <v>-0.0869</v>
      </c>
      <c r="BI505" s="7">
        <v>1</v>
      </c>
      <c r="BJ505" s="4">
        <v>2</v>
      </c>
      <c r="BK505" s="8">
        <v>169.56</v>
      </c>
      <c r="BL505" s="2" t="s">
        <v>2737</v>
      </c>
      <c r="BM505" s="7">
        <v>0.5</v>
      </c>
      <c r="BN505" s="7">
        <v>0.5611</v>
      </c>
      <c r="BO505" s="4">
        <v>1</v>
      </c>
      <c r="BP505" s="8">
        <v>95.14</v>
      </c>
      <c r="BQ505" s="4">
        <v>1</v>
      </c>
      <c r="BR505" s="8">
        <v>104.2</v>
      </c>
      <c r="BS505" s="7"/>
      <c r="BT505" s="7">
        <v>-0.0869</v>
      </c>
      <c r="BU505" s="2" t="s">
        <v>107</v>
      </c>
      <c r="BV505" s="2" t="s">
        <v>1355</v>
      </c>
      <c r="BW505" s="2" t="s">
        <v>250</v>
      </c>
      <c r="BX505" s="2" t="s">
        <v>2738</v>
      </c>
      <c r="BY505" s="2" t="s">
        <v>110</v>
      </c>
      <c r="BZ505" s="2" t="s">
        <v>98</v>
      </c>
    </row>
    <row r="506">
      <c r="A506" s="2" t="s">
        <v>2781</v>
      </c>
      <c r="B506" s="2" t="s">
        <v>1345</v>
      </c>
      <c r="C506" s="2" t="s">
        <v>88</v>
      </c>
      <c r="D506" s="2" t="s">
        <v>2728</v>
      </c>
      <c r="E506" s="2" t="s">
        <v>2775</v>
      </c>
      <c r="F506" s="2" t="s">
        <v>2740</v>
      </c>
      <c r="G506" s="2" t="s">
        <v>2741</v>
      </c>
      <c r="H506" s="2" t="s">
        <v>2742</v>
      </c>
      <c r="I506" s="2" t="s">
        <v>2776</v>
      </c>
      <c r="J506" s="2" t="s">
        <v>93</v>
      </c>
      <c r="K506" s="2" t="s">
        <v>348</v>
      </c>
      <c r="L506" s="3">
        <v>171</v>
      </c>
      <c r="M506" s="3">
        <v>179.55</v>
      </c>
      <c r="N506" s="3">
        <v>359</v>
      </c>
      <c r="O506" s="2" t="s">
        <v>95</v>
      </c>
      <c r="P506" s="2" t="s">
        <v>134</v>
      </c>
      <c r="Q506" s="2" t="s">
        <v>97</v>
      </c>
      <c r="R506" s="2" t="s">
        <v>98</v>
      </c>
      <c r="S506" s="2" t="s">
        <v>2743</v>
      </c>
      <c r="T506" s="2" t="s">
        <v>98</v>
      </c>
      <c r="U506" s="2" t="s">
        <v>98</v>
      </c>
      <c r="V506" s="2" t="s">
        <v>439</v>
      </c>
      <c r="W506" s="2" t="s">
        <v>102</v>
      </c>
      <c r="X506" s="2" t="s">
        <v>98</v>
      </c>
      <c r="Y506" s="2" t="s">
        <v>2476</v>
      </c>
      <c r="Z506" s="4">
        <v>83</v>
      </c>
      <c r="AA506" s="4">
        <f>=ROUNDDOWN(20.75,0)</f>
      </c>
      <c r="AB506" s="5">
        <v>4</v>
      </c>
      <c r="AC506" s="2" t="s">
        <v>2600</v>
      </c>
      <c r="AD506" s="4">
        <v>120</v>
      </c>
      <c r="AE506" s="4">
        <v>120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98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/>
      <c r="AW506" s="8"/>
      <c r="AX506" s="4"/>
      <c r="AY506" s="8"/>
      <c r="AZ506" s="7"/>
      <c r="BA506" s="7"/>
      <c r="BB506" s="7"/>
      <c r="BC506" s="4"/>
      <c r="BD506" s="8"/>
      <c r="BE506" s="4"/>
      <c r="BF506" s="8"/>
      <c r="BG506" s="7"/>
      <c r="BH506" s="7"/>
      <c r="BI506" s="7"/>
      <c r="BJ506" s="4">
        <v>2</v>
      </c>
      <c r="BK506" s="8">
        <v>360.15</v>
      </c>
      <c r="BL506" s="2" t="s">
        <v>1379</v>
      </c>
      <c r="BM506" s="7"/>
      <c r="BN506" s="7"/>
      <c r="BO506" s="4"/>
      <c r="BP506" s="8"/>
      <c r="BQ506" s="4"/>
      <c r="BR506" s="8"/>
      <c r="BS506" s="7"/>
      <c r="BT506" s="7"/>
      <c r="BU506" s="2" t="s">
        <v>107</v>
      </c>
      <c r="BV506" s="2" t="s">
        <v>1355</v>
      </c>
      <c r="BW506" s="2" t="s">
        <v>248</v>
      </c>
      <c r="BX506" s="2" t="s">
        <v>2198</v>
      </c>
      <c r="BY506" s="2" t="s">
        <v>110</v>
      </c>
      <c r="BZ506" s="2" t="s">
        <v>98</v>
      </c>
    </row>
    <row r="507">
      <c r="A507" s="2" t="s">
        <v>2782</v>
      </c>
      <c r="B507" s="2" t="s">
        <v>1345</v>
      </c>
      <c r="C507" s="2" t="s">
        <v>88</v>
      </c>
      <c r="D507" s="2" t="s">
        <v>2728</v>
      </c>
      <c r="E507" s="2" t="s">
        <v>2775</v>
      </c>
      <c r="F507" s="2" t="s">
        <v>2752</v>
      </c>
      <c r="G507" s="2" t="s">
        <v>2753</v>
      </c>
      <c r="H507" s="2" t="s">
        <v>2754</v>
      </c>
      <c r="I507" s="2" t="s">
        <v>2776</v>
      </c>
      <c r="J507" s="2" t="s">
        <v>93</v>
      </c>
      <c r="K507" s="2" t="s">
        <v>2758</v>
      </c>
      <c r="L507" s="3">
        <v>90</v>
      </c>
      <c r="M507" s="3">
        <v>94.5</v>
      </c>
      <c r="N507" s="3">
        <v>189</v>
      </c>
      <c r="O507" s="2" t="s">
        <v>95</v>
      </c>
      <c r="P507" s="2" t="s">
        <v>134</v>
      </c>
      <c r="Q507" s="2" t="s">
        <v>97</v>
      </c>
      <c r="R507" s="2" t="s">
        <v>98</v>
      </c>
      <c r="S507" s="2" t="s">
        <v>98</v>
      </c>
      <c r="T507" s="2" t="s">
        <v>98</v>
      </c>
      <c r="U507" s="2" t="s">
        <v>117</v>
      </c>
      <c r="V507" s="2" t="s">
        <v>439</v>
      </c>
      <c r="W507" s="2" t="s">
        <v>963</v>
      </c>
      <c r="X507" s="2" t="s">
        <v>102</v>
      </c>
      <c r="Y507" s="2" t="s">
        <v>2759</v>
      </c>
      <c r="Z507" s="4">
        <v>70</v>
      </c>
      <c r="AA507" s="4">
        <f>=ROUNDDOWN(3.33333333333333,0)</f>
      </c>
      <c r="AB507" s="5">
        <v>21</v>
      </c>
      <c r="AC507" s="2" t="s">
        <v>1353</v>
      </c>
      <c r="AD507" s="4">
        <v>100</v>
      </c>
      <c r="AE507" s="4">
        <v>490</v>
      </c>
      <c r="AF507" s="6">
        <v>74</v>
      </c>
      <c r="AG507" s="6">
        <v>60</v>
      </c>
      <c r="AH507" s="7">
        <v>1</v>
      </c>
      <c r="AI507" s="4"/>
      <c r="AJ507" s="4">
        <f>=ROUNDDOWN({0},0)</f>
      </c>
      <c r="AK507" s="5"/>
      <c r="AL507" s="2" t="s">
        <v>98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/>
      <c r="AW507" s="8"/>
      <c r="AX507" s="4"/>
      <c r="AY507" s="8"/>
      <c r="AZ507" s="7"/>
      <c r="BA507" s="7"/>
      <c r="BB507" s="7"/>
      <c r="BC507" s="4" t="s">
        <v>98</v>
      </c>
      <c r="BD507" s="8" t="s">
        <v>98</v>
      </c>
      <c r="BE507" s="4">
        <v>8</v>
      </c>
      <c r="BF507" s="8">
        <v>640</v>
      </c>
      <c r="BG507" s="7" t="s">
        <v>98</v>
      </c>
      <c r="BH507" s="7" t="s">
        <v>98</v>
      </c>
      <c r="BI507" s="7"/>
      <c r="BJ507" s="4">
        <v>9</v>
      </c>
      <c r="BK507" s="8">
        <v>746.48</v>
      </c>
      <c r="BL507" s="2" t="s">
        <v>2783</v>
      </c>
      <c r="BM507" s="7"/>
      <c r="BN507" s="7"/>
      <c r="BO507" s="4"/>
      <c r="BP507" s="8"/>
      <c r="BQ507" s="4"/>
      <c r="BR507" s="8"/>
      <c r="BS507" s="7"/>
      <c r="BT507" s="7"/>
      <c r="BU507" s="2" t="s">
        <v>1376</v>
      </c>
      <c r="BV507" s="2" t="s">
        <v>95</v>
      </c>
      <c r="BW507" s="2" t="s">
        <v>98</v>
      </c>
      <c r="BX507" s="2" t="s">
        <v>98</v>
      </c>
      <c r="BY507" s="2" t="s">
        <v>110</v>
      </c>
      <c r="BZ507" s="2" t="s">
        <v>98</v>
      </c>
    </row>
    <row r="508">
      <c r="A508" s="2" t="s">
        <v>2784</v>
      </c>
      <c r="B508" s="2" t="s">
        <v>1345</v>
      </c>
      <c r="C508" s="2" t="s">
        <v>88</v>
      </c>
      <c r="D508" s="2" t="s">
        <v>2728</v>
      </c>
      <c r="E508" s="2" t="s">
        <v>2775</v>
      </c>
      <c r="F508" s="2" t="s">
        <v>2752</v>
      </c>
      <c r="G508" s="2" t="s">
        <v>2753</v>
      </c>
      <c r="H508" s="2" t="s">
        <v>2754</v>
      </c>
      <c r="I508" s="2" t="s">
        <v>2776</v>
      </c>
      <c r="J508" s="2" t="s">
        <v>93</v>
      </c>
      <c r="K508" s="2" t="s">
        <v>2763</v>
      </c>
      <c r="L508" s="3">
        <v>90</v>
      </c>
      <c r="M508" s="3">
        <v>94.5</v>
      </c>
      <c r="N508" s="3">
        <v>189</v>
      </c>
      <c r="O508" s="2" t="s">
        <v>95</v>
      </c>
      <c r="P508" s="2" t="s">
        <v>163</v>
      </c>
      <c r="Q508" s="2" t="s">
        <v>97</v>
      </c>
      <c r="R508" s="2" t="s">
        <v>98</v>
      </c>
      <c r="S508" s="2" t="s">
        <v>2785</v>
      </c>
      <c r="T508" s="2" t="s">
        <v>98</v>
      </c>
      <c r="U508" s="2" t="s">
        <v>98</v>
      </c>
      <c r="V508" s="2" t="s">
        <v>439</v>
      </c>
      <c r="W508" s="2" t="s">
        <v>963</v>
      </c>
      <c r="X508" s="2" t="s">
        <v>98</v>
      </c>
      <c r="Y508" s="2" t="s">
        <v>366</v>
      </c>
      <c r="Z508" s="4">
        <v>185</v>
      </c>
      <c r="AA508" s="4">
        <f>=ROUNDDOWN(4.12026726057906,0)</f>
      </c>
      <c r="AB508" s="5">
        <v>44.9</v>
      </c>
      <c r="AC508" s="2" t="s">
        <v>1353</v>
      </c>
      <c r="AD508" s="4">
        <v>390</v>
      </c>
      <c r="AE508" s="4">
        <v>950</v>
      </c>
      <c r="AF508" s="6">
        <v>74</v>
      </c>
      <c r="AG508" s="6">
        <v>60</v>
      </c>
      <c r="AH508" s="7">
        <v>1</v>
      </c>
      <c r="AI508" s="4"/>
      <c r="AJ508" s="4">
        <f>=ROUNDDOWN({0},0)</f>
      </c>
      <c r="AK508" s="5"/>
      <c r="AL508" s="2" t="s">
        <v>2760</v>
      </c>
      <c r="AM508" s="4">
        <v>100</v>
      </c>
      <c r="AN508" s="4">
        <v>480</v>
      </c>
      <c r="AO508" s="7">
        <v>0</v>
      </c>
      <c r="AP508" s="4"/>
      <c r="AQ508" s="8"/>
      <c r="AR508" s="4">
        <v>8</v>
      </c>
      <c r="AS508" s="8">
        <v>640</v>
      </c>
      <c r="AT508" s="7">
        <v>-1</v>
      </c>
      <c r="AU508" s="7">
        <v>-1</v>
      </c>
      <c r="AV508" s="4"/>
      <c r="AW508" s="8"/>
      <c r="AX508" s="4">
        <v>8</v>
      </c>
      <c r="AY508" s="8">
        <v>640</v>
      </c>
      <c r="AZ508" s="7">
        <v>-1</v>
      </c>
      <c r="BA508" s="7">
        <v>-1</v>
      </c>
      <c r="BB508" s="7"/>
      <c r="BC508" s="4" t="s">
        <v>98</v>
      </c>
      <c r="BD508" s="8" t="s">
        <v>98</v>
      </c>
      <c r="BE508" s="4" t="s">
        <v>98</v>
      </c>
      <c r="BF508" s="8" t="s">
        <v>98</v>
      </c>
      <c r="BG508" s="7" t="s">
        <v>98</v>
      </c>
      <c r="BH508" s="7" t="s">
        <v>98</v>
      </c>
      <c r="BI508" s="7"/>
      <c r="BJ508" s="4">
        <v>24</v>
      </c>
      <c r="BK508" s="8">
        <v>2201.71</v>
      </c>
      <c r="BL508" s="2" t="s">
        <v>2786</v>
      </c>
      <c r="BM508" s="7"/>
      <c r="BN508" s="7"/>
      <c r="BO508" s="4"/>
      <c r="BP508" s="8"/>
      <c r="BQ508" s="4">
        <v>8</v>
      </c>
      <c r="BR508" s="8">
        <v>640</v>
      </c>
      <c r="BS508" s="7">
        <v>-1</v>
      </c>
      <c r="BT508" s="7">
        <v>-1</v>
      </c>
      <c r="BU508" s="2" t="s">
        <v>107</v>
      </c>
      <c r="BV508" s="2" t="s">
        <v>1355</v>
      </c>
      <c r="BW508" s="2" t="s">
        <v>2766</v>
      </c>
      <c r="BX508" s="2" t="s">
        <v>2767</v>
      </c>
      <c r="BY508" s="2" t="s">
        <v>110</v>
      </c>
      <c r="BZ508" s="2" t="s">
        <v>98</v>
      </c>
    </row>
    <row r="509">
      <c r="A509" s="2" t="s">
        <v>2787</v>
      </c>
      <c r="B509" s="2" t="s">
        <v>1345</v>
      </c>
      <c r="C509" s="2" t="s">
        <v>88</v>
      </c>
      <c r="D509" s="2" t="s">
        <v>2728</v>
      </c>
      <c r="E509" s="2" t="s">
        <v>2775</v>
      </c>
      <c r="F509" s="2" t="s">
        <v>2769</v>
      </c>
      <c r="G509" s="2" t="s">
        <v>2770</v>
      </c>
      <c r="H509" s="2" t="s">
        <v>2771</v>
      </c>
      <c r="I509" s="2" t="s">
        <v>2776</v>
      </c>
      <c r="J509" s="2" t="s">
        <v>93</v>
      </c>
      <c r="K509" s="2" t="s">
        <v>127</v>
      </c>
      <c r="L509" s="3">
        <v>118</v>
      </c>
      <c r="M509" s="3">
        <v>123.9</v>
      </c>
      <c r="N509" s="3">
        <v>249</v>
      </c>
      <c r="O509" s="2" t="s">
        <v>155</v>
      </c>
      <c r="P509" s="2" t="s">
        <v>115</v>
      </c>
      <c r="Q509" s="2" t="s">
        <v>97</v>
      </c>
      <c r="R509" s="2" t="s">
        <v>98</v>
      </c>
      <c r="S509" s="2" t="s">
        <v>98</v>
      </c>
      <c r="T509" s="2" t="s">
        <v>98</v>
      </c>
      <c r="U509" s="2" t="s">
        <v>117</v>
      </c>
      <c r="V509" s="2" t="s">
        <v>296</v>
      </c>
      <c r="W509" s="2" t="s">
        <v>968</v>
      </c>
      <c r="X509" s="2" t="s">
        <v>119</v>
      </c>
      <c r="Y509" s="2" t="s">
        <v>2773</v>
      </c>
      <c r="Z509" s="4">
        <v>21</v>
      </c>
      <c r="AA509" s="4">
        <f>=ROUNDDOWN({0},0)</f>
      </c>
      <c r="AB509" s="5"/>
      <c r="AC509" s="2" t="s">
        <v>98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98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/>
      <c r="AW509" s="8"/>
      <c r="AX509" s="4"/>
      <c r="AY509" s="8"/>
      <c r="AZ509" s="7"/>
      <c r="BA509" s="7"/>
      <c r="BB509" s="7"/>
      <c r="BC509" s="4"/>
      <c r="BD509" s="8"/>
      <c r="BE509" s="4"/>
      <c r="BF509" s="8"/>
      <c r="BG509" s="7"/>
      <c r="BH509" s="7"/>
      <c r="BI509" s="7"/>
      <c r="BJ509" s="4"/>
      <c r="BK509" s="8"/>
      <c r="BL509" s="2" t="s">
        <v>98</v>
      </c>
      <c r="BM509" s="7"/>
      <c r="BN509" s="7"/>
      <c r="BO509" s="4"/>
      <c r="BP509" s="8"/>
      <c r="BQ509" s="4"/>
      <c r="BR509" s="8"/>
      <c r="BS509" s="7"/>
      <c r="BT509" s="7"/>
      <c r="BU509" s="2" t="s">
        <v>1376</v>
      </c>
      <c r="BV509" s="2" t="s">
        <v>1355</v>
      </c>
      <c r="BW509" s="2" t="s">
        <v>98</v>
      </c>
      <c r="BX509" s="2" t="s">
        <v>98</v>
      </c>
      <c r="BY509" s="2" t="s">
        <v>110</v>
      </c>
      <c r="BZ509" s="2" t="s">
        <v>98</v>
      </c>
    </row>
    <row r="510">
      <c r="A510" s="2" t="s">
        <v>2788</v>
      </c>
      <c r="B510" s="2" t="s">
        <v>1345</v>
      </c>
      <c r="C510" s="2" t="s">
        <v>88</v>
      </c>
      <c r="D510" s="2" t="s">
        <v>2728</v>
      </c>
      <c r="E510" s="2" t="s">
        <v>2789</v>
      </c>
      <c r="F510" s="2" t="s">
        <v>2310</v>
      </c>
      <c r="G510" s="2" t="s">
        <v>2311</v>
      </c>
      <c r="H510" s="2" t="s">
        <v>2312</v>
      </c>
      <c r="I510" s="2" t="s">
        <v>2790</v>
      </c>
      <c r="J510" s="2" t="s">
        <v>93</v>
      </c>
      <c r="K510" s="2" t="s">
        <v>2734</v>
      </c>
      <c r="L510" s="3">
        <v>118</v>
      </c>
      <c r="M510" s="3">
        <v>123.9</v>
      </c>
      <c r="N510" s="3">
        <v>249</v>
      </c>
      <c r="O510" s="2" t="s">
        <v>155</v>
      </c>
      <c r="P510" s="2" t="s">
        <v>115</v>
      </c>
      <c r="Q510" s="2" t="s">
        <v>97</v>
      </c>
      <c r="R510" s="2" t="s">
        <v>98</v>
      </c>
      <c r="S510" s="2" t="s">
        <v>2791</v>
      </c>
      <c r="T510" s="2" t="s">
        <v>98</v>
      </c>
      <c r="U510" s="2" t="s">
        <v>98</v>
      </c>
      <c r="V510" s="2" t="s">
        <v>439</v>
      </c>
      <c r="W510" s="2" t="s">
        <v>314</v>
      </c>
      <c r="X510" s="2" t="s">
        <v>98</v>
      </c>
      <c r="Y510" s="2" t="s">
        <v>842</v>
      </c>
      <c r="Z510" s="4">
        <v>212</v>
      </c>
      <c r="AA510" s="4">
        <f>=ROUNDDOWN(163.076923076923,0)</f>
      </c>
      <c r="AB510" s="5">
        <v>1.3</v>
      </c>
      <c r="AC510" s="2" t="s">
        <v>98</v>
      </c>
      <c r="AD510" s="4"/>
      <c r="AE510" s="4"/>
      <c r="AF510" s="6">
        <v>65</v>
      </c>
      <c r="AG510" s="6">
        <v>48</v>
      </c>
      <c r="AH510" s="7">
        <v>1</v>
      </c>
      <c r="AI510" s="4"/>
      <c r="AJ510" s="4">
        <f>=ROUNDDOWN({0},0)</f>
      </c>
      <c r="AK510" s="5"/>
      <c r="AL510" s="2" t="s">
        <v>98</v>
      </c>
      <c r="AM510" s="4"/>
      <c r="AN510" s="4"/>
      <c r="AO510" s="7">
        <v>0</v>
      </c>
      <c r="AP510" s="4">
        <v>2</v>
      </c>
      <c r="AQ510" s="8">
        <v>227.36</v>
      </c>
      <c r="AR510" s="4"/>
      <c r="AS510" s="8"/>
      <c r="AT510" s="7"/>
      <c r="AU510" s="7"/>
      <c r="AV510" s="4">
        <v>2</v>
      </c>
      <c r="AW510" s="8">
        <v>227.36</v>
      </c>
      <c r="AX510" s="4"/>
      <c r="AY510" s="8"/>
      <c r="AZ510" s="7"/>
      <c r="BA510" s="7"/>
      <c r="BB510" s="7">
        <v>1</v>
      </c>
      <c r="BC510" s="4">
        <v>2</v>
      </c>
      <c r="BD510" s="8">
        <v>227.36</v>
      </c>
      <c r="BE510" s="4"/>
      <c r="BF510" s="8"/>
      <c r="BG510" s="7"/>
      <c r="BH510" s="7"/>
      <c r="BI510" s="7">
        <v>1</v>
      </c>
      <c r="BJ510" s="4">
        <v>2</v>
      </c>
      <c r="BK510" s="8">
        <v>227.36</v>
      </c>
      <c r="BL510" s="2" t="s">
        <v>1453</v>
      </c>
      <c r="BM510" s="7">
        <v>1</v>
      </c>
      <c r="BN510" s="7">
        <v>1</v>
      </c>
      <c r="BO510" s="4">
        <v>2</v>
      </c>
      <c r="BP510" s="8">
        <v>227.36</v>
      </c>
      <c r="BQ510" s="4"/>
      <c r="BR510" s="8"/>
      <c r="BS510" s="7"/>
      <c r="BT510" s="7"/>
      <c r="BU510" s="2" t="s">
        <v>107</v>
      </c>
      <c r="BV510" s="2" t="s">
        <v>1355</v>
      </c>
      <c r="BW510" s="2" t="s">
        <v>250</v>
      </c>
      <c r="BX510" s="2" t="s">
        <v>1141</v>
      </c>
      <c r="BY510" s="2" t="s">
        <v>110</v>
      </c>
      <c r="BZ510" s="2" t="s">
        <v>98</v>
      </c>
    </row>
    <row r="511">
      <c r="A511" s="2" t="s">
        <v>2792</v>
      </c>
      <c r="B511" s="2" t="s">
        <v>1345</v>
      </c>
      <c r="C511" s="2" t="s">
        <v>88</v>
      </c>
      <c r="D511" s="2" t="s">
        <v>2728</v>
      </c>
      <c r="E511" s="2" t="s">
        <v>2789</v>
      </c>
      <c r="F511" s="2" t="s">
        <v>2740</v>
      </c>
      <c r="G511" s="2" t="s">
        <v>2741</v>
      </c>
      <c r="H511" s="2" t="s">
        <v>2742</v>
      </c>
      <c r="I511" s="2" t="s">
        <v>2793</v>
      </c>
      <c r="J511" s="2" t="s">
        <v>93</v>
      </c>
      <c r="K511" s="2" t="s">
        <v>2794</v>
      </c>
      <c r="L511" s="3">
        <v>121.44</v>
      </c>
      <c r="M511" s="3">
        <v>127.51</v>
      </c>
      <c r="N511" s="3">
        <v>259</v>
      </c>
      <c r="O511" s="2" t="s">
        <v>95</v>
      </c>
      <c r="P511" s="2" t="s">
        <v>134</v>
      </c>
      <c r="Q511" s="2" t="s">
        <v>97</v>
      </c>
      <c r="R511" s="2" t="s">
        <v>98</v>
      </c>
      <c r="S511" s="2" t="s">
        <v>2743</v>
      </c>
      <c r="T511" s="2" t="s">
        <v>98</v>
      </c>
      <c r="U511" s="2" t="s">
        <v>98</v>
      </c>
      <c r="V511" s="2" t="s">
        <v>439</v>
      </c>
      <c r="W511" s="2" t="s">
        <v>314</v>
      </c>
      <c r="X511" s="2" t="s">
        <v>98</v>
      </c>
      <c r="Y511" s="2" t="s">
        <v>2795</v>
      </c>
      <c r="Z511" s="4">
        <v>43</v>
      </c>
      <c r="AA511" s="4">
        <f>=ROUNDDOWN(7.16666666666667,0)</f>
      </c>
      <c r="AB511" s="5">
        <v>6</v>
      </c>
      <c r="AC511" s="2" t="s">
        <v>2713</v>
      </c>
      <c r="AD511" s="4">
        <v>165</v>
      </c>
      <c r="AE511" s="4">
        <v>165</v>
      </c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98</v>
      </c>
      <c r="AM511" s="4"/>
      <c r="AN511" s="4"/>
      <c r="AO511" s="7">
        <v>0</v>
      </c>
      <c r="AP511" s="4"/>
      <c r="AQ511" s="8"/>
      <c r="AR511" s="4">
        <v>1</v>
      </c>
      <c r="AS511" s="8">
        <v>109.17</v>
      </c>
      <c r="AT511" s="7">
        <v>-1</v>
      </c>
      <c r="AU511" s="7">
        <v>-1</v>
      </c>
      <c r="AV511" s="4"/>
      <c r="AW511" s="8"/>
      <c r="AX511" s="4">
        <v>1</v>
      </c>
      <c r="AY511" s="8">
        <v>109.17</v>
      </c>
      <c r="AZ511" s="7">
        <v>-1</v>
      </c>
      <c r="BA511" s="7">
        <v>-1</v>
      </c>
      <c r="BB511" s="7"/>
      <c r="BC511" s="4"/>
      <c r="BD511" s="8"/>
      <c r="BE511" s="4">
        <v>1</v>
      </c>
      <c r="BF511" s="8">
        <v>109.17</v>
      </c>
      <c r="BG511" s="7">
        <v>-1</v>
      </c>
      <c r="BH511" s="7">
        <v>-1</v>
      </c>
      <c r="BI511" s="7"/>
      <c r="BJ511" s="4">
        <v>3</v>
      </c>
      <c r="BK511" s="8">
        <v>417.02</v>
      </c>
      <c r="BL511" s="2" t="s">
        <v>2796</v>
      </c>
      <c r="BM511" s="7"/>
      <c r="BN511" s="7"/>
      <c r="BO511" s="4"/>
      <c r="BP511" s="8"/>
      <c r="BQ511" s="4">
        <v>1</v>
      </c>
      <c r="BR511" s="8">
        <v>109.17</v>
      </c>
      <c r="BS511" s="7">
        <v>-1</v>
      </c>
      <c r="BT511" s="7">
        <v>-1</v>
      </c>
      <c r="BU511" s="2" t="s">
        <v>107</v>
      </c>
      <c r="BV511" s="2" t="s">
        <v>1355</v>
      </c>
      <c r="BW511" s="2" t="s">
        <v>248</v>
      </c>
      <c r="BX511" s="2" t="s">
        <v>2797</v>
      </c>
      <c r="BY511" s="2" t="s">
        <v>110</v>
      </c>
      <c r="BZ511" s="2" t="s">
        <v>98</v>
      </c>
    </row>
    <row r="512">
      <c r="A512" s="2" t="s">
        <v>2798</v>
      </c>
      <c r="B512" s="2" t="s">
        <v>1345</v>
      </c>
      <c r="C512" s="2" t="s">
        <v>88</v>
      </c>
      <c r="D512" s="2" t="s">
        <v>2728</v>
      </c>
      <c r="E512" s="2" t="s">
        <v>2799</v>
      </c>
      <c r="F512" s="2" t="s">
        <v>2800</v>
      </c>
      <c r="G512" s="2" t="s">
        <v>2801</v>
      </c>
      <c r="H512" s="2" t="s">
        <v>2802</v>
      </c>
      <c r="I512" s="2" t="s">
        <v>2803</v>
      </c>
      <c r="J512" s="2" t="s">
        <v>93</v>
      </c>
      <c r="K512" s="2" t="s">
        <v>2804</v>
      </c>
      <c r="L512" s="3">
        <v>230.2</v>
      </c>
      <c r="M512" s="3">
        <v>241.71</v>
      </c>
      <c r="N512" s="3">
        <v>479</v>
      </c>
      <c r="O512" s="2" t="s">
        <v>155</v>
      </c>
      <c r="P512" s="2" t="s">
        <v>115</v>
      </c>
      <c r="Q512" s="2" t="s">
        <v>97</v>
      </c>
      <c r="R512" s="2" t="s">
        <v>98</v>
      </c>
      <c r="S512" s="2" t="s">
        <v>2805</v>
      </c>
      <c r="T512" s="2" t="s">
        <v>98</v>
      </c>
      <c r="U512" s="2" t="s">
        <v>98</v>
      </c>
      <c r="V512" s="2" t="s">
        <v>439</v>
      </c>
      <c r="W512" s="2" t="s">
        <v>968</v>
      </c>
      <c r="X512" s="2" t="s">
        <v>98</v>
      </c>
      <c r="Y512" s="2" t="s">
        <v>2806</v>
      </c>
      <c r="Z512" s="4">
        <v>12</v>
      </c>
      <c r="AA512" s="4">
        <f>=ROUNDDOWN(2.26415094339623,0)</f>
      </c>
      <c r="AB512" s="5">
        <v>5.3</v>
      </c>
      <c r="AC512" s="2" t="s">
        <v>98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98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/>
      <c r="BD512" s="8"/>
      <c r="BE512" s="4"/>
      <c r="BF512" s="8"/>
      <c r="BG512" s="7"/>
      <c r="BH512" s="7"/>
      <c r="BI512" s="7"/>
      <c r="BJ512" s="4">
        <v>3</v>
      </c>
      <c r="BK512" s="8">
        <v>471.33</v>
      </c>
      <c r="BL512" s="2" t="s">
        <v>2132</v>
      </c>
      <c r="BM512" s="7"/>
      <c r="BN512" s="7"/>
      <c r="BO512" s="4"/>
      <c r="BP512" s="8"/>
      <c r="BQ512" s="4"/>
      <c r="BR512" s="8"/>
      <c r="BS512" s="7"/>
      <c r="BT512" s="7"/>
      <c r="BU512" s="2" t="s">
        <v>107</v>
      </c>
      <c r="BV512" s="2" t="s">
        <v>1355</v>
      </c>
      <c r="BW512" s="2" t="s">
        <v>2455</v>
      </c>
      <c r="BX512" s="2" t="s">
        <v>2807</v>
      </c>
      <c r="BY512" s="2" t="s">
        <v>110</v>
      </c>
      <c r="BZ512" s="2" t="s">
        <v>98</v>
      </c>
    </row>
    <row r="513">
      <c r="A513" s="2" t="s">
        <v>2808</v>
      </c>
      <c r="B513" s="2" t="s">
        <v>1345</v>
      </c>
      <c r="C513" s="2" t="s">
        <v>88</v>
      </c>
      <c r="D513" s="2" t="s">
        <v>2728</v>
      </c>
      <c r="E513" s="2" t="s">
        <v>2799</v>
      </c>
      <c r="F513" s="2" t="s">
        <v>2752</v>
      </c>
      <c r="G513" s="2" t="s">
        <v>2753</v>
      </c>
      <c r="H513" s="2" t="s">
        <v>2754</v>
      </c>
      <c r="I513" s="2" t="s">
        <v>2809</v>
      </c>
      <c r="J513" s="2" t="s">
        <v>93</v>
      </c>
      <c r="K513" s="2" t="s">
        <v>2758</v>
      </c>
      <c r="L513" s="3">
        <v>126.35</v>
      </c>
      <c r="M513" s="3">
        <v>132.67</v>
      </c>
      <c r="N513" s="3">
        <v>269</v>
      </c>
      <c r="O513" s="2" t="s">
        <v>95</v>
      </c>
      <c r="P513" s="2" t="s">
        <v>134</v>
      </c>
      <c r="Q513" s="2" t="s">
        <v>97</v>
      </c>
      <c r="R513" s="2" t="s">
        <v>98</v>
      </c>
      <c r="S513" s="2" t="s">
        <v>98</v>
      </c>
      <c r="T513" s="2" t="s">
        <v>98</v>
      </c>
      <c r="U513" s="2" t="s">
        <v>117</v>
      </c>
      <c r="V513" s="2" t="s">
        <v>439</v>
      </c>
      <c r="W513" s="2" t="s">
        <v>963</v>
      </c>
      <c r="X513" s="2" t="s">
        <v>102</v>
      </c>
      <c r="Y513" s="2" t="s">
        <v>2759</v>
      </c>
      <c r="Z513" s="4">
        <v>117</v>
      </c>
      <c r="AA513" s="4">
        <f>=ROUNDDOWN(19.5,0)</f>
      </c>
      <c r="AB513" s="5">
        <v>6</v>
      </c>
      <c r="AC513" s="2" t="s">
        <v>214</v>
      </c>
      <c r="AD513" s="4">
        <v>150</v>
      </c>
      <c r="AE513" s="4">
        <v>150</v>
      </c>
      <c r="AF513" s="6">
        <v>74</v>
      </c>
      <c r="AG513" s="6">
        <v>60</v>
      </c>
      <c r="AH513" s="7">
        <v>1</v>
      </c>
      <c r="AI513" s="4"/>
      <c r="AJ513" s="4">
        <f>=ROUNDDOWN({0},0)</f>
      </c>
      <c r="AK513" s="5"/>
      <c r="AL513" s="2" t="s">
        <v>98</v>
      </c>
      <c r="AM513" s="4"/>
      <c r="AN513" s="4"/>
      <c r="AO513" s="7">
        <v>0</v>
      </c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 t="s">
        <v>98</v>
      </c>
      <c r="BD513" s="8" t="s">
        <v>98</v>
      </c>
      <c r="BE513" s="4">
        <v>2</v>
      </c>
      <c r="BF513" s="8">
        <v>230</v>
      </c>
      <c r="BG513" s="7" t="s">
        <v>98</v>
      </c>
      <c r="BH513" s="7" t="s">
        <v>98</v>
      </c>
      <c r="BI513" s="7"/>
      <c r="BJ513" s="4">
        <v>3</v>
      </c>
      <c r="BK513" s="8">
        <v>390.35</v>
      </c>
      <c r="BL513" s="2" t="s">
        <v>2810</v>
      </c>
      <c r="BM513" s="7"/>
      <c r="BN513" s="7"/>
      <c r="BO513" s="4"/>
      <c r="BP513" s="8"/>
      <c r="BQ513" s="4"/>
      <c r="BR513" s="8"/>
      <c r="BS513" s="7"/>
      <c r="BT513" s="7"/>
      <c r="BU513" s="2" t="s">
        <v>1376</v>
      </c>
      <c r="BV513" s="2" t="s">
        <v>95</v>
      </c>
      <c r="BW513" s="2" t="s">
        <v>98</v>
      </c>
      <c r="BX513" s="2" t="s">
        <v>98</v>
      </c>
      <c r="BY513" s="2" t="s">
        <v>110</v>
      </c>
      <c r="BZ513" s="2" t="s">
        <v>98</v>
      </c>
    </row>
    <row r="514">
      <c r="A514" s="2" t="s">
        <v>2811</v>
      </c>
      <c r="B514" s="2" t="s">
        <v>1345</v>
      </c>
      <c r="C514" s="2" t="s">
        <v>88</v>
      </c>
      <c r="D514" s="2" t="s">
        <v>2728</v>
      </c>
      <c r="E514" s="2" t="s">
        <v>2799</v>
      </c>
      <c r="F514" s="2" t="s">
        <v>2752</v>
      </c>
      <c r="G514" s="2" t="s">
        <v>2753</v>
      </c>
      <c r="H514" s="2" t="s">
        <v>2754</v>
      </c>
      <c r="I514" s="2" t="s">
        <v>2809</v>
      </c>
      <c r="J514" s="2" t="s">
        <v>93</v>
      </c>
      <c r="K514" s="2" t="s">
        <v>2763</v>
      </c>
      <c r="L514" s="3">
        <v>126.35</v>
      </c>
      <c r="M514" s="3">
        <v>132.67</v>
      </c>
      <c r="N514" s="3">
        <v>269</v>
      </c>
      <c r="O514" s="2" t="s">
        <v>95</v>
      </c>
      <c r="P514" s="2" t="s">
        <v>96</v>
      </c>
      <c r="Q514" s="2" t="s">
        <v>97</v>
      </c>
      <c r="R514" s="2" t="s">
        <v>98</v>
      </c>
      <c r="S514" s="2" t="s">
        <v>2812</v>
      </c>
      <c r="T514" s="2" t="s">
        <v>98</v>
      </c>
      <c r="U514" s="2" t="s">
        <v>98</v>
      </c>
      <c r="V514" s="2" t="s">
        <v>439</v>
      </c>
      <c r="W514" s="2" t="s">
        <v>963</v>
      </c>
      <c r="X514" s="2" t="s">
        <v>98</v>
      </c>
      <c r="Y514" s="2" t="s">
        <v>366</v>
      </c>
      <c r="Z514" s="4">
        <v>162</v>
      </c>
      <c r="AA514" s="4">
        <f>=ROUNDDOWN(9,0)</f>
      </c>
      <c r="AB514" s="5">
        <v>18</v>
      </c>
      <c r="AC514" s="2" t="s">
        <v>1353</v>
      </c>
      <c r="AD514" s="4">
        <v>260</v>
      </c>
      <c r="AE514" s="4">
        <v>610</v>
      </c>
      <c r="AF514" s="6">
        <v>74</v>
      </c>
      <c r="AG514" s="6">
        <v>60</v>
      </c>
      <c r="AH514" s="7">
        <v>1</v>
      </c>
      <c r="AI514" s="4"/>
      <c r="AJ514" s="4">
        <f>=ROUNDDOWN({0},0)</f>
      </c>
      <c r="AK514" s="5"/>
      <c r="AL514" s="2" t="s">
        <v>98</v>
      </c>
      <c r="AM514" s="4"/>
      <c r="AN514" s="4"/>
      <c r="AO514" s="7">
        <v>0</v>
      </c>
      <c r="AP514" s="4"/>
      <c r="AQ514" s="8"/>
      <c r="AR514" s="4">
        <v>2</v>
      </c>
      <c r="AS514" s="8">
        <v>230</v>
      </c>
      <c r="AT514" s="7">
        <v>-1</v>
      </c>
      <c r="AU514" s="7">
        <v>-1</v>
      </c>
      <c r="AV514" s="4"/>
      <c r="AW514" s="8"/>
      <c r="AX514" s="4">
        <v>2</v>
      </c>
      <c r="AY514" s="8">
        <v>230</v>
      </c>
      <c r="AZ514" s="7">
        <v>-1</v>
      </c>
      <c r="BA514" s="7">
        <v>-1</v>
      </c>
      <c r="BB514" s="7"/>
      <c r="BC514" s="4" t="s">
        <v>98</v>
      </c>
      <c r="BD514" s="8" t="s">
        <v>98</v>
      </c>
      <c r="BE514" s="4" t="s">
        <v>98</v>
      </c>
      <c r="BF514" s="8" t="s">
        <v>98</v>
      </c>
      <c r="BG514" s="7" t="s">
        <v>98</v>
      </c>
      <c r="BH514" s="7" t="s">
        <v>98</v>
      </c>
      <c r="BI514" s="7"/>
      <c r="BJ514" s="4">
        <v>8</v>
      </c>
      <c r="BK514" s="8">
        <v>957.45</v>
      </c>
      <c r="BL514" s="2" t="s">
        <v>2813</v>
      </c>
      <c r="BM514" s="7"/>
      <c r="BN514" s="7"/>
      <c r="BO514" s="4"/>
      <c r="BP514" s="8"/>
      <c r="BQ514" s="4">
        <v>2</v>
      </c>
      <c r="BR514" s="8">
        <v>230</v>
      </c>
      <c r="BS514" s="7">
        <v>-1</v>
      </c>
      <c r="BT514" s="7">
        <v>-1</v>
      </c>
      <c r="BU514" s="2" t="s">
        <v>107</v>
      </c>
      <c r="BV514" s="2" t="s">
        <v>1355</v>
      </c>
      <c r="BW514" s="2" t="s">
        <v>2766</v>
      </c>
      <c r="BX514" s="2" t="s">
        <v>2814</v>
      </c>
      <c r="BY514" s="2" t="s">
        <v>110</v>
      </c>
      <c r="BZ514" s="2" t="s">
        <v>98</v>
      </c>
    </row>
    <row r="515">
      <c r="A515" s="2" t="s">
        <v>2815</v>
      </c>
      <c r="B515" s="2" t="s">
        <v>1345</v>
      </c>
      <c r="C515" s="2" t="s">
        <v>88</v>
      </c>
      <c r="D515" s="2" t="s">
        <v>2728</v>
      </c>
      <c r="E515" s="2" t="s">
        <v>2816</v>
      </c>
      <c r="F515" s="2" t="s">
        <v>2430</v>
      </c>
      <c r="G515" s="2" t="s">
        <v>2431</v>
      </c>
      <c r="H515" s="2" t="s">
        <v>2432</v>
      </c>
      <c r="I515" s="2" t="s">
        <v>2817</v>
      </c>
      <c r="J515" s="2" t="s">
        <v>93</v>
      </c>
      <c r="K515" s="2" t="s">
        <v>2818</v>
      </c>
      <c r="L515" s="3">
        <v>205.2</v>
      </c>
      <c r="M515" s="3">
        <v>215.46</v>
      </c>
      <c r="N515" s="3">
        <v>429</v>
      </c>
      <c r="O515" s="2" t="s">
        <v>95</v>
      </c>
      <c r="P515" s="2" t="s">
        <v>142</v>
      </c>
      <c r="Q515" s="2" t="s">
        <v>97</v>
      </c>
      <c r="R515" s="2" t="s">
        <v>98</v>
      </c>
      <c r="S515" s="2" t="s">
        <v>98</v>
      </c>
      <c r="T515" s="2" t="s">
        <v>98</v>
      </c>
      <c r="U515" s="2" t="s">
        <v>117</v>
      </c>
      <c r="V515" s="2" t="s">
        <v>439</v>
      </c>
      <c r="W515" s="2" t="s">
        <v>103</v>
      </c>
      <c r="X515" s="2" t="s">
        <v>119</v>
      </c>
      <c r="Y515" s="2" t="s">
        <v>2819</v>
      </c>
      <c r="Z515" s="4">
        <v>93</v>
      </c>
      <c r="AA515" s="4">
        <f>=ROUNDDOWN(465,0)</f>
      </c>
      <c r="AB515" s="5">
        <v>0.2</v>
      </c>
      <c r="AC515" s="2" t="s">
        <v>98</v>
      </c>
      <c r="AD515" s="4"/>
      <c r="AE515" s="4"/>
      <c r="AF515" s="6">
        <v>74</v>
      </c>
      <c r="AG515" s="6"/>
      <c r="AH515" s="7">
        <v>1</v>
      </c>
      <c r="AI515" s="4"/>
      <c r="AJ515" s="4">
        <f>=ROUNDDOWN({0},0)</f>
      </c>
      <c r="AK515" s="5"/>
      <c r="AL515" s="2" t="s">
        <v>98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/>
      <c r="BD515" s="8"/>
      <c r="BE515" s="4"/>
      <c r="BF515" s="8"/>
      <c r="BG515" s="7"/>
      <c r="BH515" s="7"/>
      <c r="BI515" s="7"/>
      <c r="BJ515" s="4"/>
      <c r="BK515" s="8"/>
      <c r="BL515" s="2" t="s">
        <v>98</v>
      </c>
      <c r="BM515" s="7"/>
      <c r="BN515" s="7"/>
      <c r="BO515" s="4"/>
      <c r="BP515" s="8"/>
      <c r="BQ515" s="4"/>
      <c r="BR515" s="8"/>
      <c r="BS515" s="7"/>
      <c r="BT515" s="7"/>
      <c r="BU515" s="2" t="s">
        <v>1376</v>
      </c>
      <c r="BV515" s="2" t="s">
        <v>95</v>
      </c>
      <c r="BW515" s="2" t="s">
        <v>98</v>
      </c>
      <c r="BX515" s="2" t="s">
        <v>98</v>
      </c>
      <c r="BY515" s="2" t="s">
        <v>110</v>
      </c>
      <c r="BZ515" s="2" t="s">
        <v>98</v>
      </c>
    </row>
    <row r="516">
      <c r="A516" s="2" t="s">
        <v>2820</v>
      </c>
      <c r="B516" s="2" t="s">
        <v>1345</v>
      </c>
      <c r="C516" s="2" t="s">
        <v>88</v>
      </c>
      <c r="D516" s="2" t="s">
        <v>2821</v>
      </c>
      <c r="E516" s="2" t="s">
        <v>2821</v>
      </c>
      <c r="F516" s="2" t="s">
        <v>2822</v>
      </c>
      <c r="G516" s="2" t="s">
        <v>2823</v>
      </c>
      <c r="H516" s="2" t="s">
        <v>2824</v>
      </c>
      <c r="I516" s="2" t="s">
        <v>2825</v>
      </c>
      <c r="J516" s="2" t="s">
        <v>2826</v>
      </c>
      <c r="K516" s="2" t="s">
        <v>127</v>
      </c>
      <c r="L516" s="3">
        <v>130</v>
      </c>
      <c r="M516" s="3">
        <v>136.5</v>
      </c>
      <c r="N516" s="3">
        <v>269</v>
      </c>
      <c r="O516" s="2" t="s">
        <v>95</v>
      </c>
      <c r="P516" s="2" t="s">
        <v>134</v>
      </c>
      <c r="Q516" s="2" t="s">
        <v>97</v>
      </c>
      <c r="R516" s="2" t="s">
        <v>98</v>
      </c>
      <c r="S516" s="2" t="s">
        <v>2827</v>
      </c>
      <c r="T516" s="2" t="s">
        <v>98</v>
      </c>
      <c r="U516" s="2" t="s">
        <v>98</v>
      </c>
      <c r="V516" s="2" t="s">
        <v>439</v>
      </c>
      <c r="W516" s="2" t="s">
        <v>103</v>
      </c>
      <c r="X516" s="2" t="s">
        <v>98</v>
      </c>
      <c r="Y516" s="2" t="s">
        <v>2828</v>
      </c>
      <c r="Z516" s="4">
        <v>288</v>
      </c>
      <c r="AA516" s="4">
        <f>=ROUNDDOWN(20.5714285714286,0)</f>
      </c>
      <c r="AB516" s="5">
        <v>14</v>
      </c>
      <c r="AC516" s="2" t="s">
        <v>1396</v>
      </c>
      <c r="AD516" s="4">
        <v>147</v>
      </c>
      <c r="AE516" s="4">
        <v>290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98</v>
      </c>
      <c r="AM516" s="4"/>
      <c r="AN516" s="4"/>
      <c r="AO516" s="7">
        <v>0</v>
      </c>
      <c r="AP516" s="4">
        <v>6</v>
      </c>
      <c r="AQ516" s="8">
        <v>682.14</v>
      </c>
      <c r="AR516" s="4"/>
      <c r="AS516" s="8"/>
      <c r="AT516" s="7"/>
      <c r="AU516" s="7"/>
      <c r="AV516" s="4">
        <v>6</v>
      </c>
      <c r="AW516" s="8">
        <v>682.14</v>
      </c>
      <c r="AX516" s="4" t="s">
        <v>98</v>
      </c>
      <c r="AY516" s="8" t="s">
        <v>98</v>
      </c>
      <c r="AZ516" s="7" t="s">
        <v>98</v>
      </c>
      <c r="BA516" s="7" t="s">
        <v>98</v>
      </c>
      <c r="BB516" s="7">
        <v>1</v>
      </c>
      <c r="BC516" s="4">
        <v>6</v>
      </c>
      <c r="BD516" s="8">
        <v>682.14</v>
      </c>
      <c r="BE516" s="4">
        <v>1</v>
      </c>
      <c r="BF516" s="8">
        <v>131.59</v>
      </c>
      <c r="BG516" s="7">
        <v>5</v>
      </c>
      <c r="BH516" s="7">
        <v>4.1838</v>
      </c>
      <c r="BI516" s="7">
        <v>1</v>
      </c>
      <c r="BJ516" s="4">
        <v>15</v>
      </c>
      <c r="BK516" s="8">
        <v>1811.51</v>
      </c>
      <c r="BL516" s="2" t="s">
        <v>2829</v>
      </c>
      <c r="BM516" s="7">
        <v>0.4</v>
      </c>
      <c r="BN516" s="7">
        <v>0.3766</v>
      </c>
      <c r="BO516" s="4">
        <v>6</v>
      </c>
      <c r="BP516" s="8">
        <v>682.14</v>
      </c>
      <c r="BQ516" s="4"/>
      <c r="BR516" s="8"/>
      <c r="BS516" s="7"/>
      <c r="BT516" s="7"/>
      <c r="BU516" s="2" t="s">
        <v>107</v>
      </c>
      <c r="BV516" s="2" t="s">
        <v>1355</v>
      </c>
      <c r="BW516" s="2" t="s">
        <v>1436</v>
      </c>
      <c r="BX516" s="2" t="s">
        <v>1997</v>
      </c>
      <c r="BY516" s="2" t="s">
        <v>110</v>
      </c>
      <c r="BZ516" s="2" t="s">
        <v>98</v>
      </c>
    </row>
    <row r="517">
      <c r="A517" s="2" t="s">
        <v>2830</v>
      </c>
      <c r="B517" s="2" t="s">
        <v>1345</v>
      </c>
      <c r="C517" s="2" t="s">
        <v>88</v>
      </c>
      <c r="D517" s="2" t="s">
        <v>2821</v>
      </c>
      <c r="E517" s="2" t="s">
        <v>2821</v>
      </c>
      <c r="F517" s="2" t="s">
        <v>2822</v>
      </c>
      <c r="G517" s="2" t="s">
        <v>2823</v>
      </c>
      <c r="H517" s="2" t="s">
        <v>2824</v>
      </c>
      <c r="I517" s="2" t="s">
        <v>2825</v>
      </c>
      <c r="J517" s="2" t="s">
        <v>2831</v>
      </c>
      <c r="K517" s="2" t="s">
        <v>127</v>
      </c>
      <c r="L517" s="3">
        <v>148</v>
      </c>
      <c r="M517" s="3">
        <v>155.4</v>
      </c>
      <c r="N517" s="3">
        <v>309</v>
      </c>
      <c r="O517" s="2" t="s">
        <v>95</v>
      </c>
      <c r="P517" s="2" t="s">
        <v>134</v>
      </c>
      <c r="Q517" s="2" t="s">
        <v>97</v>
      </c>
      <c r="R517" s="2" t="s">
        <v>98</v>
      </c>
      <c r="S517" s="2" t="s">
        <v>2832</v>
      </c>
      <c r="T517" s="2" t="s">
        <v>98</v>
      </c>
      <c r="U517" s="2" t="s">
        <v>98</v>
      </c>
      <c r="V517" s="2" t="s">
        <v>439</v>
      </c>
      <c r="W517" s="2" t="s">
        <v>103</v>
      </c>
      <c r="X517" s="2" t="s">
        <v>98</v>
      </c>
      <c r="Y517" s="2" t="s">
        <v>1974</v>
      </c>
      <c r="Z517" s="4">
        <v>2</v>
      </c>
      <c r="AA517" s="4">
        <f>=ROUNDDOWN(0.173913043478261,0)</f>
      </c>
      <c r="AB517" s="5">
        <v>11.5</v>
      </c>
      <c r="AC517" s="2" t="s">
        <v>323</v>
      </c>
      <c r="AD517" s="4">
        <v>276</v>
      </c>
      <c r="AE517" s="4">
        <v>519</v>
      </c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98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 t="s">
        <v>98</v>
      </c>
      <c r="AW517" s="8" t="s">
        <v>98</v>
      </c>
      <c r="AX517" s="4" t="s">
        <v>98</v>
      </c>
      <c r="AY517" s="8" t="s">
        <v>98</v>
      </c>
      <c r="AZ517" s="7" t="s">
        <v>98</v>
      </c>
      <c r="BA517" s="7" t="s">
        <v>98</v>
      </c>
      <c r="BB517" s="7"/>
      <c r="BC517" s="4" t="s">
        <v>98</v>
      </c>
      <c r="BD517" s="8" t="s">
        <v>98</v>
      </c>
      <c r="BE517" s="4" t="s">
        <v>98</v>
      </c>
      <c r="BF517" s="8" t="s">
        <v>98</v>
      </c>
      <c r="BG517" s="7" t="s">
        <v>98</v>
      </c>
      <c r="BH517" s="7" t="s">
        <v>98</v>
      </c>
      <c r="BI517" s="7" t="s">
        <v>98</v>
      </c>
      <c r="BJ517" s="4"/>
      <c r="BK517" s="8"/>
      <c r="BL517" s="2" t="s">
        <v>505</v>
      </c>
      <c r="BM517" s="7"/>
      <c r="BN517" s="7"/>
      <c r="BO517" s="4"/>
      <c r="BP517" s="8"/>
      <c r="BQ517" s="4"/>
      <c r="BR517" s="8"/>
      <c r="BS517" s="7"/>
      <c r="BT517" s="7"/>
      <c r="BU517" s="2" t="s">
        <v>107</v>
      </c>
      <c r="BV517" s="2" t="s">
        <v>1355</v>
      </c>
      <c r="BW517" s="2" t="s">
        <v>1436</v>
      </c>
      <c r="BX517" s="2" t="s">
        <v>1620</v>
      </c>
      <c r="BY517" s="2" t="s">
        <v>110</v>
      </c>
      <c r="BZ517" s="2" t="s">
        <v>98</v>
      </c>
    </row>
    <row r="518">
      <c r="A518" s="2" t="s">
        <v>2833</v>
      </c>
      <c r="B518" s="2" t="s">
        <v>1345</v>
      </c>
      <c r="C518" s="2" t="s">
        <v>88</v>
      </c>
      <c r="D518" s="2" t="s">
        <v>2821</v>
      </c>
      <c r="E518" s="2" t="s">
        <v>2821</v>
      </c>
      <c r="F518" s="2" t="s">
        <v>2822</v>
      </c>
      <c r="G518" s="2" t="s">
        <v>2823</v>
      </c>
      <c r="H518" s="2" t="s">
        <v>2824</v>
      </c>
      <c r="I518" s="2" t="s">
        <v>2834</v>
      </c>
      <c r="J518" s="2" t="s">
        <v>2831</v>
      </c>
      <c r="K518" s="2" t="s">
        <v>133</v>
      </c>
      <c r="L518" s="3">
        <v>148</v>
      </c>
      <c r="M518" s="3">
        <v>155.4</v>
      </c>
      <c r="N518" s="3">
        <v>309</v>
      </c>
      <c r="O518" s="2" t="s">
        <v>155</v>
      </c>
      <c r="P518" s="2" t="s">
        <v>115</v>
      </c>
      <c r="Q518" s="2" t="s">
        <v>97</v>
      </c>
      <c r="R518" s="2" t="s">
        <v>98</v>
      </c>
      <c r="S518" s="2" t="s">
        <v>98</v>
      </c>
      <c r="T518" s="2" t="s">
        <v>98</v>
      </c>
      <c r="U518" s="2" t="s">
        <v>117</v>
      </c>
      <c r="V518" s="2" t="s">
        <v>439</v>
      </c>
      <c r="W518" s="2" t="s">
        <v>103</v>
      </c>
      <c r="X518" s="2" t="s">
        <v>98</v>
      </c>
      <c r="Y518" s="2" t="s">
        <v>1656</v>
      </c>
      <c r="Z518" s="4"/>
      <c r="AA518" s="4">
        <f>=ROUNDDOWN({0},0)</f>
      </c>
      <c r="AB518" s="5"/>
      <c r="AC518" s="2" t="s">
        <v>98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98</v>
      </c>
      <c r="AM518" s="4"/>
      <c r="AN518" s="4"/>
      <c r="AO518" s="7">
        <v>0</v>
      </c>
      <c r="AP518" s="4"/>
      <c r="AQ518" s="8"/>
      <c r="AR518" s="4">
        <v>1</v>
      </c>
      <c r="AS518" s="8">
        <v>131.59</v>
      </c>
      <c r="AT518" s="7">
        <v>-1</v>
      </c>
      <c r="AU518" s="7">
        <v>-1</v>
      </c>
      <c r="AV518" s="4"/>
      <c r="AW518" s="8"/>
      <c r="AX518" s="4">
        <v>1</v>
      </c>
      <c r="AY518" s="8">
        <v>131.59</v>
      </c>
      <c r="AZ518" s="7">
        <v>-1</v>
      </c>
      <c r="BA518" s="7">
        <v>-1</v>
      </c>
      <c r="BB518" s="7"/>
      <c r="BC518" s="4" t="s">
        <v>98</v>
      </c>
      <c r="BD518" s="8" t="s">
        <v>98</v>
      </c>
      <c r="BE518" s="4" t="s">
        <v>98</v>
      </c>
      <c r="BF518" s="8" t="s">
        <v>98</v>
      </c>
      <c r="BG518" s="7" t="s">
        <v>98</v>
      </c>
      <c r="BH518" s="7" t="s">
        <v>98</v>
      </c>
      <c r="BI518" s="7"/>
      <c r="BJ518" s="4"/>
      <c r="BK518" s="8"/>
      <c r="BL518" s="2" t="s">
        <v>1445</v>
      </c>
      <c r="BM518" s="7"/>
      <c r="BN518" s="7"/>
      <c r="BO518" s="4"/>
      <c r="BP518" s="8"/>
      <c r="BQ518" s="4">
        <v>1</v>
      </c>
      <c r="BR518" s="8">
        <v>131.59</v>
      </c>
      <c r="BS518" s="7">
        <v>-1</v>
      </c>
      <c r="BT518" s="7">
        <v>-1</v>
      </c>
      <c r="BU518" s="2" t="s">
        <v>1376</v>
      </c>
      <c r="BV518" s="2" t="s">
        <v>1355</v>
      </c>
      <c r="BW518" s="2" t="s">
        <v>98</v>
      </c>
      <c r="BX518" s="2" t="s">
        <v>98</v>
      </c>
      <c r="BY518" s="2" t="s">
        <v>110</v>
      </c>
      <c r="BZ518" s="2" t="s">
        <v>98</v>
      </c>
    </row>
    <row r="519">
      <c r="A519" s="2" t="s">
        <v>2835</v>
      </c>
      <c r="B519" s="2" t="s">
        <v>1345</v>
      </c>
      <c r="C519" s="2" t="s">
        <v>88</v>
      </c>
      <c r="D519" s="2" t="s">
        <v>2821</v>
      </c>
      <c r="E519" s="2" t="s">
        <v>2821</v>
      </c>
      <c r="F519" s="2" t="s">
        <v>2836</v>
      </c>
      <c r="G519" s="2" t="s">
        <v>2837</v>
      </c>
      <c r="H519" s="2" t="s">
        <v>2838</v>
      </c>
      <c r="I519" s="2" t="s">
        <v>2825</v>
      </c>
      <c r="J519" s="2" t="s">
        <v>2826</v>
      </c>
      <c r="K519" s="2" t="s">
        <v>1439</v>
      </c>
      <c r="L519" s="3">
        <v>180.5</v>
      </c>
      <c r="M519" s="3">
        <v>189.52</v>
      </c>
      <c r="N519" s="3">
        <v>379</v>
      </c>
      <c r="O519" s="2" t="s">
        <v>95</v>
      </c>
      <c r="P519" s="2" t="s">
        <v>96</v>
      </c>
      <c r="Q519" s="2" t="s">
        <v>97</v>
      </c>
      <c r="R519" s="2" t="s">
        <v>98</v>
      </c>
      <c r="S519" s="2" t="s">
        <v>2839</v>
      </c>
      <c r="T519" s="2" t="s">
        <v>98</v>
      </c>
      <c r="U519" s="2" t="s">
        <v>117</v>
      </c>
      <c r="V519" s="2" t="s">
        <v>439</v>
      </c>
      <c r="W519" s="2" t="s">
        <v>103</v>
      </c>
      <c r="X519" s="2" t="s">
        <v>98</v>
      </c>
      <c r="Y519" s="2" t="s">
        <v>2476</v>
      </c>
      <c r="Z519" s="4">
        <v>134</v>
      </c>
      <c r="AA519" s="4">
        <f>=ROUNDDOWN(11.2605042016807,0)</f>
      </c>
      <c r="AB519" s="5">
        <v>11.9</v>
      </c>
      <c r="AC519" s="2" t="s">
        <v>323</v>
      </c>
      <c r="AD519" s="4">
        <v>204</v>
      </c>
      <c r="AE519" s="4">
        <v>1054</v>
      </c>
      <c r="AF519" s="6">
        <v>67</v>
      </c>
      <c r="AG519" s="6">
        <v>50</v>
      </c>
      <c r="AH519" s="7">
        <v>1</v>
      </c>
      <c r="AI519" s="4"/>
      <c r="AJ519" s="4">
        <f>=ROUNDDOWN({0},0)</f>
      </c>
      <c r="AK519" s="5"/>
      <c r="AL519" s="2" t="s">
        <v>1729</v>
      </c>
      <c r="AM519" s="4">
        <v>20</v>
      </c>
      <c r="AN519" s="4">
        <v>247</v>
      </c>
      <c r="AO519" s="7">
        <v>0</v>
      </c>
      <c r="AP519" s="4">
        <v>1</v>
      </c>
      <c r="AQ519" s="8">
        <v>165.42</v>
      </c>
      <c r="AR519" s="4">
        <v>9</v>
      </c>
      <c r="AS519" s="8">
        <v>1488.78</v>
      </c>
      <c r="AT519" s="7">
        <v>-0.8889</v>
      </c>
      <c r="AU519" s="7">
        <v>-0.8889</v>
      </c>
      <c r="AV519" s="4">
        <v>1</v>
      </c>
      <c r="AW519" s="8">
        <v>165.42</v>
      </c>
      <c r="AX519" s="4">
        <v>9</v>
      </c>
      <c r="AY519" s="8">
        <v>1488.78</v>
      </c>
      <c r="AZ519" s="7">
        <v>-0.8889</v>
      </c>
      <c r="BA519" s="7">
        <v>-0.8889</v>
      </c>
      <c r="BB519" s="7">
        <v>1</v>
      </c>
      <c r="BC519" s="4">
        <v>2</v>
      </c>
      <c r="BD519" s="8">
        <v>330.84</v>
      </c>
      <c r="BE519" s="4">
        <v>9</v>
      </c>
      <c r="BF519" s="8">
        <v>1488.78</v>
      </c>
      <c r="BG519" s="7">
        <v>-0.7778</v>
      </c>
      <c r="BH519" s="7">
        <v>-0.7778</v>
      </c>
      <c r="BI519" s="7">
        <v>0.5</v>
      </c>
      <c r="BJ519" s="4">
        <v>13</v>
      </c>
      <c r="BK519" s="8">
        <v>2405.11</v>
      </c>
      <c r="BL519" s="2" t="s">
        <v>2840</v>
      </c>
      <c r="BM519" s="7">
        <v>0.0769</v>
      </c>
      <c r="BN519" s="7">
        <v>0.0688</v>
      </c>
      <c r="BO519" s="4">
        <v>1</v>
      </c>
      <c r="BP519" s="8">
        <v>165.42</v>
      </c>
      <c r="BQ519" s="4">
        <v>9</v>
      </c>
      <c r="BR519" s="8">
        <v>1488.78</v>
      </c>
      <c r="BS519" s="7">
        <v>-0.8889</v>
      </c>
      <c r="BT519" s="7">
        <v>-0.8889</v>
      </c>
      <c r="BU519" s="2" t="s">
        <v>107</v>
      </c>
      <c r="BV519" s="2" t="s">
        <v>1355</v>
      </c>
      <c r="BW519" s="2" t="s">
        <v>1436</v>
      </c>
      <c r="BX519" s="2" t="s">
        <v>2841</v>
      </c>
      <c r="BY519" s="2" t="s">
        <v>110</v>
      </c>
      <c r="BZ519" s="2" t="s">
        <v>98</v>
      </c>
    </row>
    <row r="520">
      <c r="A520" s="2" t="s">
        <v>2842</v>
      </c>
      <c r="B520" s="2" t="s">
        <v>1345</v>
      </c>
      <c r="C520" s="2" t="s">
        <v>88</v>
      </c>
      <c r="D520" s="2" t="s">
        <v>2821</v>
      </c>
      <c r="E520" s="2" t="s">
        <v>2821</v>
      </c>
      <c r="F520" s="2" t="s">
        <v>2836</v>
      </c>
      <c r="G520" s="2" t="s">
        <v>2837</v>
      </c>
      <c r="H520" s="2" t="s">
        <v>2838</v>
      </c>
      <c r="I520" s="2" t="s">
        <v>2843</v>
      </c>
      <c r="J520" s="2" t="s">
        <v>2831</v>
      </c>
      <c r="K520" s="2" t="s">
        <v>1439</v>
      </c>
      <c r="L520" s="3">
        <v>204.25</v>
      </c>
      <c r="M520" s="3">
        <v>214.46</v>
      </c>
      <c r="N520" s="3">
        <v>429</v>
      </c>
      <c r="O520" s="2" t="s">
        <v>95</v>
      </c>
      <c r="P520" s="2" t="s">
        <v>163</v>
      </c>
      <c r="Q520" s="2" t="s">
        <v>271</v>
      </c>
      <c r="R520" s="2" t="s">
        <v>98</v>
      </c>
      <c r="S520" s="2" t="s">
        <v>2844</v>
      </c>
      <c r="T520" s="2" t="s">
        <v>98</v>
      </c>
      <c r="U520" s="2" t="s">
        <v>117</v>
      </c>
      <c r="V520" s="2" t="s">
        <v>439</v>
      </c>
      <c r="W520" s="2" t="s">
        <v>103</v>
      </c>
      <c r="X520" s="2" t="s">
        <v>98</v>
      </c>
      <c r="Y520" s="2" t="s">
        <v>1974</v>
      </c>
      <c r="Z520" s="4">
        <v>128</v>
      </c>
      <c r="AA520" s="4">
        <f>=ROUNDDOWN(7.57396449704142,0)</f>
      </c>
      <c r="AB520" s="5">
        <v>16.9</v>
      </c>
      <c r="AC520" s="2" t="s">
        <v>323</v>
      </c>
      <c r="AD520" s="4">
        <v>103</v>
      </c>
      <c r="AE520" s="4">
        <v>1108</v>
      </c>
      <c r="AF520" s="6">
        <v>67</v>
      </c>
      <c r="AG520" s="6">
        <v>50</v>
      </c>
      <c r="AH520" s="7">
        <v>1</v>
      </c>
      <c r="AI520" s="4"/>
      <c r="AJ520" s="4">
        <f>=ROUNDDOWN({0},0)</f>
      </c>
      <c r="AK520" s="5"/>
      <c r="AL520" s="2" t="s">
        <v>1729</v>
      </c>
      <c r="AM520" s="4">
        <v>30</v>
      </c>
      <c r="AN520" s="4">
        <v>90</v>
      </c>
      <c r="AO520" s="7">
        <v>0</v>
      </c>
      <c r="AP520" s="4"/>
      <c r="AQ520" s="8"/>
      <c r="AR520" s="4"/>
      <c r="AS520" s="8"/>
      <c r="AT520" s="7"/>
      <c r="AU520" s="7"/>
      <c r="AV520" s="4" t="s">
        <v>98</v>
      </c>
      <c r="AW520" s="8" t="s">
        <v>98</v>
      </c>
      <c r="AX520" s="4" t="s">
        <v>98</v>
      </c>
      <c r="AY520" s="8" t="s">
        <v>98</v>
      </c>
      <c r="AZ520" s="7" t="s">
        <v>98</v>
      </c>
      <c r="BA520" s="7" t="s">
        <v>98</v>
      </c>
      <c r="BB520" s="7"/>
      <c r="BC520" s="4" t="s">
        <v>98</v>
      </c>
      <c r="BD520" s="8" t="s">
        <v>98</v>
      </c>
      <c r="BE520" s="4" t="s">
        <v>98</v>
      </c>
      <c r="BF520" s="8" t="s">
        <v>98</v>
      </c>
      <c r="BG520" s="7" t="s">
        <v>98</v>
      </c>
      <c r="BH520" s="7" t="s">
        <v>98</v>
      </c>
      <c r="BI520" s="7" t="s">
        <v>98</v>
      </c>
      <c r="BJ520" s="4">
        <v>21</v>
      </c>
      <c r="BK520" s="8">
        <v>4716.81</v>
      </c>
      <c r="BL520" s="2" t="s">
        <v>2845</v>
      </c>
      <c r="BM520" s="7"/>
      <c r="BN520" s="7"/>
      <c r="BO520" s="4"/>
      <c r="BP520" s="8"/>
      <c r="BQ520" s="4"/>
      <c r="BR520" s="8"/>
      <c r="BS520" s="7"/>
      <c r="BT520" s="7"/>
      <c r="BU520" s="2" t="s">
        <v>107</v>
      </c>
      <c r="BV520" s="2" t="s">
        <v>1355</v>
      </c>
      <c r="BW520" s="2" t="s">
        <v>1436</v>
      </c>
      <c r="BX520" s="2" t="s">
        <v>2846</v>
      </c>
      <c r="BY520" s="2" t="s">
        <v>110</v>
      </c>
      <c r="BZ520" s="2" t="s">
        <v>98</v>
      </c>
    </row>
    <row r="521">
      <c r="A521" s="2" t="s">
        <v>2847</v>
      </c>
      <c r="B521" s="2" t="s">
        <v>1345</v>
      </c>
      <c r="C521" s="2" t="s">
        <v>88</v>
      </c>
      <c r="D521" s="2" t="s">
        <v>2821</v>
      </c>
      <c r="E521" s="2" t="s">
        <v>2821</v>
      </c>
      <c r="F521" s="2" t="s">
        <v>2836</v>
      </c>
      <c r="G521" s="2" t="s">
        <v>2837</v>
      </c>
      <c r="H521" s="2" t="s">
        <v>2838</v>
      </c>
      <c r="I521" s="2" t="s">
        <v>2825</v>
      </c>
      <c r="J521" s="2" t="s">
        <v>2826</v>
      </c>
      <c r="K521" s="2" t="s">
        <v>133</v>
      </c>
      <c r="L521" s="3">
        <v>180.5</v>
      </c>
      <c r="M521" s="3">
        <v>189.52</v>
      </c>
      <c r="N521" s="3">
        <v>379</v>
      </c>
      <c r="O521" s="2" t="s">
        <v>95</v>
      </c>
      <c r="P521" s="2" t="s">
        <v>134</v>
      </c>
      <c r="Q521" s="2" t="s">
        <v>97</v>
      </c>
      <c r="R521" s="2" t="s">
        <v>98</v>
      </c>
      <c r="S521" s="2" t="s">
        <v>2848</v>
      </c>
      <c r="T521" s="2" t="s">
        <v>98</v>
      </c>
      <c r="U521" s="2" t="s">
        <v>117</v>
      </c>
      <c r="V521" s="2" t="s">
        <v>439</v>
      </c>
      <c r="W521" s="2" t="s">
        <v>103</v>
      </c>
      <c r="X521" s="2" t="s">
        <v>98</v>
      </c>
      <c r="Y521" s="2" t="s">
        <v>1974</v>
      </c>
      <c r="Z521" s="4">
        <v>25</v>
      </c>
      <c r="AA521" s="4">
        <f>=ROUNDDOWN(1.42857142857143,0)</f>
      </c>
      <c r="AB521" s="5">
        <v>17.5</v>
      </c>
      <c r="AC521" s="2" t="s">
        <v>323</v>
      </c>
      <c r="AD521" s="4">
        <v>73</v>
      </c>
      <c r="AE521" s="4">
        <v>429</v>
      </c>
      <c r="AF521" s="6">
        <v>67</v>
      </c>
      <c r="AG521" s="6">
        <v>50</v>
      </c>
      <c r="AH521" s="7">
        <v>1</v>
      </c>
      <c r="AI521" s="4"/>
      <c r="AJ521" s="4">
        <f>=ROUNDDOWN({0},0)</f>
      </c>
      <c r="AK521" s="5"/>
      <c r="AL521" s="2" t="s">
        <v>1088</v>
      </c>
      <c r="AM521" s="4">
        <v>50</v>
      </c>
      <c r="AN521" s="4">
        <v>50</v>
      </c>
      <c r="AO521" s="7">
        <v>0</v>
      </c>
      <c r="AP521" s="4">
        <v>1</v>
      </c>
      <c r="AQ521" s="8">
        <v>165.42</v>
      </c>
      <c r="AR521" s="4"/>
      <c r="AS521" s="8"/>
      <c r="AT521" s="7"/>
      <c r="AU521" s="7"/>
      <c r="AV521" s="4">
        <v>1</v>
      </c>
      <c r="AW521" s="8">
        <v>165.42</v>
      </c>
      <c r="AX521" s="4" t="s">
        <v>98</v>
      </c>
      <c r="AY521" s="8" t="s">
        <v>98</v>
      </c>
      <c r="AZ521" s="7" t="s">
        <v>98</v>
      </c>
      <c r="BA521" s="7" t="s">
        <v>98</v>
      </c>
      <c r="BB521" s="7">
        <v>1</v>
      </c>
      <c r="BC521" s="4" t="s">
        <v>98</v>
      </c>
      <c r="BD521" s="8" t="s">
        <v>98</v>
      </c>
      <c r="BE521" s="4" t="s">
        <v>98</v>
      </c>
      <c r="BF521" s="8" t="s">
        <v>98</v>
      </c>
      <c r="BG521" s="7" t="s">
        <v>98</v>
      </c>
      <c r="BH521" s="7" t="s">
        <v>98</v>
      </c>
      <c r="BI521" s="7">
        <v>0.5</v>
      </c>
      <c r="BJ521" s="4">
        <v>15</v>
      </c>
      <c r="BK521" s="8">
        <v>2797</v>
      </c>
      <c r="BL521" s="2" t="s">
        <v>2840</v>
      </c>
      <c r="BM521" s="7">
        <v>0.0667</v>
      </c>
      <c r="BN521" s="7">
        <v>0.0591</v>
      </c>
      <c r="BO521" s="4">
        <v>1</v>
      </c>
      <c r="BP521" s="8">
        <v>165.42</v>
      </c>
      <c r="BQ521" s="4"/>
      <c r="BR521" s="8"/>
      <c r="BS521" s="7"/>
      <c r="BT521" s="7"/>
      <c r="BU521" s="2" t="s">
        <v>107</v>
      </c>
      <c r="BV521" s="2" t="s">
        <v>1355</v>
      </c>
      <c r="BW521" s="2" t="s">
        <v>1436</v>
      </c>
      <c r="BX521" s="2" t="s">
        <v>2849</v>
      </c>
      <c r="BY521" s="2" t="s">
        <v>110</v>
      </c>
      <c r="BZ521" s="2" t="s">
        <v>98</v>
      </c>
    </row>
    <row r="522">
      <c r="A522" s="2" t="s">
        <v>2850</v>
      </c>
      <c r="B522" s="2" t="s">
        <v>1345</v>
      </c>
      <c r="C522" s="2" t="s">
        <v>88</v>
      </c>
      <c r="D522" s="2" t="s">
        <v>2821</v>
      </c>
      <c r="E522" s="2" t="s">
        <v>2821</v>
      </c>
      <c r="F522" s="2" t="s">
        <v>2836</v>
      </c>
      <c r="G522" s="2" t="s">
        <v>2837</v>
      </c>
      <c r="H522" s="2" t="s">
        <v>2838</v>
      </c>
      <c r="I522" s="2" t="s">
        <v>2825</v>
      </c>
      <c r="J522" s="2" t="s">
        <v>2831</v>
      </c>
      <c r="K522" s="2" t="s">
        <v>133</v>
      </c>
      <c r="L522" s="3">
        <v>204.25</v>
      </c>
      <c r="M522" s="3">
        <v>214.46</v>
      </c>
      <c r="N522" s="3">
        <v>429</v>
      </c>
      <c r="O522" s="2" t="s">
        <v>95</v>
      </c>
      <c r="P522" s="2" t="s">
        <v>134</v>
      </c>
      <c r="Q522" s="2" t="s">
        <v>271</v>
      </c>
      <c r="R522" s="2" t="s">
        <v>98</v>
      </c>
      <c r="S522" s="2" t="s">
        <v>2851</v>
      </c>
      <c r="T522" s="2" t="s">
        <v>98</v>
      </c>
      <c r="U522" s="2" t="s">
        <v>117</v>
      </c>
      <c r="V522" s="2" t="s">
        <v>439</v>
      </c>
      <c r="W522" s="2" t="s">
        <v>103</v>
      </c>
      <c r="X522" s="2" t="s">
        <v>98</v>
      </c>
      <c r="Y522" s="2" t="s">
        <v>1974</v>
      </c>
      <c r="Z522" s="4">
        <v>139</v>
      </c>
      <c r="AA522" s="4">
        <f>=ROUNDDOWN(13.9,0)</f>
      </c>
      <c r="AB522" s="5">
        <v>10</v>
      </c>
      <c r="AC522" s="2" t="s">
        <v>1396</v>
      </c>
      <c r="AD522" s="4">
        <v>182</v>
      </c>
      <c r="AE522" s="4">
        <v>182</v>
      </c>
      <c r="AF522" s="6">
        <v>67</v>
      </c>
      <c r="AG522" s="6">
        <v>50</v>
      </c>
      <c r="AH522" s="7">
        <v>1</v>
      </c>
      <c r="AI522" s="4"/>
      <c r="AJ522" s="4">
        <f>=ROUNDDOWN({0},0)</f>
      </c>
      <c r="AK522" s="5"/>
      <c r="AL522" s="2" t="s">
        <v>98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 t="s">
        <v>98</v>
      </c>
      <c r="AW522" s="8" t="s">
        <v>98</v>
      </c>
      <c r="AX522" s="4" t="s">
        <v>98</v>
      </c>
      <c r="AY522" s="8" t="s">
        <v>98</v>
      </c>
      <c r="AZ522" s="7" t="s">
        <v>98</v>
      </c>
      <c r="BA522" s="7" t="s">
        <v>98</v>
      </c>
      <c r="BB522" s="7"/>
      <c r="BC522" s="4" t="s">
        <v>98</v>
      </c>
      <c r="BD522" s="8" t="s">
        <v>98</v>
      </c>
      <c r="BE522" s="4" t="s">
        <v>98</v>
      </c>
      <c r="BF522" s="8" t="s">
        <v>98</v>
      </c>
      <c r="BG522" s="7" t="s">
        <v>98</v>
      </c>
      <c r="BH522" s="7" t="s">
        <v>98</v>
      </c>
      <c r="BI522" s="7" t="s">
        <v>98</v>
      </c>
      <c r="BJ522" s="4">
        <v>8</v>
      </c>
      <c r="BK522" s="8">
        <v>1722.87</v>
      </c>
      <c r="BL522" s="2" t="s">
        <v>2845</v>
      </c>
      <c r="BM522" s="7"/>
      <c r="BN522" s="7"/>
      <c r="BO522" s="4"/>
      <c r="BP522" s="8"/>
      <c r="BQ522" s="4"/>
      <c r="BR522" s="8"/>
      <c r="BS522" s="7"/>
      <c r="BT522" s="7"/>
      <c r="BU522" s="2" t="s">
        <v>107</v>
      </c>
      <c r="BV522" s="2" t="s">
        <v>1355</v>
      </c>
      <c r="BW522" s="2" t="s">
        <v>1436</v>
      </c>
      <c r="BX522" s="2" t="s">
        <v>2852</v>
      </c>
      <c r="BY522" s="2" t="s">
        <v>110</v>
      </c>
      <c r="BZ522" s="2" t="s">
        <v>98</v>
      </c>
    </row>
    <row r="523">
      <c r="A523" s="2" t="s">
        <v>2853</v>
      </c>
      <c r="B523" s="2" t="s">
        <v>1345</v>
      </c>
      <c r="C523" s="2" t="s">
        <v>88</v>
      </c>
      <c r="D523" s="2" t="s">
        <v>2821</v>
      </c>
      <c r="E523" s="2" t="s">
        <v>2821</v>
      </c>
      <c r="F523" s="2" t="s">
        <v>2836</v>
      </c>
      <c r="G523" s="2" t="s">
        <v>2837</v>
      </c>
      <c r="H523" s="2" t="s">
        <v>2838</v>
      </c>
      <c r="I523" s="2" t="s">
        <v>2825</v>
      </c>
      <c r="J523" s="2" t="s">
        <v>2826</v>
      </c>
      <c r="K523" s="2" t="s">
        <v>357</v>
      </c>
      <c r="L523" s="3">
        <v>180.5</v>
      </c>
      <c r="M523" s="3">
        <v>189.52</v>
      </c>
      <c r="N523" s="3">
        <v>379</v>
      </c>
      <c r="O523" s="2" t="s">
        <v>95</v>
      </c>
      <c r="P523" s="2" t="s">
        <v>134</v>
      </c>
      <c r="Q523" s="2" t="s">
        <v>97</v>
      </c>
      <c r="R523" s="2" t="s">
        <v>98</v>
      </c>
      <c r="S523" s="2" t="s">
        <v>98</v>
      </c>
      <c r="T523" s="2" t="s">
        <v>98</v>
      </c>
      <c r="U523" s="2" t="s">
        <v>117</v>
      </c>
      <c r="V523" s="2" t="s">
        <v>439</v>
      </c>
      <c r="W523" s="2" t="s">
        <v>103</v>
      </c>
      <c r="X523" s="2" t="s">
        <v>98</v>
      </c>
      <c r="Y523" s="2" t="s">
        <v>2854</v>
      </c>
      <c r="Z523" s="4">
        <v>105</v>
      </c>
      <c r="AA523" s="4">
        <f>=ROUNDDOWN(21,0)</f>
      </c>
      <c r="AB523" s="5">
        <v>5</v>
      </c>
      <c r="AC523" s="2" t="s">
        <v>2149</v>
      </c>
      <c r="AD523" s="4">
        <v>100</v>
      </c>
      <c r="AE523" s="4">
        <v>100</v>
      </c>
      <c r="AF523" s="6">
        <v>67</v>
      </c>
      <c r="AG523" s="6"/>
      <c r="AH523" s="7">
        <v>1</v>
      </c>
      <c r="AI523" s="4"/>
      <c r="AJ523" s="4">
        <f>=ROUNDDOWN({0},0)</f>
      </c>
      <c r="AK523" s="5"/>
      <c r="AL523" s="2" t="s">
        <v>98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 t="s">
        <v>98</v>
      </c>
      <c r="AW523" s="8" t="s">
        <v>98</v>
      </c>
      <c r="AX523" s="4" t="s">
        <v>98</v>
      </c>
      <c r="AY523" s="8" t="s">
        <v>98</v>
      </c>
      <c r="AZ523" s="7" t="s">
        <v>98</v>
      </c>
      <c r="BA523" s="7" t="s">
        <v>98</v>
      </c>
      <c r="BB523" s="7"/>
      <c r="BC523" s="4" t="s">
        <v>98</v>
      </c>
      <c r="BD523" s="8" t="s">
        <v>98</v>
      </c>
      <c r="BE523" s="4" t="s">
        <v>98</v>
      </c>
      <c r="BF523" s="8" t="s">
        <v>98</v>
      </c>
      <c r="BG523" s="7" t="s">
        <v>98</v>
      </c>
      <c r="BH523" s="7" t="s">
        <v>98</v>
      </c>
      <c r="BI523" s="7" t="s">
        <v>98</v>
      </c>
      <c r="BJ523" s="4">
        <v>1</v>
      </c>
      <c r="BK523" s="8">
        <v>204.69</v>
      </c>
      <c r="BL523" s="2" t="s">
        <v>1200</v>
      </c>
      <c r="BM523" s="7"/>
      <c r="BN523" s="7"/>
      <c r="BO523" s="4"/>
      <c r="BP523" s="8"/>
      <c r="BQ523" s="4"/>
      <c r="BR523" s="8"/>
      <c r="BS523" s="7"/>
      <c r="BT523" s="7"/>
      <c r="BU523" s="2" t="s">
        <v>1376</v>
      </c>
      <c r="BV523" s="2" t="s">
        <v>95</v>
      </c>
      <c r="BW523" s="2" t="s">
        <v>98</v>
      </c>
      <c r="BX523" s="2" t="s">
        <v>98</v>
      </c>
      <c r="BY523" s="2" t="s">
        <v>110</v>
      </c>
      <c r="BZ523" s="2" t="s">
        <v>98</v>
      </c>
    </row>
    <row r="524">
      <c r="A524" s="2" t="s">
        <v>2855</v>
      </c>
      <c r="B524" s="2" t="s">
        <v>1345</v>
      </c>
      <c r="C524" s="2" t="s">
        <v>88</v>
      </c>
      <c r="D524" s="2" t="s">
        <v>2821</v>
      </c>
      <c r="E524" s="2" t="s">
        <v>2821</v>
      </c>
      <c r="F524" s="2" t="s">
        <v>2836</v>
      </c>
      <c r="G524" s="2" t="s">
        <v>2837</v>
      </c>
      <c r="H524" s="2" t="s">
        <v>2838</v>
      </c>
      <c r="I524" s="2" t="s">
        <v>2825</v>
      </c>
      <c r="J524" s="2" t="s">
        <v>2831</v>
      </c>
      <c r="K524" s="2" t="s">
        <v>357</v>
      </c>
      <c r="L524" s="3">
        <v>204.25</v>
      </c>
      <c r="M524" s="3">
        <v>214.46</v>
      </c>
      <c r="N524" s="3">
        <v>429</v>
      </c>
      <c r="O524" s="2" t="s">
        <v>95</v>
      </c>
      <c r="P524" s="2" t="s">
        <v>142</v>
      </c>
      <c r="Q524" s="2" t="s">
        <v>271</v>
      </c>
      <c r="R524" s="2" t="s">
        <v>98</v>
      </c>
      <c r="S524" s="2" t="s">
        <v>98</v>
      </c>
      <c r="T524" s="2" t="s">
        <v>98</v>
      </c>
      <c r="U524" s="2" t="s">
        <v>117</v>
      </c>
      <c r="V524" s="2" t="s">
        <v>439</v>
      </c>
      <c r="W524" s="2" t="s">
        <v>103</v>
      </c>
      <c r="X524" s="2" t="s">
        <v>98</v>
      </c>
      <c r="Y524" s="2" t="s">
        <v>2854</v>
      </c>
      <c r="Z524" s="4">
        <v>250</v>
      </c>
      <c r="AA524" s="4">
        <f>=ROUNDDOWN(50,0)</f>
      </c>
      <c r="AB524" s="5">
        <v>5</v>
      </c>
      <c r="AC524" s="2" t="s">
        <v>98</v>
      </c>
      <c r="AD524" s="4"/>
      <c r="AE524" s="4"/>
      <c r="AF524" s="6">
        <v>67</v>
      </c>
      <c r="AG524" s="6"/>
      <c r="AH524" s="7">
        <v>1</v>
      </c>
      <c r="AI524" s="4"/>
      <c r="AJ524" s="4">
        <f>=ROUNDDOWN({0},0)</f>
      </c>
      <c r="AK524" s="5"/>
      <c r="AL524" s="2" t="s">
        <v>98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 t="s">
        <v>98</v>
      </c>
      <c r="AW524" s="8" t="s">
        <v>98</v>
      </c>
      <c r="AX524" s="4" t="s">
        <v>98</v>
      </c>
      <c r="AY524" s="8" t="s">
        <v>98</v>
      </c>
      <c r="AZ524" s="7" t="s">
        <v>98</v>
      </c>
      <c r="BA524" s="7" t="s">
        <v>98</v>
      </c>
      <c r="BB524" s="7"/>
      <c r="BC524" s="4" t="s">
        <v>98</v>
      </c>
      <c r="BD524" s="8" t="s">
        <v>98</v>
      </c>
      <c r="BE524" s="4" t="s">
        <v>98</v>
      </c>
      <c r="BF524" s="8" t="s">
        <v>98</v>
      </c>
      <c r="BG524" s="7" t="s">
        <v>98</v>
      </c>
      <c r="BH524" s="7" t="s">
        <v>98</v>
      </c>
      <c r="BI524" s="7" t="s">
        <v>98</v>
      </c>
      <c r="BJ524" s="4">
        <v>2</v>
      </c>
      <c r="BK524" s="8">
        <v>445.71</v>
      </c>
      <c r="BL524" s="2" t="s">
        <v>1200</v>
      </c>
      <c r="BM524" s="7"/>
      <c r="BN524" s="7"/>
      <c r="BO524" s="4"/>
      <c r="BP524" s="8"/>
      <c r="BQ524" s="4"/>
      <c r="BR524" s="8"/>
      <c r="BS524" s="7"/>
      <c r="BT524" s="7"/>
      <c r="BU524" s="2" t="s">
        <v>1376</v>
      </c>
      <c r="BV524" s="2" t="s">
        <v>95</v>
      </c>
      <c r="BW524" s="2" t="s">
        <v>98</v>
      </c>
      <c r="BX524" s="2" t="s">
        <v>98</v>
      </c>
      <c r="BY524" s="2" t="s">
        <v>110</v>
      </c>
      <c r="BZ524" s="2" t="s">
        <v>98</v>
      </c>
    </row>
    <row r="525">
      <c r="A525" s="2" t="s">
        <v>2856</v>
      </c>
      <c r="B525" s="2" t="s">
        <v>1345</v>
      </c>
      <c r="C525" s="2" t="s">
        <v>88</v>
      </c>
      <c r="D525" s="2" t="s">
        <v>2821</v>
      </c>
      <c r="E525" s="2" t="s">
        <v>2821</v>
      </c>
      <c r="F525" s="2" t="s">
        <v>2857</v>
      </c>
      <c r="G525" s="2" t="s">
        <v>2858</v>
      </c>
      <c r="H525" s="2" t="s">
        <v>2859</v>
      </c>
      <c r="I525" s="2" t="s">
        <v>2860</v>
      </c>
      <c r="J525" s="2" t="s">
        <v>2826</v>
      </c>
      <c r="K525" s="2" t="s">
        <v>2861</v>
      </c>
      <c r="L525" s="3">
        <v>128</v>
      </c>
      <c r="M525" s="3">
        <v>134.4</v>
      </c>
      <c r="N525" s="3">
        <v>269</v>
      </c>
      <c r="O525" s="2" t="s">
        <v>155</v>
      </c>
      <c r="P525" s="2" t="s">
        <v>115</v>
      </c>
      <c r="Q525" s="2" t="s">
        <v>97</v>
      </c>
      <c r="R525" s="2" t="s">
        <v>98</v>
      </c>
      <c r="S525" s="2" t="s">
        <v>2862</v>
      </c>
      <c r="T525" s="2" t="s">
        <v>98</v>
      </c>
      <c r="U525" s="2" t="s">
        <v>98</v>
      </c>
      <c r="V525" s="2" t="s">
        <v>439</v>
      </c>
      <c r="W525" s="2" t="s">
        <v>103</v>
      </c>
      <c r="X525" s="2" t="s">
        <v>98</v>
      </c>
      <c r="Y525" s="2" t="s">
        <v>366</v>
      </c>
      <c r="Z525" s="4"/>
      <c r="AA525" s="4">
        <f>=ROUNDDOWN({0},0)</f>
      </c>
      <c r="AB525" s="5"/>
      <c r="AC525" s="2" t="s">
        <v>98</v>
      </c>
      <c r="AD525" s="4"/>
      <c r="AE525" s="4"/>
      <c r="AF525" s="6">
        <v>74</v>
      </c>
      <c r="AG525" s="6"/>
      <c r="AH525" s="7">
        <v>0</v>
      </c>
      <c r="AI525" s="4"/>
      <c r="AJ525" s="4">
        <f>=ROUNDDOWN({0},0)</f>
      </c>
      <c r="AK525" s="5"/>
      <c r="AL525" s="2" t="s">
        <v>98</v>
      </c>
      <c r="AM525" s="4"/>
      <c r="AN525" s="4"/>
      <c r="AO525" s="7">
        <v>0</v>
      </c>
      <c r="AP525" s="4"/>
      <c r="AQ525" s="8"/>
      <c r="AR525" s="4">
        <v>2</v>
      </c>
      <c r="AS525" s="8">
        <v>241.56</v>
      </c>
      <c r="AT525" s="7">
        <v>-1</v>
      </c>
      <c r="AU525" s="7">
        <v>-1</v>
      </c>
      <c r="AV525" s="4"/>
      <c r="AW525" s="8"/>
      <c r="AX525" s="4">
        <v>2</v>
      </c>
      <c r="AY525" s="8">
        <v>241.56</v>
      </c>
      <c r="AZ525" s="7">
        <v>-1</v>
      </c>
      <c r="BA525" s="7">
        <v>-1</v>
      </c>
      <c r="BB525" s="7"/>
      <c r="BC525" s="4"/>
      <c r="BD525" s="8"/>
      <c r="BE525" s="4">
        <v>2</v>
      </c>
      <c r="BF525" s="8">
        <v>241.56</v>
      </c>
      <c r="BG525" s="7">
        <v>-1</v>
      </c>
      <c r="BH525" s="7">
        <v>-1</v>
      </c>
      <c r="BI525" s="7"/>
      <c r="BJ525" s="4"/>
      <c r="BK525" s="8"/>
      <c r="BL525" s="2" t="s">
        <v>1463</v>
      </c>
      <c r="BM525" s="7"/>
      <c r="BN525" s="7"/>
      <c r="BO525" s="4"/>
      <c r="BP525" s="8"/>
      <c r="BQ525" s="4">
        <v>2</v>
      </c>
      <c r="BR525" s="8">
        <v>241.56</v>
      </c>
      <c r="BS525" s="7">
        <v>-1</v>
      </c>
      <c r="BT525" s="7">
        <v>-1</v>
      </c>
      <c r="BU525" s="2" t="s">
        <v>107</v>
      </c>
      <c r="BV525" s="2" t="s">
        <v>1355</v>
      </c>
      <c r="BW525" s="2" t="s">
        <v>2766</v>
      </c>
      <c r="BX525" s="2" t="s">
        <v>2863</v>
      </c>
      <c r="BY525" s="2" t="s">
        <v>110</v>
      </c>
      <c r="BZ525" s="2" t="s">
        <v>98</v>
      </c>
    </row>
    <row r="526">
      <c r="A526" s="2" t="s">
        <v>2864</v>
      </c>
      <c r="B526" s="2" t="s">
        <v>1345</v>
      </c>
      <c r="C526" s="2" t="s">
        <v>88</v>
      </c>
      <c r="D526" s="2" t="s">
        <v>2821</v>
      </c>
      <c r="E526" s="2" t="s">
        <v>2821</v>
      </c>
      <c r="F526" s="2" t="s">
        <v>2865</v>
      </c>
      <c r="G526" s="2" t="s">
        <v>2866</v>
      </c>
      <c r="H526" s="2" t="s">
        <v>2867</v>
      </c>
      <c r="I526" s="2" t="s">
        <v>2825</v>
      </c>
      <c r="J526" s="2" t="s">
        <v>2831</v>
      </c>
      <c r="K526" s="2" t="s">
        <v>133</v>
      </c>
      <c r="L526" s="3">
        <v>213.84</v>
      </c>
      <c r="M526" s="3">
        <v>224.53</v>
      </c>
      <c r="N526" s="3">
        <v>449</v>
      </c>
      <c r="O526" s="2" t="s">
        <v>95</v>
      </c>
      <c r="P526" s="2" t="s">
        <v>134</v>
      </c>
      <c r="Q526" s="2" t="s">
        <v>271</v>
      </c>
      <c r="R526" s="2" t="s">
        <v>98</v>
      </c>
      <c r="S526" s="2" t="s">
        <v>2868</v>
      </c>
      <c r="T526" s="2" t="s">
        <v>98</v>
      </c>
      <c r="U526" s="2" t="s">
        <v>98</v>
      </c>
      <c r="V526" s="2" t="s">
        <v>439</v>
      </c>
      <c r="W526" s="2" t="s">
        <v>103</v>
      </c>
      <c r="X526" s="2" t="s">
        <v>98</v>
      </c>
      <c r="Y526" s="2" t="s">
        <v>2869</v>
      </c>
      <c r="Z526" s="4">
        <v>48</v>
      </c>
      <c r="AA526" s="4">
        <f>=ROUNDDOWN(17.7777777777778,0)</f>
      </c>
      <c r="AB526" s="5">
        <v>2.7</v>
      </c>
      <c r="AC526" s="2" t="s">
        <v>2300</v>
      </c>
      <c r="AD526" s="4">
        <v>100</v>
      </c>
      <c r="AE526" s="4">
        <v>100</v>
      </c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98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/>
      <c r="BD526" s="8"/>
      <c r="BE526" s="4"/>
      <c r="BF526" s="8"/>
      <c r="BG526" s="7"/>
      <c r="BH526" s="7"/>
      <c r="BI526" s="7"/>
      <c r="BJ526" s="4">
        <v>4</v>
      </c>
      <c r="BK526" s="8">
        <v>999.56</v>
      </c>
      <c r="BL526" s="2" t="s">
        <v>1200</v>
      </c>
      <c r="BM526" s="7"/>
      <c r="BN526" s="7"/>
      <c r="BO526" s="4"/>
      <c r="BP526" s="8"/>
      <c r="BQ526" s="4"/>
      <c r="BR526" s="8"/>
      <c r="BS526" s="7"/>
      <c r="BT526" s="7"/>
      <c r="BU526" s="2" t="s">
        <v>107</v>
      </c>
      <c r="BV526" s="2" t="s">
        <v>1355</v>
      </c>
      <c r="BW526" s="2" t="s">
        <v>1436</v>
      </c>
      <c r="BX526" s="2" t="s">
        <v>2870</v>
      </c>
      <c r="BY526" s="2" t="s">
        <v>110</v>
      </c>
      <c r="BZ526" s="2" t="s">
        <v>98</v>
      </c>
    </row>
    <row r="527">
      <c r="A527" s="2" t="s">
        <v>2871</v>
      </c>
      <c r="B527" s="2" t="s">
        <v>1345</v>
      </c>
      <c r="C527" s="2" t="s">
        <v>88</v>
      </c>
      <c r="D527" s="2" t="s">
        <v>2872</v>
      </c>
      <c r="E527" s="2" t="s">
        <v>2873</v>
      </c>
      <c r="F527" s="2" t="s">
        <v>2874</v>
      </c>
      <c r="G527" s="2" t="s">
        <v>2875</v>
      </c>
      <c r="H527" s="2" t="s">
        <v>1679</v>
      </c>
      <c r="I527" s="2" t="s">
        <v>2876</v>
      </c>
      <c r="J527" s="2" t="s">
        <v>93</v>
      </c>
      <c r="K527" s="2" t="s">
        <v>2818</v>
      </c>
      <c r="L527" s="3">
        <v>234</v>
      </c>
      <c r="M527" s="3">
        <v>245.7</v>
      </c>
      <c r="N527" s="3">
        <v>499</v>
      </c>
      <c r="O527" s="2" t="s">
        <v>95</v>
      </c>
      <c r="P527" s="2" t="s">
        <v>96</v>
      </c>
      <c r="Q527" s="2" t="s">
        <v>97</v>
      </c>
      <c r="R527" s="2" t="s">
        <v>98</v>
      </c>
      <c r="S527" s="2" t="s">
        <v>2877</v>
      </c>
      <c r="T527" s="2" t="s">
        <v>98</v>
      </c>
      <c r="U527" s="2" t="s">
        <v>117</v>
      </c>
      <c r="V527" s="2" t="s">
        <v>439</v>
      </c>
      <c r="W527" s="2" t="s">
        <v>963</v>
      </c>
      <c r="X527" s="2" t="s">
        <v>98</v>
      </c>
      <c r="Y527" s="2" t="s">
        <v>366</v>
      </c>
      <c r="Z527" s="4">
        <v>168</v>
      </c>
      <c r="AA527" s="4">
        <f>=ROUNDDOWN(10.4347826086957,0)</f>
      </c>
      <c r="AB527" s="5">
        <v>16.1</v>
      </c>
      <c r="AC527" s="2" t="s">
        <v>2077</v>
      </c>
      <c r="AD527" s="4">
        <v>244</v>
      </c>
      <c r="AE527" s="4">
        <v>252</v>
      </c>
      <c r="AF527" s="6">
        <v>65</v>
      </c>
      <c r="AG527" s="6">
        <v>48</v>
      </c>
      <c r="AH527" s="7">
        <v>1</v>
      </c>
      <c r="AI527" s="4"/>
      <c r="AJ527" s="4">
        <f>=ROUNDDOWN({0},0)</f>
      </c>
      <c r="AK527" s="5"/>
      <c r="AL527" s="2" t="s">
        <v>1525</v>
      </c>
      <c r="AM527" s="4">
        <v>156</v>
      </c>
      <c r="AN527" s="4">
        <v>156</v>
      </c>
      <c r="AO527" s="7">
        <v>0</v>
      </c>
      <c r="AP527" s="4">
        <v>1</v>
      </c>
      <c r="AQ527" s="8">
        <v>268.75</v>
      </c>
      <c r="AR527" s="4"/>
      <c r="AS527" s="8"/>
      <c r="AT527" s="7"/>
      <c r="AU527" s="7"/>
      <c r="AV527" s="4">
        <v>1</v>
      </c>
      <c r="AW527" s="8">
        <v>268.75</v>
      </c>
      <c r="AX527" s="4"/>
      <c r="AY527" s="8"/>
      <c r="AZ527" s="7"/>
      <c r="BA527" s="7"/>
      <c r="BB527" s="7">
        <v>1</v>
      </c>
      <c r="BC527" s="4">
        <v>1</v>
      </c>
      <c r="BD527" s="8">
        <v>268.75</v>
      </c>
      <c r="BE527" s="4"/>
      <c r="BF527" s="8"/>
      <c r="BG527" s="7"/>
      <c r="BH527" s="7"/>
      <c r="BI527" s="7">
        <v>1</v>
      </c>
      <c r="BJ527" s="4">
        <v>21</v>
      </c>
      <c r="BK527" s="8">
        <v>4994.18</v>
      </c>
      <c r="BL527" s="2" t="s">
        <v>2878</v>
      </c>
      <c r="BM527" s="7">
        <v>0.0476</v>
      </c>
      <c r="BN527" s="7">
        <v>0.0538</v>
      </c>
      <c r="BO527" s="4">
        <v>1</v>
      </c>
      <c r="BP527" s="8">
        <v>268.75</v>
      </c>
      <c r="BQ527" s="4"/>
      <c r="BR527" s="8"/>
      <c r="BS527" s="7"/>
      <c r="BT527" s="7"/>
      <c r="BU527" s="2" t="s">
        <v>107</v>
      </c>
      <c r="BV527" s="2" t="s">
        <v>1355</v>
      </c>
      <c r="BW527" s="2" t="s">
        <v>497</v>
      </c>
      <c r="BX527" s="2" t="s">
        <v>2342</v>
      </c>
      <c r="BY527" s="2" t="s">
        <v>110</v>
      </c>
      <c r="BZ527" s="2" t="s">
        <v>98</v>
      </c>
    </row>
    <row r="528">
      <c r="A528" s="2" t="s">
        <v>2879</v>
      </c>
      <c r="B528" s="2" t="s">
        <v>1345</v>
      </c>
      <c r="C528" s="2" t="s">
        <v>88</v>
      </c>
      <c r="D528" s="2" t="s">
        <v>2872</v>
      </c>
      <c r="E528" s="2" t="s">
        <v>2873</v>
      </c>
      <c r="F528" s="2" t="s">
        <v>2880</v>
      </c>
      <c r="G528" s="2" t="s">
        <v>2881</v>
      </c>
      <c r="H528" s="2" t="s">
        <v>2882</v>
      </c>
      <c r="I528" s="2" t="s">
        <v>2883</v>
      </c>
      <c r="J528" s="2" t="s">
        <v>93</v>
      </c>
      <c r="K528" s="2" t="s">
        <v>133</v>
      </c>
      <c r="L528" s="3">
        <v>256.5</v>
      </c>
      <c r="M528" s="3">
        <v>269.32</v>
      </c>
      <c r="N528" s="3">
        <v>549</v>
      </c>
      <c r="O528" s="2" t="s">
        <v>95</v>
      </c>
      <c r="P528" s="2" t="s">
        <v>134</v>
      </c>
      <c r="Q528" s="2" t="s">
        <v>97</v>
      </c>
      <c r="R528" s="2" t="s">
        <v>98</v>
      </c>
      <c r="S528" s="2" t="s">
        <v>2884</v>
      </c>
      <c r="T528" s="2" t="s">
        <v>98</v>
      </c>
      <c r="U528" s="2" t="s">
        <v>98</v>
      </c>
      <c r="V528" s="2" t="s">
        <v>439</v>
      </c>
      <c r="W528" s="2" t="s">
        <v>102</v>
      </c>
      <c r="X528" s="2" t="s">
        <v>98</v>
      </c>
      <c r="Y528" s="2" t="s">
        <v>366</v>
      </c>
      <c r="Z528" s="4">
        <v>32</v>
      </c>
      <c r="AA528" s="4">
        <f>=ROUNDDOWN(3.2,0)</f>
      </c>
      <c r="AB528" s="5">
        <v>10</v>
      </c>
      <c r="AC528" s="2" t="s">
        <v>1516</v>
      </c>
      <c r="AD528" s="4">
        <v>136</v>
      </c>
      <c r="AE528" s="4">
        <v>302</v>
      </c>
      <c r="AF528" s="6">
        <v>65</v>
      </c>
      <c r="AG528" s="6">
        <v>48</v>
      </c>
      <c r="AH528" s="7">
        <v>1</v>
      </c>
      <c r="AI528" s="4"/>
      <c r="AJ528" s="4">
        <f>=ROUNDDOWN({0},0)</f>
      </c>
      <c r="AK528" s="5"/>
      <c r="AL528" s="2" t="s">
        <v>98</v>
      </c>
      <c r="AM528" s="4"/>
      <c r="AN528" s="4"/>
      <c r="AO528" s="7">
        <v>0</v>
      </c>
      <c r="AP528" s="4">
        <v>1</v>
      </c>
      <c r="AQ528" s="8">
        <v>258.64</v>
      </c>
      <c r="AR528" s="4"/>
      <c r="AS528" s="8"/>
      <c r="AT528" s="7"/>
      <c r="AU528" s="7"/>
      <c r="AV528" s="4">
        <v>1</v>
      </c>
      <c r="AW528" s="8">
        <v>258.64</v>
      </c>
      <c r="AX528" s="4"/>
      <c r="AY528" s="8"/>
      <c r="AZ528" s="7"/>
      <c r="BA528" s="7"/>
      <c r="BB528" s="7">
        <v>1</v>
      </c>
      <c r="BC528" s="4">
        <v>1</v>
      </c>
      <c r="BD528" s="8">
        <v>258.64</v>
      </c>
      <c r="BE528" s="4" t="s">
        <v>98</v>
      </c>
      <c r="BF528" s="8" t="s">
        <v>98</v>
      </c>
      <c r="BG528" s="7" t="s">
        <v>98</v>
      </c>
      <c r="BH528" s="7" t="s">
        <v>98</v>
      </c>
      <c r="BI528" s="7">
        <v>1</v>
      </c>
      <c r="BJ528" s="4">
        <v>9</v>
      </c>
      <c r="BK528" s="8">
        <v>2365.63</v>
      </c>
      <c r="BL528" s="2" t="s">
        <v>2885</v>
      </c>
      <c r="BM528" s="7">
        <v>0.1111</v>
      </c>
      <c r="BN528" s="7">
        <v>0.1093</v>
      </c>
      <c r="BO528" s="4">
        <v>1</v>
      </c>
      <c r="BP528" s="8">
        <v>258.64</v>
      </c>
      <c r="BQ528" s="4"/>
      <c r="BR528" s="8"/>
      <c r="BS528" s="7"/>
      <c r="BT528" s="7"/>
      <c r="BU528" s="2" t="s">
        <v>107</v>
      </c>
      <c r="BV528" s="2" t="s">
        <v>1355</v>
      </c>
      <c r="BW528" s="2" t="s">
        <v>1356</v>
      </c>
      <c r="BX528" s="2" t="s">
        <v>2886</v>
      </c>
      <c r="BY528" s="2" t="s">
        <v>110</v>
      </c>
      <c r="BZ528" s="2" t="s">
        <v>98</v>
      </c>
    </row>
    <row r="529">
      <c r="A529" s="2" t="s">
        <v>2887</v>
      </c>
      <c r="B529" s="2" t="s">
        <v>1345</v>
      </c>
      <c r="C529" s="2" t="s">
        <v>88</v>
      </c>
      <c r="D529" s="2" t="s">
        <v>2872</v>
      </c>
      <c r="E529" s="2" t="s">
        <v>2873</v>
      </c>
      <c r="F529" s="2" t="s">
        <v>2880</v>
      </c>
      <c r="G529" s="2" t="s">
        <v>2881</v>
      </c>
      <c r="H529" s="2" t="s">
        <v>2882</v>
      </c>
      <c r="I529" s="2" t="s">
        <v>2883</v>
      </c>
      <c r="J529" s="2" t="s">
        <v>93</v>
      </c>
      <c r="K529" s="2" t="s">
        <v>1439</v>
      </c>
      <c r="L529" s="3">
        <v>256.5</v>
      </c>
      <c r="M529" s="3">
        <v>269.32</v>
      </c>
      <c r="N529" s="3">
        <v>549</v>
      </c>
      <c r="O529" s="2" t="s">
        <v>95</v>
      </c>
      <c r="P529" s="2" t="s">
        <v>134</v>
      </c>
      <c r="Q529" s="2" t="s">
        <v>97</v>
      </c>
      <c r="R529" s="2" t="s">
        <v>98</v>
      </c>
      <c r="S529" s="2" t="s">
        <v>2888</v>
      </c>
      <c r="T529" s="2" t="s">
        <v>98</v>
      </c>
      <c r="U529" s="2" t="s">
        <v>98</v>
      </c>
      <c r="V529" s="2" t="s">
        <v>439</v>
      </c>
      <c r="W529" s="2" t="s">
        <v>968</v>
      </c>
      <c r="X529" s="2" t="s">
        <v>98</v>
      </c>
      <c r="Y529" s="2" t="s">
        <v>2889</v>
      </c>
      <c r="Z529" s="4">
        <v>115</v>
      </c>
      <c r="AA529" s="4">
        <f>=ROUNDDOWN(28.75,0)</f>
      </c>
      <c r="AB529" s="5">
        <v>4</v>
      </c>
      <c r="AC529" s="2" t="s">
        <v>1452</v>
      </c>
      <c r="AD529" s="4">
        <v>100</v>
      </c>
      <c r="AE529" s="4">
        <v>100</v>
      </c>
      <c r="AF529" s="6">
        <v>65</v>
      </c>
      <c r="AG529" s="6">
        <v>48</v>
      </c>
      <c r="AH529" s="7">
        <v>1</v>
      </c>
      <c r="AI529" s="4"/>
      <c r="AJ529" s="4">
        <f>=ROUNDDOWN({0},0)</f>
      </c>
      <c r="AK529" s="5"/>
      <c r="AL529" s="2" t="s">
        <v>98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 t="s">
        <v>98</v>
      </c>
      <c r="BD529" s="8" t="s">
        <v>98</v>
      </c>
      <c r="BE529" s="4" t="s">
        <v>98</v>
      </c>
      <c r="BF529" s="8" t="s">
        <v>98</v>
      </c>
      <c r="BG529" s="7" t="s">
        <v>98</v>
      </c>
      <c r="BH529" s="7" t="s">
        <v>98</v>
      </c>
      <c r="BI529" s="7"/>
      <c r="BJ529" s="4">
        <v>6</v>
      </c>
      <c r="BK529" s="8">
        <v>1480.39</v>
      </c>
      <c r="BL529" s="2" t="s">
        <v>1379</v>
      </c>
      <c r="BM529" s="7"/>
      <c r="BN529" s="7"/>
      <c r="BO529" s="4"/>
      <c r="BP529" s="8"/>
      <c r="BQ529" s="4"/>
      <c r="BR529" s="8"/>
      <c r="BS529" s="7"/>
      <c r="BT529" s="7"/>
      <c r="BU529" s="2" t="s">
        <v>107</v>
      </c>
      <c r="BV529" s="2" t="s">
        <v>1355</v>
      </c>
      <c r="BW529" s="2" t="s">
        <v>1436</v>
      </c>
      <c r="BX529" s="2" t="s">
        <v>1620</v>
      </c>
      <c r="BY529" s="2" t="s">
        <v>110</v>
      </c>
      <c r="BZ529" s="2" t="s">
        <v>98</v>
      </c>
    </row>
    <row r="530">
      <c r="A530" s="2" t="s">
        <v>2890</v>
      </c>
      <c r="B530" s="2" t="s">
        <v>1345</v>
      </c>
      <c r="C530" s="2" t="s">
        <v>88</v>
      </c>
      <c r="D530" s="2" t="s">
        <v>2872</v>
      </c>
      <c r="E530" s="2" t="s">
        <v>2873</v>
      </c>
      <c r="F530" s="2" t="s">
        <v>2891</v>
      </c>
      <c r="G530" s="2" t="s">
        <v>2892</v>
      </c>
      <c r="H530" s="2" t="s">
        <v>2893</v>
      </c>
      <c r="I530" s="2" t="s">
        <v>2894</v>
      </c>
      <c r="J530" s="2" t="s">
        <v>93</v>
      </c>
      <c r="K530" s="2" t="s">
        <v>277</v>
      </c>
      <c r="L530" s="3">
        <v>226.1</v>
      </c>
      <c r="M530" s="3">
        <v>237.4</v>
      </c>
      <c r="N530" s="3">
        <v>479</v>
      </c>
      <c r="O530" s="2" t="s">
        <v>95</v>
      </c>
      <c r="P530" s="2" t="s">
        <v>115</v>
      </c>
      <c r="Q530" s="2" t="s">
        <v>97</v>
      </c>
      <c r="R530" s="2" t="s">
        <v>98</v>
      </c>
      <c r="S530" s="2" t="s">
        <v>98</v>
      </c>
      <c r="T530" s="2" t="s">
        <v>98</v>
      </c>
      <c r="U530" s="2" t="s">
        <v>117</v>
      </c>
      <c r="V530" s="2" t="s">
        <v>296</v>
      </c>
      <c r="W530" s="2" t="s">
        <v>297</v>
      </c>
      <c r="X530" s="2" t="s">
        <v>98</v>
      </c>
      <c r="Y530" s="2" t="s">
        <v>1040</v>
      </c>
      <c r="Z530" s="4">
        <v>12</v>
      </c>
      <c r="AA530" s="4">
        <f>=ROUNDDOWN(7.05882352941176,0)</f>
      </c>
      <c r="AB530" s="5">
        <v>1.7</v>
      </c>
      <c r="AC530" s="2" t="s">
        <v>98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98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/>
      <c r="BD530" s="8"/>
      <c r="BE530" s="4"/>
      <c r="BF530" s="8"/>
      <c r="BG530" s="7"/>
      <c r="BH530" s="7"/>
      <c r="BI530" s="7"/>
      <c r="BJ530" s="4">
        <v>2</v>
      </c>
      <c r="BK530" s="8">
        <v>270.38</v>
      </c>
      <c r="BL530" s="2" t="s">
        <v>895</v>
      </c>
      <c r="BM530" s="7"/>
      <c r="BN530" s="7"/>
      <c r="BO530" s="4"/>
      <c r="BP530" s="8"/>
      <c r="BQ530" s="4"/>
      <c r="BR530" s="8"/>
      <c r="BS530" s="7"/>
      <c r="BT530" s="7"/>
      <c r="BU530" s="2" t="s">
        <v>1376</v>
      </c>
      <c r="BV530" s="2" t="s">
        <v>95</v>
      </c>
      <c r="BW530" s="2" t="s">
        <v>98</v>
      </c>
      <c r="BX530" s="2" t="s">
        <v>98</v>
      </c>
      <c r="BY530" s="2" t="s">
        <v>110</v>
      </c>
      <c r="BZ530" s="2" t="s">
        <v>98</v>
      </c>
    </row>
    <row r="531">
      <c r="A531" s="2" t="s">
        <v>2895</v>
      </c>
      <c r="B531" s="2" t="s">
        <v>1345</v>
      </c>
      <c r="C531" s="2" t="s">
        <v>88</v>
      </c>
      <c r="D531" s="2" t="s">
        <v>2872</v>
      </c>
      <c r="E531" s="2" t="s">
        <v>2873</v>
      </c>
      <c r="F531" s="2" t="s">
        <v>2896</v>
      </c>
      <c r="G531" s="2" t="s">
        <v>2897</v>
      </c>
      <c r="H531" s="2" t="s">
        <v>2898</v>
      </c>
      <c r="I531" s="2" t="s">
        <v>2883</v>
      </c>
      <c r="J531" s="2" t="s">
        <v>93</v>
      </c>
      <c r="K531" s="2" t="s">
        <v>2705</v>
      </c>
      <c r="L531" s="3">
        <v>256.5</v>
      </c>
      <c r="M531" s="3">
        <v>269.32</v>
      </c>
      <c r="N531" s="3">
        <v>549</v>
      </c>
      <c r="O531" s="2" t="s">
        <v>95</v>
      </c>
      <c r="P531" s="2" t="s">
        <v>142</v>
      </c>
      <c r="Q531" s="2" t="s">
        <v>97</v>
      </c>
      <c r="R531" s="2" t="s">
        <v>98</v>
      </c>
      <c r="S531" s="2" t="s">
        <v>2899</v>
      </c>
      <c r="T531" s="2" t="s">
        <v>98</v>
      </c>
      <c r="U531" s="2" t="s">
        <v>98</v>
      </c>
      <c r="V531" s="2" t="s">
        <v>296</v>
      </c>
      <c r="W531" s="2" t="s">
        <v>146</v>
      </c>
      <c r="X531" s="2" t="s">
        <v>103</v>
      </c>
      <c r="Y531" s="2" t="s">
        <v>2900</v>
      </c>
      <c r="Z531" s="4">
        <v>85</v>
      </c>
      <c r="AA531" s="4">
        <f>=ROUNDDOWN(42.5,0)</f>
      </c>
      <c r="AB531" s="5">
        <v>2</v>
      </c>
      <c r="AC531" s="2" t="s">
        <v>98</v>
      </c>
      <c r="AD531" s="4"/>
      <c r="AE531" s="4"/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98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/>
      <c r="BD531" s="8"/>
      <c r="BE531" s="4"/>
      <c r="BF531" s="8"/>
      <c r="BG531" s="7"/>
      <c r="BH531" s="7"/>
      <c r="BI531" s="7"/>
      <c r="BJ531" s="4">
        <v>1</v>
      </c>
      <c r="BK531" s="8">
        <v>255.53</v>
      </c>
      <c r="BL531" s="2" t="s">
        <v>895</v>
      </c>
      <c r="BM531" s="7"/>
      <c r="BN531" s="7"/>
      <c r="BO531" s="4"/>
      <c r="BP531" s="8"/>
      <c r="BQ531" s="4"/>
      <c r="BR531" s="8"/>
      <c r="BS531" s="7"/>
      <c r="BT531" s="7"/>
      <c r="BU531" s="2" t="s">
        <v>107</v>
      </c>
      <c r="BV531" s="2" t="s">
        <v>1355</v>
      </c>
      <c r="BW531" s="2" t="s">
        <v>1512</v>
      </c>
      <c r="BX531" s="2" t="s">
        <v>2901</v>
      </c>
      <c r="BY531" s="2" t="s">
        <v>110</v>
      </c>
      <c r="BZ531" s="2" t="s">
        <v>98</v>
      </c>
    </row>
    <row r="532">
      <c r="A532" s="2" t="s">
        <v>2902</v>
      </c>
      <c r="B532" s="2" t="s">
        <v>1345</v>
      </c>
      <c r="C532" s="2" t="s">
        <v>88</v>
      </c>
      <c r="D532" s="2" t="s">
        <v>2872</v>
      </c>
      <c r="E532" s="2" t="s">
        <v>2873</v>
      </c>
      <c r="F532" s="2" t="s">
        <v>2903</v>
      </c>
      <c r="G532" s="2" t="s">
        <v>2904</v>
      </c>
      <c r="H532" s="2" t="s">
        <v>2905</v>
      </c>
      <c r="I532" s="2" t="s">
        <v>2906</v>
      </c>
      <c r="J532" s="2" t="s">
        <v>93</v>
      </c>
      <c r="K532" s="2" t="s">
        <v>2907</v>
      </c>
      <c r="L532" s="3">
        <v>266.53</v>
      </c>
      <c r="M532" s="3">
        <v>279.86</v>
      </c>
      <c r="N532" s="3">
        <v>559</v>
      </c>
      <c r="O532" s="2" t="s">
        <v>155</v>
      </c>
      <c r="P532" s="2" t="s">
        <v>115</v>
      </c>
      <c r="Q532" s="2" t="s">
        <v>97</v>
      </c>
      <c r="R532" s="2" t="s">
        <v>98</v>
      </c>
      <c r="S532" s="2" t="s">
        <v>98</v>
      </c>
      <c r="T532" s="2" t="s">
        <v>98</v>
      </c>
      <c r="U532" s="2" t="s">
        <v>98</v>
      </c>
      <c r="V532" s="2" t="s">
        <v>439</v>
      </c>
      <c r="W532" s="2" t="s">
        <v>297</v>
      </c>
      <c r="X532" s="2" t="s">
        <v>98</v>
      </c>
      <c r="Y532" s="2" t="s">
        <v>2908</v>
      </c>
      <c r="Z532" s="4">
        <v>87</v>
      </c>
      <c r="AA532" s="4">
        <f>=ROUNDDOWN(174,0)</f>
      </c>
      <c r="AB532" s="5">
        <v>0.5</v>
      </c>
      <c r="AC532" s="2" t="s">
        <v>98</v>
      </c>
      <c r="AD532" s="4"/>
      <c r="AE532" s="4"/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98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/>
      <c r="AW532" s="8"/>
      <c r="AX532" s="4"/>
      <c r="AY532" s="8"/>
      <c r="AZ532" s="7"/>
      <c r="BA532" s="7"/>
      <c r="BB532" s="7"/>
      <c r="BC532" s="4"/>
      <c r="BD532" s="8"/>
      <c r="BE532" s="4"/>
      <c r="BF532" s="8"/>
      <c r="BG532" s="7"/>
      <c r="BH532" s="7"/>
      <c r="BI532" s="7"/>
      <c r="BJ532" s="4"/>
      <c r="BK532" s="8"/>
      <c r="BL532" s="2" t="s">
        <v>98</v>
      </c>
      <c r="BM532" s="7"/>
      <c r="BN532" s="7"/>
      <c r="BO532" s="4"/>
      <c r="BP532" s="8"/>
      <c r="BQ532" s="4"/>
      <c r="BR532" s="8"/>
      <c r="BS532" s="7"/>
      <c r="BT532" s="7"/>
      <c r="BU532" s="2" t="s">
        <v>1376</v>
      </c>
      <c r="BV532" s="2" t="s">
        <v>1355</v>
      </c>
      <c r="BW532" s="2" t="s">
        <v>98</v>
      </c>
      <c r="BX532" s="2" t="s">
        <v>98</v>
      </c>
      <c r="BY532" s="2" t="s">
        <v>110</v>
      </c>
      <c r="BZ532" s="2" t="s">
        <v>98</v>
      </c>
    </row>
    <row r="533">
      <c r="A533" s="2" t="s">
        <v>2909</v>
      </c>
      <c r="B533" s="2" t="s">
        <v>1345</v>
      </c>
      <c r="C533" s="2" t="s">
        <v>88</v>
      </c>
      <c r="D533" s="2" t="s">
        <v>2872</v>
      </c>
      <c r="E533" s="2" t="s">
        <v>2873</v>
      </c>
      <c r="F533" s="2" t="s">
        <v>2910</v>
      </c>
      <c r="G533" s="2" t="s">
        <v>2911</v>
      </c>
      <c r="H533" s="2" t="s">
        <v>2912</v>
      </c>
      <c r="I533" s="2" t="s">
        <v>2913</v>
      </c>
      <c r="J533" s="2" t="s">
        <v>93</v>
      </c>
      <c r="K533" s="2" t="s">
        <v>473</v>
      </c>
      <c r="L533" s="3">
        <v>256.5</v>
      </c>
      <c r="M533" s="3">
        <v>269.32</v>
      </c>
      <c r="N533" s="3">
        <v>549</v>
      </c>
      <c r="O533" s="2" t="s">
        <v>95</v>
      </c>
      <c r="P533" s="2" t="s">
        <v>163</v>
      </c>
      <c r="Q533" s="2" t="s">
        <v>97</v>
      </c>
      <c r="R533" s="2" t="s">
        <v>98</v>
      </c>
      <c r="S533" s="2" t="s">
        <v>98</v>
      </c>
      <c r="T533" s="2" t="s">
        <v>98</v>
      </c>
      <c r="U533" s="2" t="s">
        <v>117</v>
      </c>
      <c r="V533" s="2" t="s">
        <v>439</v>
      </c>
      <c r="W533" s="2" t="s">
        <v>314</v>
      </c>
      <c r="X533" s="2" t="s">
        <v>98</v>
      </c>
      <c r="Y533" s="2" t="s">
        <v>2908</v>
      </c>
      <c r="Z533" s="4">
        <v>372</v>
      </c>
      <c r="AA533" s="4">
        <f>=ROUNDDOWN(12.4,0)</f>
      </c>
      <c r="AB533" s="5">
        <v>30</v>
      </c>
      <c r="AC533" s="2" t="s">
        <v>1452</v>
      </c>
      <c r="AD533" s="4">
        <v>242</v>
      </c>
      <c r="AE533" s="4">
        <v>870</v>
      </c>
      <c r="AF533" s="6">
        <v>65</v>
      </c>
      <c r="AG533" s="6">
        <v>48</v>
      </c>
      <c r="AH533" s="7">
        <v>1</v>
      </c>
      <c r="AI533" s="4"/>
      <c r="AJ533" s="4">
        <f>=ROUNDDOWN({0},0)</f>
      </c>
      <c r="AK533" s="5"/>
      <c r="AL533" s="2" t="s">
        <v>2222</v>
      </c>
      <c r="AM533" s="4">
        <v>186</v>
      </c>
      <c r="AN533" s="4">
        <v>186</v>
      </c>
      <c r="AO533" s="7">
        <v>0</v>
      </c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/>
      <c r="BD533" s="8"/>
      <c r="BE533" s="4"/>
      <c r="BF533" s="8"/>
      <c r="BG533" s="7"/>
      <c r="BH533" s="7"/>
      <c r="BI533" s="7"/>
      <c r="BJ533" s="4">
        <v>16</v>
      </c>
      <c r="BK533" s="8">
        <v>4010.15</v>
      </c>
      <c r="BL533" s="2" t="s">
        <v>2914</v>
      </c>
      <c r="BM533" s="7"/>
      <c r="BN533" s="7"/>
      <c r="BO533" s="4"/>
      <c r="BP533" s="8"/>
      <c r="BQ533" s="4"/>
      <c r="BR533" s="8"/>
      <c r="BS533" s="7"/>
      <c r="BT533" s="7"/>
      <c r="BU533" s="2" t="s">
        <v>1376</v>
      </c>
      <c r="BV533" s="2" t="s">
        <v>1355</v>
      </c>
      <c r="BW533" s="2" t="s">
        <v>98</v>
      </c>
      <c r="BX533" s="2" t="s">
        <v>98</v>
      </c>
      <c r="BY533" s="2" t="s">
        <v>110</v>
      </c>
      <c r="BZ533" s="2" t="s">
        <v>98</v>
      </c>
    </row>
    <row r="534">
      <c r="A534" s="2" t="s">
        <v>2915</v>
      </c>
      <c r="B534" s="2" t="s">
        <v>1345</v>
      </c>
      <c r="C534" s="2" t="s">
        <v>88</v>
      </c>
      <c r="D534" s="2" t="s">
        <v>2872</v>
      </c>
      <c r="E534" s="2" t="s">
        <v>2873</v>
      </c>
      <c r="F534" s="2" t="s">
        <v>2916</v>
      </c>
      <c r="G534" s="2" t="s">
        <v>2917</v>
      </c>
      <c r="H534" s="2" t="s">
        <v>414</v>
      </c>
      <c r="I534" s="2" t="s">
        <v>2918</v>
      </c>
      <c r="J534" s="2" t="s">
        <v>93</v>
      </c>
      <c r="K534" s="2" t="s">
        <v>2919</v>
      </c>
      <c r="L534" s="3">
        <v>331.5</v>
      </c>
      <c r="M534" s="3">
        <v>348.08</v>
      </c>
      <c r="N534" s="3">
        <v>699</v>
      </c>
      <c r="O534" s="2" t="s">
        <v>155</v>
      </c>
      <c r="P534" s="2" t="s">
        <v>115</v>
      </c>
      <c r="Q534" s="2" t="s">
        <v>97</v>
      </c>
      <c r="R534" s="2" t="s">
        <v>98</v>
      </c>
      <c r="S534" s="2" t="s">
        <v>2920</v>
      </c>
      <c r="T534" s="2" t="s">
        <v>98</v>
      </c>
      <c r="U534" s="2" t="s">
        <v>98</v>
      </c>
      <c r="V534" s="2" t="s">
        <v>439</v>
      </c>
      <c r="W534" s="2" t="s">
        <v>314</v>
      </c>
      <c r="X534" s="2" t="s">
        <v>98</v>
      </c>
      <c r="Y534" s="2" t="s">
        <v>366</v>
      </c>
      <c r="Z534" s="4">
        <v>17</v>
      </c>
      <c r="AA534" s="4">
        <f>=ROUNDDOWN(18.8888888888889,0)</f>
      </c>
      <c r="AB534" s="5">
        <v>0.9</v>
      </c>
      <c r="AC534" s="2" t="s">
        <v>98</v>
      </c>
      <c r="AD534" s="4"/>
      <c r="AE534" s="4"/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98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/>
      <c r="BD534" s="8"/>
      <c r="BE534" s="4"/>
      <c r="BF534" s="8"/>
      <c r="BG534" s="7"/>
      <c r="BH534" s="7"/>
      <c r="BI534" s="7"/>
      <c r="BJ534" s="4"/>
      <c r="BK534" s="8"/>
      <c r="BL534" s="2" t="s">
        <v>98</v>
      </c>
      <c r="BM534" s="7"/>
      <c r="BN534" s="7"/>
      <c r="BO534" s="4"/>
      <c r="BP534" s="8"/>
      <c r="BQ534" s="4"/>
      <c r="BR534" s="8"/>
      <c r="BS534" s="7"/>
      <c r="BT534" s="7"/>
      <c r="BU534" s="2" t="s">
        <v>107</v>
      </c>
      <c r="BV534" s="2" t="s">
        <v>1355</v>
      </c>
      <c r="BW534" s="2" t="s">
        <v>250</v>
      </c>
      <c r="BX534" s="2" t="s">
        <v>2921</v>
      </c>
      <c r="BY534" s="2" t="s">
        <v>110</v>
      </c>
      <c r="BZ534" s="2" t="s">
        <v>98</v>
      </c>
    </row>
    <row r="535">
      <c r="A535" s="2" t="s">
        <v>2922</v>
      </c>
      <c r="B535" s="2" t="s">
        <v>1345</v>
      </c>
      <c r="C535" s="2" t="s">
        <v>88</v>
      </c>
      <c r="D535" s="2" t="s">
        <v>2872</v>
      </c>
      <c r="E535" s="2" t="s">
        <v>2873</v>
      </c>
      <c r="F535" s="2" t="s">
        <v>2923</v>
      </c>
      <c r="G535" s="2" t="s">
        <v>2924</v>
      </c>
      <c r="H535" s="2" t="s">
        <v>2925</v>
      </c>
      <c r="I535" s="2" t="s">
        <v>2926</v>
      </c>
      <c r="J535" s="2" t="s">
        <v>93</v>
      </c>
      <c r="K535" s="2" t="s">
        <v>127</v>
      </c>
      <c r="L535" s="3">
        <v>285</v>
      </c>
      <c r="M535" s="3">
        <v>299.25</v>
      </c>
      <c r="N535" s="3">
        <v>599</v>
      </c>
      <c r="O535" s="2" t="s">
        <v>95</v>
      </c>
      <c r="P535" s="2" t="s">
        <v>134</v>
      </c>
      <c r="Q535" s="2" t="s">
        <v>97</v>
      </c>
      <c r="R535" s="2" t="s">
        <v>98</v>
      </c>
      <c r="S535" s="2" t="s">
        <v>98</v>
      </c>
      <c r="T535" s="2" t="s">
        <v>98</v>
      </c>
      <c r="U535" s="2" t="s">
        <v>117</v>
      </c>
      <c r="V535" s="2" t="s">
        <v>296</v>
      </c>
      <c r="W535" s="2" t="s">
        <v>102</v>
      </c>
      <c r="X535" s="2" t="s">
        <v>103</v>
      </c>
      <c r="Y535" s="2" t="s">
        <v>2927</v>
      </c>
      <c r="Z535" s="4">
        <v>372</v>
      </c>
      <c r="AA535" s="4">
        <f>=ROUNDDOWN(26.5714285714286,0)</f>
      </c>
      <c r="AB535" s="5">
        <v>14</v>
      </c>
      <c r="AC535" s="2" t="s">
        <v>98</v>
      </c>
      <c r="AD535" s="4"/>
      <c r="AE535" s="4"/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98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/>
      <c r="BD535" s="8"/>
      <c r="BE535" s="4"/>
      <c r="BF535" s="8"/>
      <c r="BG535" s="7"/>
      <c r="BH535" s="7"/>
      <c r="BI535" s="7"/>
      <c r="BJ535" s="4">
        <v>9</v>
      </c>
      <c r="BK535" s="8">
        <v>2724.39</v>
      </c>
      <c r="BL535" s="2" t="s">
        <v>651</v>
      </c>
      <c r="BM535" s="7"/>
      <c r="BN535" s="7"/>
      <c r="BO535" s="4"/>
      <c r="BP535" s="8"/>
      <c r="BQ535" s="4"/>
      <c r="BR535" s="8"/>
      <c r="BS535" s="7"/>
      <c r="BT535" s="7"/>
      <c r="BU535" s="2" t="s">
        <v>1376</v>
      </c>
      <c r="BV535" s="2" t="s">
        <v>95</v>
      </c>
      <c r="BW535" s="2" t="s">
        <v>98</v>
      </c>
      <c r="BX535" s="2" t="s">
        <v>98</v>
      </c>
      <c r="BY535" s="2" t="s">
        <v>110</v>
      </c>
      <c r="BZ535" s="2" t="s">
        <v>98</v>
      </c>
    </row>
    <row r="536">
      <c r="A536" s="2" t="s">
        <v>2928</v>
      </c>
      <c r="B536" s="2" t="s">
        <v>1345</v>
      </c>
      <c r="C536" s="2" t="s">
        <v>88</v>
      </c>
      <c r="D536" s="2" t="s">
        <v>2872</v>
      </c>
      <c r="E536" s="2" t="s">
        <v>1934</v>
      </c>
      <c r="F536" s="2" t="s">
        <v>2929</v>
      </c>
      <c r="G536" s="2" t="s">
        <v>2930</v>
      </c>
      <c r="H536" s="2" t="s">
        <v>2931</v>
      </c>
      <c r="I536" s="2" t="s">
        <v>2932</v>
      </c>
      <c r="J536" s="2" t="s">
        <v>93</v>
      </c>
      <c r="K536" s="2" t="s">
        <v>127</v>
      </c>
      <c r="L536" s="3">
        <v>243.68</v>
      </c>
      <c r="M536" s="3">
        <v>255.86</v>
      </c>
      <c r="N536" s="3">
        <v>509</v>
      </c>
      <c r="O536" s="2" t="s">
        <v>95</v>
      </c>
      <c r="P536" s="2" t="s">
        <v>142</v>
      </c>
      <c r="Q536" s="2" t="s">
        <v>97</v>
      </c>
      <c r="R536" s="2" t="s">
        <v>98</v>
      </c>
      <c r="S536" s="2" t="s">
        <v>98</v>
      </c>
      <c r="T536" s="2" t="s">
        <v>98</v>
      </c>
      <c r="U536" s="2" t="s">
        <v>117</v>
      </c>
      <c r="V536" s="2" t="s">
        <v>296</v>
      </c>
      <c r="W536" s="2" t="s">
        <v>119</v>
      </c>
      <c r="X536" s="2" t="s">
        <v>98</v>
      </c>
      <c r="Y536" s="2" t="s">
        <v>1635</v>
      </c>
      <c r="Z536" s="4">
        <v>62</v>
      </c>
      <c r="AA536" s="4">
        <f>=ROUNDDOWN(31,0)</f>
      </c>
      <c r="AB536" s="5">
        <v>2</v>
      </c>
      <c r="AC536" s="2" t="s">
        <v>98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98</v>
      </c>
      <c r="AM536" s="4"/>
      <c r="AN536" s="4"/>
      <c r="AO536" s="7">
        <v>0</v>
      </c>
      <c r="AP536" s="4">
        <v>1</v>
      </c>
      <c r="AQ536" s="8">
        <v>235.66</v>
      </c>
      <c r="AR536" s="4"/>
      <c r="AS536" s="8"/>
      <c r="AT536" s="7"/>
      <c r="AU536" s="7"/>
      <c r="AV536" s="4">
        <v>1</v>
      </c>
      <c r="AW536" s="8">
        <v>235.66</v>
      </c>
      <c r="AX536" s="4"/>
      <c r="AY536" s="8"/>
      <c r="AZ536" s="7"/>
      <c r="BA536" s="7"/>
      <c r="BB536" s="7">
        <v>1</v>
      </c>
      <c r="BC536" s="4">
        <v>1</v>
      </c>
      <c r="BD536" s="8">
        <v>235.66</v>
      </c>
      <c r="BE536" s="4"/>
      <c r="BF536" s="8"/>
      <c r="BG536" s="7"/>
      <c r="BH536" s="7"/>
      <c r="BI536" s="7">
        <v>1</v>
      </c>
      <c r="BJ536" s="4">
        <v>2</v>
      </c>
      <c r="BK536" s="8">
        <v>484.55</v>
      </c>
      <c r="BL536" s="2" t="s">
        <v>1445</v>
      </c>
      <c r="BM536" s="7">
        <v>0.5</v>
      </c>
      <c r="BN536" s="7">
        <v>0.4863</v>
      </c>
      <c r="BO536" s="4">
        <v>1</v>
      </c>
      <c r="BP536" s="8">
        <v>235.66</v>
      </c>
      <c r="BQ536" s="4"/>
      <c r="BR536" s="8"/>
      <c r="BS536" s="7"/>
      <c r="BT536" s="7"/>
      <c r="BU536" s="2" t="s">
        <v>1376</v>
      </c>
      <c r="BV536" s="2" t="s">
        <v>95</v>
      </c>
      <c r="BW536" s="2" t="s">
        <v>98</v>
      </c>
      <c r="BX536" s="2" t="s">
        <v>98</v>
      </c>
      <c r="BY536" s="2" t="s">
        <v>110</v>
      </c>
      <c r="BZ536" s="2" t="s">
        <v>98</v>
      </c>
    </row>
    <row r="537">
      <c r="A537" s="2" t="s">
        <v>2933</v>
      </c>
      <c r="B537" s="2" t="s">
        <v>1345</v>
      </c>
      <c r="C537" s="2" t="s">
        <v>88</v>
      </c>
      <c r="D537" s="2" t="s">
        <v>2872</v>
      </c>
      <c r="E537" s="2" t="s">
        <v>1934</v>
      </c>
      <c r="F537" s="2" t="s">
        <v>2934</v>
      </c>
      <c r="G537" s="2" t="s">
        <v>2935</v>
      </c>
      <c r="H537" s="2" t="s">
        <v>2936</v>
      </c>
      <c r="I537" s="2" t="s">
        <v>2937</v>
      </c>
      <c r="J537" s="2" t="s">
        <v>93</v>
      </c>
      <c r="K537" s="2" t="s">
        <v>2938</v>
      </c>
      <c r="L537" s="3">
        <v>256.5</v>
      </c>
      <c r="M537" s="3">
        <v>269.32</v>
      </c>
      <c r="N537" s="3">
        <v>549</v>
      </c>
      <c r="O537" s="2" t="s">
        <v>95</v>
      </c>
      <c r="P537" s="2" t="s">
        <v>115</v>
      </c>
      <c r="Q537" s="2" t="s">
        <v>97</v>
      </c>
      <c r="R537" s="2" t="s">
        <v>98</v>
      </c>
      <c r="S537" s="2" t="s">
        <v>2939</v>
      </c>
      <c r="T537" s="2" t="s">
        <v>98</v>
      </c>
      <c r="U537" s="2" t="s">
        <v>98</v>
      </c>
      <c r="V537" s="2" t="s">
        <v>439</v>
      </c>
      <c r="W537" s="2" t="s">
        <v>103</v>
      </c>
      <c r="X537" s="2" t="s">
        <v>98</v>
      </c>
      <c r="Y537" s="2" t="s">
        <v>2940</v>
      </c>
      <c r="Z537" s="4"/>
      <c r="AA537" s="4">
        <f>=ROUNDDOWN({0},0)</f>
      </c>
      <c r="AB537" s="5">
        <v>5.2</v>
      </c>
      <c r="AC537" s="2" t="s">
        <v>98</v>
      </c>
      <c r="AD537" s="4"/>
      <c r="AE537" s="4"/>
      <c r="AF537" s="6">
        <v>65</v>
      </c>
      <c r="AG537" s="6"/>
      <c r="AH537" s="7">
        <v>0.2857</v>
      </c>
      <c r="AI537" s="4"/>
      <c r="AJ537" s="4">
        <f>=ROUNDDOWN({0},0)</f>
      </c>
      <c r="AK537" s="5"/>
      <c r="AL537" s="2" t="s">
        <v>98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/>
      <c r="AW537" s="8"/>
      <c r="AX537" s="4"/>
      <c r="AY537" s="8"/>
      <c r="AZ537" s="7"/>
      <c r="BA537" s="7"/>
      <c r="BB537" s="7"/>
      <c r="BC537" s="4"/>
      <c r="BD537" s="8"/>
      <c r="BE537" s="4"/>
      <c r="BF537" s="8"/>
      <c r="BG537" s="7"/>
      <c r="BH537" s="7"/>
      <c r="BI537" s="7"/>
      <c r="BJ537" s="4">
        <v>8</v>
      </c>
      <c r="BK537" s="8">
        <v>2270.14</v>
      </c>
      <c r="BL537" s="2" t="s">
        <v>1379</v>
      </c>
      <c r="BM537" s="7"/>
      <c r="BN537" s="7"/>
      <c r="BO537" s="4"/>
      <c r="BP537" s="8"/>
      <c r="BQ537" s="4"/>
      <c r="BR537" s="8"/>
      <c r="BS537" s="7"/>
      <c r="BT537" s="7"/>
      <c r="BU537" s="2" t="s">
        <v>107</v>
      </c>
      <c r="BV537" s="2" t="s">
        <v>1355</v>
      </c>
      <c r="BW537" s="2" t="s">
        <v>1436</v>
      </c>
      <c r="BX537" s="2" t="s">
        <v>2941</v>
      </c>
      <c r="BY537" s="2" t="s">
        <v>110</v>
      </c>
      <c r="BZ537" s="2" t="s">
        <v>98</v>
      </c>
    </row>
    <row r="538">
      <c r="A538" s="2" t="s">
        <v>2942</v>
      </c>
      <c r="B538" s="2" t="s">
        <v>1345</v>
      </c>
      <c r="C538" s="2" t="s">
        <v>88</v>
      </c>
      <c r="D538" s="2" t="s">
        <v>2872</v>
      </c>
      <c r="E538" s="2" t="s">
        <v>1934</v>
      </c>
      <c r="F538" s="2" t="s">
        <v>2943</v>
      </c>
      <c r="G538" s="2" t="s">
        <v>2944</v>
      </c>
      <c r="H538" s="2" t="s">
        <v>2945</v>
      </c>
      <c r="I538" s="2" t="s">
        <v>2946</v>
      </c>
      <c r="J538" s="2" t="s">
        <v>93</v>
      </c>
      <c r="K538" s="2" t="s">
        <v>174</v>
      </c>
      <c r="L538" s="3">
        <v>285</v>
      </c>
      <c r="M538" s="3">
        <v>299.25</v>
      </c>
      <c r="N538" s="3">
        <v>599</v>
      </c>
      <c r="O538" s="2" t="s">
        <v>155</v>
      </c>
      <c r="P538" s="2" t="s">
        <v>115</v>
      </c>
      <c r="Q538" s="2" t="s">
        <v>97</v>
      </c>
      <c r="R538" s="2" t="s">
        <v>98</v>
      </c>
      <c r="S538" s="2" t="s">
        <v>2947</v>
      </c>
      <c r="T538" s="2" t="s">
        <v>98</v>
      </c>
      <c r="U538" s="2" t="s">
        <v>98</v>
      </c>
      <c r="V538" s="2" t="s">
        <v>118</v>
      </c>
      <c r="W538" s="2" t="s">
        <v>102</v>
      </c>
      <c r="X538" s="2" t="s">
        <v>98</v>
      </c>
      <c r="Y538" s="2" t="s">
        <v>366</v>
      </c>
      <c r="Z538" s="4">
        <v>14</v>
      </c>
      <c r="AA538" s="4">
        <f>=ROUNDDOWN(8.23529411764706,0)</f>
      </c>
      <c r="AB538" s="5">
        <v>1.7</v>
      </c>
      <c r="AC538" s="2" t="s">
        <v>98</v>
      </c>
      <c r="AD538" s="4"/>
      <c r="AE538" s="4"/>
      <c r="AF538" s="6">
        <v>65</v>
      </c>
      <c r="AG538" s="6">
        <v>48</v>
      </c>
      <c r="AH538" s="7">
        <v>1</v>
      </c>
      <c r="AI538" s="4"/>
      <c r="AJ538" s="4">
        <f>=ROUNDDOWN({0},0)</f>
      </c>
      <c r="AK538" s="5"/>
      <c r="AL538" s="2" t="s">
        <v>98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/>
      <c r="BD538" s="8"/>
      <c r="BE538" s="4"/>
      <c r="BF538" s="8"/>
      <c r="BG538" s="7"/>
      <c r="BH538" s="7"/>
      <c r="BI538" s="7"/>
      <c r="BJ538" s="4"/>
      <c r="BK538" s="8"/>
      <c r="BL538" s="2" t="s">
        <v>895</v>
      </c>
      <c r="BM538" s="7"/>
      <c r="BN538" s="7"/>
      <c r="BO538" s="4"/>
      <c r="BP538" s="8"/>
      <c r="BQ538" s="4"/>
      <c r="BR538" s="8"/>
      <c r="BS538" s="7"/>
      <c r="BT538" s="7"/>
      <c r="BU538" s="2" t="s">
        <v>107</v>
      </c>
      <c r="BV538" s="2" t="s">
        <v>1355</v>
      </c>
      <c r="BW538" s="2" t="s">
        <v>2455</v>
      </c>
      <c r="BX538" s="2" t="s">
        <v>2948</v>
      </c>
      <c r="BY538" s="2" t="s">
        <v>110</v>
      </c>
      <c r="BZ538" s="2" t="s">
        <v>98</v>
      </c>
    </row>
    <row r="539">
      <c r="A539" s="2" t="s">
        <v>2949</v>
      </c>
      <c r="B539" s="2" t="s">
        <v>1345</v>
      </c>
      <c r="C539" s="2" t="s">
        <v>88</v>
      </c>
      <c r="D539" s="2" t="s">
        <v>2872</v>
      </c>
      <c r="E539" s="2" t="s">
        <v>1934</v>
      </c>
      <c r="F539" s="2" t="s">
        <v>2950</v>
      </c>
      <c r="G539" s="2" t="s">
        <v>2951</v>
      </c>
      <c r="H539" s="2" t="s">
        <v>2952</v>
      </c>
      <c r="I539" s="2" t="s">
        <v>2953</v>
      </c>
      <c r="J539" s="2" t="s">
        <v>93</v>
      </c>
      <c r="K539" s="2" t="s">
        <v>1052</v>
      </c>
      <c r="L539" s="3">
        <v>285</v>
      </c>
      <c r="M539" s="3">
        <v>299.25</v>
      </c>
      <c r="N539" s="3">
        <v>599</v>
      </c>
      <c r="O539" s="2" t="s">
        <v>95</v>
      </c>
      <c r="P539" s="2" t="s">
        <v>411</v>
      </c>
      <c r="Q539" s="2" t="s">
        <v>97</v>
      </c>
      <c r="R539" s="2" t="s">
        <v>98</v>
      </c>
      <c r="S539" s="2" t="s">
        <v>98</v>
      </c>
      <c r="T539" s="2" t="s">
        <v>98</v>
      </c>
      <c r="U539" s="2" t="s">
        <v>117</v>
      </c>
      <c r="V539" s="2" t="s">
        <v>296</v>
      </c>
      <c r="W539" s="2" t="s">
        <v>119</v>
      </c>
      <c r="X539" s="2" t="s">
        <v>103</v>
      </c>
      <c r="Y539" s="2" t="s">
        <v>98</v>
      </c>
      <c r="Z539" s="4"/>
      <c r="AA539" s="4">
        <f>=ROUNDDOWN({0},0)</f>
      </c>
      <c r="AB539" s="5"/>
      <c r="AC539" s="2" t="s">
        <v>98</v>
      </c>
      <c r="AD539" s="4"/>
      <c r="AE539" s="4"/>
      <c r="AF539" s="6">
        <v>65</v>
      </c>
      <c r="AG539" s="6"/>
      <c r="AH539" s="7">
        <v>0</v>
      </c>
      <c r="AI539" s="4"/>
      <c r="AJ539" s="4">
        <f>=ROUNDDOWN({0},0)</f>
      </c>
      <c r="AK539" s="5"/>
      <c r="AL539" s="2" t="s">
        <v>98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/>
      <c r="BD539" s="8"/>
      <c r="BE539" s="4"/>
      <c r="BF539" s="8"/>
      <c r="BG539" s="7"/>
      <c r="BH539" s="7"/>
      <c r="BI539" s="7"/>
      <c r="BJ539" s="4"/>
      <c r="BK539" s="8"/>
      <c r="BL539" s="2" t="s">
        <v>98</v>
      </c>
      <c r="BM539" s="7"/>
      <c r="BN539" s="7"/>
      <c r="BO539" s="4"/>
      <c r="BP539" s="8"/>
      <c r="BQ539" s="4"/>
      <c r="BR539" s="8"/>
      <c r="BS539" s="7"/>
      <c r="BT539" s="7"/>
      <c r="BU539" s="2" t="s">
        <v>1376</v>
      </c>
      <c r="BV539" s="2" t="s">
        <v>95</v>
      </c>
      <c r="BW539" s="2" t="s">
        <v>98</v>
      </c>
      <c r="BX539" s="2" t="s">
        <v>98</v>
      </c>
      <c r="BY539" s="2" t="s">
        <v>110</v>
      </c>
      <c r="BZ539" s="2" t="s">
        <v>98</v>
      </c>
    </row>
    <row r="540">
      <c r="A540" s="2" t="s">
        <v>2954</v>
      </c>
      <c r="B540" s="2" t="s">
        <v>1345</v>
      </c>
      <c r="C540" s="2" t="s">
        <v>88</v>
      </c>
      <c r="D540" s="2" t="s">
        <v>2872</v>
      </c>
      <c r="E540" s="2" t="s">
        <v>1934</v>
      </c>
      <c r="F540" s="2" t="s">
        <v>2955</v>
      </c>
      <c r="G540" s="2" t="s">
        <v>2956</v>
      </c>
      <c r="H540" s="2" t="s">
        <v>2957</v>
      </c>
      <c r="I540" s="2" t="s">
        <v>2883</v>
      </c>
      <c r="J540" s="2" t="s">
        <v>93</v>
      </c>
      <c r="K540" s="2" t="s">
        <v>127</v>
      </c>
      <c r="L540" s="3">
        <v>227.7</v>
      </c>
      <c r="M540" s="3">
        <v>239.08</v>
      </c>
      <c r="N540" s="3">
        <v>479</v>
      </c>
      <c r="O540" s="2" t="s">
        <v>95</v>
      </c>
      <c r="P540" s="2" t="s">
        <v>134</v>
      </c>
      <c r="Q540" s="2" t="s">
        <v>97</v>
      </c>
      <c r="R540" s="2" t="s">
        <v>98</v>
      </c>
      <c r="S540" s="2" t="s">
        <v>98</v>
      </c>
      <c r="T540" s="2" t="s">
        <v>98</v>
      </c>
      <c r="U540" s="2" t="s">
        <v>117</v>
      </c>
      <c r="V540" s="2" t="s">
        <v>165</v>
      </c>
      <c r="W540" s="2" t="s">
        <v>165</v>
      </c>
      <c r="X540" s="2" t="s">
        <v>119</v>
      </c>
      <c r="Y540" s="2" t="s">
        <v>2958</v>
      </c>
      <c r="Z540" s="4">
        <v>92</v>
      </c>
      <c r="AA540" s="4">
        <f>=ROUNDDOWN(23,0)</f>
      </c>
      <c r="AB540" s="5">
        <v>4</v>
      </c>
      <c r="AC540" s="2" t="s">
        <v>1088</v>
      </c>
      <c r="AD540" s="4">
        <v>100</v>
      </c>
      <c r="AE540" s="4">
        <v>100</v>
      </c>
      <c r="AF540" s="6">
        <v>76</v>
      </c>
      <c r="AG540" s="6"/>
      <c r="AH540" s="7">
        <v>1</v>
      </c>
      <c r="AI540" s="4"/>
      <c r="AJ540" s="4">
        <f>=ROUNDDOWN({0},0)</f>
      </c>
      <c r="AK540" s="5"/>
      <c r="AL540" s="2" t="s">
        <v>98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/>
      <c r="BD540" s="8"/>
      <c r="BE540" s="4"/>
      <c r="BF540" s="8"/>
      <c r="BG540" s="7"/>
      <c r="BH540" s="7"/>
      <c r="BI540" s="7"/>
      <c r="BJ540" s="4">
        <v>3</v>
      </c>
      <c r="BK540" s="8">
        <v>781.82</v>
      </c>
      <c r="BL540" s="2" t="s">
        <v>2959</v>
      </c>
      <c r="BM540" s="7"/>
      <c r="BN540" s="7"/>
      <c r="BO540" s="4"/>
      <c r="BP540" s="8"/>
      <c r="BQ540" s="4"/>
      <c r="BR540" s="8"/>
      <c r="BS540" s="7"/>
      <c r="BT540" s="7"/>
      <c r="BU540" s="2" t="s">
        <v>1376</v>
      </c>
      <c r="BV540" s="2" t="s">
        <v>95</v>
      </c>
      <c r="BW540" s="2" t="s">
        <v>98</v>
      </c>
      <c r="BX540" s="2" t="s">
        <v>98</v>
      </c>
      <c r="BY540" s="2" t="s">
        <v>110</v>
      </c>
      <c r="BZ540" s="2" t="s">
        <v>98</v>
      </c>
    </row>
    <row r="541">
      <c r="A541" s="2" t="s">
        <v>2960</v>
      </c>
      <c r="B541" s="2" t="s">
        <v>1345</v>
      </c>
      <c r="C541" s="2" t="s">
        <v>88</v>
      </c>
      <c r="D541" s="2" t="s">
        <v>2872</v>
      </c>
      <c r="E541" s="2" t="s">
        <v>1934</v>
      </c>
      <c r="F541" s="2" t="s">
        <v>2961</v>
      </c>
      <c r="G541" s="2" t="s">
        <v>2962</v>
      </c>
      <c r="H541" s="2" t="s">
        <v>2963</v>
      </c>
      <c r="I541" s="2" t="s">
        <v>2964</v>
      </c>
      <c r="J541" s="2" t="s">
        <v>93</v>
      </c>
      <c r="K541" s="2" t="s">
        <v>2965</v>
      </c>
      <c r="L541" s="3">
        <v>256.5</v>
      </c>
      <c r="M541" s="3">
        <v>269.32</v>
      </c>
      <c r="N541" s="3">
        <v>549</v>
      </c>
      <c r="O541" s="2" t="s">
        <v>95</v>
      </c>
      <c r="P541" s="2" t="s">
        <v>115</v>
      </c>
      <c r="Q541" s="2" t="s">
        <v>97</v>
      </c>
      <c r="R541" s="2" t="s">
        <v>98</v>
      </c>
      <c r="S541" s="2" t="s">
        <v>98</v>
      </c>
      <c r="T541" s="2" t="s">
        <v>98</v>
      </c>
      <c r="U541" s="2" t="s">
        <v>117</v>
      </c>
      <c r="V541" s="2" t="s">
        <v>296</v>
      </c>
      <c r="W541" s="2" t="s">
        <v>102</v>
      </c>
      <c r="X541" s="2" t="s">
        <v>297</v>
      </c>
      <c r="Y541" s="2" t="s">
        <v>2927</v>
      </c>
      <c r="Z541" s="4">
        <v>1</v>
      </c>
      <c r="AA541" s="4">
        <f>=ROUNDDOWN(0.5,0)</f>
      </c>
      <c r="AB541" s="5">
        <v>2</v>
      </c>
      <c r="AC541" s="2" t="s">
        <v>98</v>
      </c>
      <c r="AD541" s="4"/>
      <c r="AE541" s="4"/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98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/>
      <c r="AW541" s="8"/>
      <c r="AX541" s="4"/>
      <c r="AY541" s="8"/>
      <c r="AZ541" s="7"/>
      <c r="BA541" s="7"/>
      <c r="BB541" s="7"/>
      <c r="BC541" s="4"/>
      <c r="BD541" s="8"/>
      <c r="BE541" s="4"/>
      <c r="BF541" s="8"/>
      <c r="BG541" s="7"/>
      <c r="BH541" s="7"/>
      <c r="BI541" s="7"/>
      <c r="BJ541" s="4"/>
      <c r="BK541" s="8"/>
      <c r="BL541" s="2" t="s">
        <v>269</v>
      </c>
      <c r="BM541" s="7"/>
      <c r="BN541" s="7"/>
      <c r="BO541" s="4"/>
      <c r="BP541" s="8"/>
      <c r="BQ541" s="4"/>
      <c r="BR541" s="8"/>
      <c r="BS541" s="7"/>
      <c r="BT541" s="7"/>
      <c r="BU541" s="2" t="s">
        <v>1376</v>
      </c>
      <c r="BV541" s="2" t="s">
        <v>95</v>
      </c>
      <c r="BW541" s="2" t="s">
        <v>98</v>
      </c>
      <c r="BX541" s="2" t="s">
        <v>98</v>
      </c>
      <c r="BY541" s="2" t="s">
        <v>110</v>
      </c>
      <c r="BZ541" s="2" t="s">
        <v>98</v>
      </c>
    </row>
    <row r="542">
      <c r="A542" s="2" t="s">
        <v>2966</v>
      </c>
      <c r="B542" s="2" t="s">
        <v>1345</v>
      </c>
      <c r="C542" s="2" t="s">
        <v>88</v>
      </c>
      <c r="D542" s="2" t="s">
        <v>2872</v>
      </c>
      <c r="E542" s="2" t="s">
        <v>1934</v>
      </c>
      <c r="F542" s="2" t="s">
        <v>2967</v>
      </c>
      <c r="G542" s="2" t="s">
        <v>2968</v>
      </c>
      <c r="H542" s="2" t="s">
        <v>2969</v>
      </c>
      <c r="I542" s="2" t="s">
        <v>2970</v>
      </c>
      <c r="J542" s="2" t="s">
        <v>93</v>
      </c>
      <c r="K542" s="2" t="s">
        <v>1005</v>
      </c>
      <c r="L542" s="3">
        <v>256.5</v>
      </c>
      <c r="M542" s="3">
        <v>269.32</v>
      </c>
      <c r="N542" s="3">
        <v>549</v>
      </c>
      <c r="O542" s="2" t="s">
        <v>95</v>
      </c>
      <c r="P542" s="2" t="s">
        <v>134</v>
      </c>
      <c r="Q542" s="2" t="s">
        <v>97</v>
      </c>
      <c r="R542" s="2" t="s">
        <v>98</v>
      </c>
      <c r="S542" s="2" t="s">
        <v>2971</v>
      </c>
      <c r="T542" s="2" t="s">
        <v>98</v>
      </c>
      <c r="U542" s="2" t="s">
        <v>98</v>
      </c>
      <c r="V542" s="2" t="s">
        <v>439</v>
      </c>
      <c r="W542" s="2" t="s">
        <v>314</v>
      </c>
      <c r="X542" s="2" t="s">
        <v>98</v>
      </c>
      <c r="Y542" s="2" t="s">
        <v>366</v>
      </c>
      <c r="Z542" s="4">
        <v>24</v>
      </c>
      <c r="AA542" s="4">
        <f>=ROUNDDOWN(6,0)</f>
      </c>
      <c r="AB542" s="5">
        <v>4</v>
      </c>
      <c r="AC542" s="2" t="s">
        <v>1643</v>
      </c>
      <c r="AD542" s="4">
        <v>100</v>
      </c>
      <c r="AE542" s="4">
        <v>100</v>
      </c>
      <c r="AF542" s="6">
        <v>65</v>
      </c>
      <c r="AG542" s="6">
        <v>48</v>
      </c>
      <c r="AH542" s="7">
        <v>1</v>
      </c>
      <c r="AI542" s="4"/>
      <c r="AJ542" s="4">
        <f>=ROUNDDOWN({0},0)</f>
      </c>
      <c r="AK542" s="5"/>
      <c r="AL542" s="2" t="s">
        <v>98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/>
      <c r="AW542" s="8"/>
      <c r="AX542" s="4"/>
      <c r="AY542" s="8"/>
      <c r="AZ542" s="7"/>
      <c r="BA542" s="7"/>
      <c r="BB542" s="7"/>
      <c r="BC542" s="4"/>
      <c r="BD542" s="8"/>
      <c r="BE542" s="4"/>
      <c r="BF542" s="8"/>
      <c r="BG542" s="7"/>
      <c r="BH542" s="7"/>
      <c r="BI542" s="7"/>
      <c r="BJ542" s="4">
        <v>8</v>
      </c>
      <c r="BK542" s="8">
        <v>2019.12</v>
      </c>
      <c r="BL542" s="2" t="s">
        <v>1379</v>
      </c>
      <c r="BM542" s="7"/>
      <c r="BN542" s="7"/>
      <c r="BO542" s="4"/>
      <c r="BP542" s="8"/>
      <c r="BQ542" s="4"/>
      <c r="BR542" s="8"/>
      <c r="BS542" s="7"/>
      <c r="BT542" s="7"/>
      <c r="BU542" s="2" t="s">
        <v>107</v>
      </c>
      <c r="BV542" s="2" t="s">
        <v>1355</v>
      </c>
      <c r="BW542" s="2" t="s">
        <v>1777</v>
      </c>
      <c r="BX542" s="2" t="s">
        <v>719</v>
      </c>
      <c r="BY542" s="2" t="s">
        <v>110</v>
      </c>
      <c r="BZ542" s="2" t="s">
        <v>98</v>
      </c>
    </row>
    <row r="543">
      <c r="A543" s="2" t="s">
        <v>2972</v>
      </c>
      <c r="B543" s="2" t="s">
        <v>1345</v>
      </c>
      <c r="C543" s="2" t="s">
        <v>88</v>
      </c>
      <c r="D543" s="2" t="s">
        <v>2872</v>
      </c>
      <c r="E543" s="2" t="s">
        <v>1934</v>
      </c>
      <c r="F543" s="2" t="s">
        <v>2973</v>
      </c>
      <c r="G543" s="2" t="s">
        <v>2974</v>
      </c>
      <c r="H543" s="2" t="s">
        <v>2975</v>
      </c>
      <c r="I543" s="2" t="s">
        <v>2976</v>
      </c>
      <c r="J543" s="2" t="s">
        <v>93</v>
      </c>
      <c r="K543" s="2" t="s">
        <v>2977</v>
      </c>
      <c r="L543" s="3">
        <v>256.5</v>
      </c>
      <c r="M543" s="3">
        <v>269.32</v>
      </c>
      <c r="N543" s="3">
        <v>549</v>
      </c>
      <c r="O543" s="2" t="s">
        <v>95</v>
      </c>
      <c r="P543" s="2" t="s">
        <v>115</v>
      </c>
      <c r="Q543" s="2" t="s">
        <v>97</v>
      </c>
      <c r="R543" s="2" t="s">
        <v>98</v>
      </c>
      <c r="S543" s="2" t="s">
        <v>2978</v>
      </c>
      <c r="T543" s="2" t="s">
        <v>98</v>
      </c>
      <c r="U543" s="2" t="s">
        <v>98</v>
      </c>
      <c r="V543" s="2" t="s">
        <v>439</v>
      </c>
      <c r="W543" s="2" t="s">
        <v>963</v>
      </c>
      <c r="X543" s="2" t="s">
        <v>98</v>
      </c>
      <c r="Y543" s="2" t="s">
        <v>366</v>
      </c>
      <c r="Z543" s="4">
        <v>50</v>
      </c>
      <c r="AA543" s="4">
        <f>=ROUNDDOWN(25,0)</f>
      </c>
      <c r="AB543" s="5">
        <v>2</v>
      </c>
      <c r="AC543" s="2" t="s">
        <v>98</v>
      </c>
      <c r="AD543" s="4"/>
      <c r="AE543" s="4"/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98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/>
      <c r="BD543" s="8"/>
      <c r="BE543" s="4"/>
      <c r="BF543" s="8"/>
      <c r="BG543" s="7"/>
      <c r="BH543" s="7"/>
      <c r="BI543" s="7"/>
      <c r="BJ543" s="4">
        <v>3</v>
      </c>
      <c r="BK543" s="8">
        <v>776.43</v>
      </c>
      <c r="BL543" s="2" t="s">
        <v>895</v>
      </c>
      <c r="BM543" s="7"/>
      <c r="BN543" s="7"/>
      <c r="BO543" s="4"/>
      <c r="BP543" s="8"/>
      <c r="BQ543" s="4"/>
      <c r="BR543" s="8"/>
      <c r="BS543" s="7"/>
      <c r="BT543" s="7"/>
      <c r="BU543" s="2" t="s">
        <v>107</v>
      </c>
      <c r="BV543" s="2" t="s">
        <v>1355</v>
      </c>
      <c r="BW543" s="2" t="s">
        <v>497</v>
      </c>
      <c r="BX543" s="2" t="s">
        <v>987</v>
      </c>
      <c r="BY543" s="2" t="s">
        <v>110</v>
      </c>
      <c r="BZ543" s="2" t="s">
        <v>98</v>
      </c>
    </row>
    <row r="544">
      <c r="A544" s="2" t="s">
        <v>2979</v>
      </c>
      <c r="B544" s="2" t="s">
        <v>1345</v>
      </c>
      <c r="C544" s="2" t="s">
        <v>88</v>
      </c>
      <c r="D544" s="2" t="s">
        <v>2872</v>
      </c>
      <c r="E544" s="2" t="s">
        <v>1934</v>
      </c>
      <c r="F544" s="2" t="s">
        <v>2980</v>
      </c>
      <c r="G544" s="2" t="s">
        <v>2981</v>
      </c>
      <c r="H544" s="2" t="s">
        <v>2982</v>
      </c>
      <c r="I544" s="2" t="s">
        <v>2983</v>
      </c>
      <c r="J544" s="2" t="s">
        <v>93</v>
      </c>
      <c r="K544" s="2" t="s">
        <v>174</v>
      </c>
      <c r="L544" s="3">
        <v>275</v>
      </c>
      <c r="M544" s="3">
        <v>288.75</v>
      </c>
      <c r="N544" s="3">
        <v>579</v>
      </c>
      <c r="O544" s="2" t="s">
        <v>155</v>
      </c>
      <c r="P544" s="2" t="s">
        <v>115</v>
      </c>
      <c r="Q544" s="2" t="s">
        <v>97</v>
      </c>
      <c r="R544" s="2" t="s">
        <v>98</v>
      </c>
      <c r="S544" s="2" t="s">
        <v>2984</v>
      </c>
      <c r="T544" s="2" t="s">
        <v>98</v>
      </c>
      <c r="U544" s="2" t="s">
        <v>98</v>
      </c>
      <c r="V544" s="2" t="s">
        <v>439</v>
      </c>
      <c r="W544" s="2" t="s">
        <v>103</v>
      </c>
      <c r="X544" s="2" t="s">
        <v>98</v>
      </c>
      <c r="Y544" s="2" t="s">
        <v>2985</v>
      </c>
      <c r="Z544" s="4">
        <v>40</v>
      </c>
      <c r="AA544" s="4">
        <f>=ROUNDDOWN(44.4444444444444,0)</f>
      </c>
      <c r="AB544" s="5">
        <v>0.9</v>
      </c>
      <c r="AC544" s="2" t="s">
        <v>98</v>
      </c>
      <c r="AD544" s="4"/>
      <c r="AE544" s="4"/>
      <c r="AF544" s="6">
        <v>65</v>
      </c>
      <c r="AG544" s="6">
        <v>48</v>
      </c>
      <c r="AH544" s="7">
        <v>1</v>
      </c>
      <c r="AI544" s="4"/>
      <c r="AJ544" s="4">
        <f>=ROUNDDOWN({0},0)</f>
      </c>
      <c r="AK544" s="5"/>
      <c r="AL544" s="2" t="s">
        <v>98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/>
      <c r="AW544" s="8"/>
      <c r="AX544" s="4"/>
      <c r="AY544" s="8"/>
      <c r="AZ544" s="7"/>
      <c r="BA544" s="7"/>
      <c r="BB544" s="7"/>
      <c r="BC544" s="4"/>
      <c r="BD544" s="8"/>
      <c r="BE544" s="4"/>
      <c r="BF544" s="8"/>
      <c r="BG544" s="7"/>
      <c r="BH544" s="7"/>
      <c r="BI544" s="7"/>
      <c r="BJ544" s="4"/>
      <c r="BK544" s="8"/>
      <c r="BL544" s="2" t="s">
        <v>2986</v>
      </c>
      <c r="BM544" s="7"/>
      <c r="BN544" s="7"/>
      <c r="BO544" s="4"/>
      <c r="BP544" s="8"/>
      <c r="BQ544" s="4"/>
      <c r="BR544" s="8"/>
      <c r="BS544" s="7"/>
      <c r="BT544" s="7"/>
      <c r="BU544" s="2" t="s">
        <v>107</v>
      </c>
      <c r="BV544" s="2" t="s">
        <v>1355</v>
      </c>
      <c r="BW544" s="2" t="s">
        <v>1777</v>
      </c>
      <c r="BX544" s="2" t="s">
        <v>429</v>
      </c>
      <c r="BY544" s="2" t="s">
        <v>110</v>
      </c>
      <c r="BZ544" s="2" t="s">
        <v>98</v>
      </c>
    </row>
    <row r="545">
      <c r="A545" s="2" t="s">
        <v>2987</v>
      </c>
      <c r="B545" s="2" t="s">
        <v>1345</v>
      </c>
      <c r="C545" s="2" t="s">
        <v>88</v>
      </c>
      <c r="D545" s="2" t="s">
        <v>2872</v>
      </c>
      <c r="E545" s="2" t="s">
        <v>2872</v>
      </c>
      <c r="F545" s="2" t="s">
        <v>2988</v>
      </c>
      <c r="G545" s="2" t="s">
        <v>2989</v>
      </c>
      <c r="H545" s="2" t="s">
        <v>2990</v>
      </c>
      <c r="I545" s="2" t="s">
        <v>2883</v>
      </c>
      <c r="J545" s="2" t="s">
        <v>93</v>
      </c>
      <c r="K545" s="2" t="s">
        <v>473</v>
      </c>
      <c r="L545" s="3">
        <v>260</v>
      </c>
      <c r="M545" s="3">
        <v>273</v>
      </c>
      <c r="N545" s="3">
        <v>549</v>
      </c>
      <c r="O545" s="2" t="s">
        <v>155</v>
      </c>
      <c r="P545" s="2" t="s">
        <v>115</v>
      </c>
      <c r="Q545" s="2" t="s">
        <v>97</v>
      </c>
      <c r="R545" s="2" t="s">
        <v>98</v>
      </c>
      <c r="S545" s="2" t="s">
        <v>98</v>
      </c>
      <c r="T545" s="2" t="s">
        <v>98</v>
      </c>
      <c r="U545" s="2" t="s">
        <v>117</v>
      </c>
      <c r="V545" s="2" t="s">
        <v>296</v>
      </c>
      <c r="W545" s="2" t="s">
        <v>103</v>
      </c>
      <c r="X545" s="2" t="s">
        <v>98</v>
      </c>
      <c r="Y545" s="2" t="s">
        <v>2991</v>
      </c>
      <c r="Z545" s="4">
        <v>14</v>
      </c>
      <c r="AA545" s="4">
        <f>=ROUNDDOWN(28,0)</f>
      </c>
      <c r="AB545" s="5">
        <v>0.5</v>
      </c>
      <c r="AC545" s="2" t="s">
        <v>98</v>
      </c>
      <c r="AD545" s="4"/>
      <c r="AE545" s="4"/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98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/>
      <c r="BD545" s="8"/>
      <c r="BE545" s="4"/>
      <c r="BF545" s="8"/>
      <c r="BG545" s="7"/>
      <c r="BH545" s="7"/>
      <c r="BI545" s="7"/>
      <c r="BJ545" s="4"/>
      <c r="BK545" s="8"/>
      <c r="BL545" s="2" t="s">
        <v>98</v>
      </c>
      <c r="BM545" s="7"/>
      <c r="BN545" s="7"/>
      <c r="BO545" s="4"/>
      <c r="BP545" s="8"/>
      <c r="BQ545" s="4"/>
      <c r="BR545" s="8"/>
      <c r="BS545" s="7"/>
      <c r="BT545" s="7"/>
      <c r="BU545" s="2" t="s">
        <v>1376</v>
      </c>
      <c r="BV545" s="2" t="s">
        <v>95</v>
      </c>
      <c r="BW545" s="2" t="s">
        <v>98</v>
      </c>
      <c r="BX545" s="2" t="s">
        <v>98</v>
      </c>
      <c r="BY545" s="2" t="s">
        <v>110</v>
      </c>
      <c r="BZ545" s="2" t="s">
        <v>98</v>
      </c>
    </row>
    <row r="546">
      <c r="A546" s="2" t="s">
        <v>2992</v>
      </c>
      <c r="B546" s="2" t="s">
        <v>1345</v>
      </c>
      <c r="C546" s="2" t="s">
        <v>88</v>
      </c>
      <c r="D546" s="2" t="s">
        <v>2789</v>
      </c>
      <c r="E546" s="2" t="s">
        <v>2775</v>
      </c>
      <c r="F546" s="2" t="s">
        <v>2701</v>
      </c>
      <c r="G546" s="2" t="s">
        <v>2702</v>
      </c>
      <c r="H546" s="2" t="s">
        <v>2703</v>
      </c>
      <c r="I546" s="2" t="s">
        <v>2993</v>
      </c>
      <c r="J546" s="2" t="s">
        <v>93</v>
      </c>
      <c r="K546" s="2" t="s">
        <v>127</v>
      </c>
      <c r="L546" s="3">
        <v>131.81</v>
      </c>
      <c r="M546" s="3">
        <v>138.4</v>
      </c>
      <c r="N546" s="3">
        <v>279</v>
      </c>
      <c r="O546" s="2" t="s">
        <v>95</v>
      </c>
      <c r="P546" s="2" t="s">
        <v>163</v>
      </c>
      <c r="Q546" s="2" t="s">
        <v>97</v>
      </c>
      <c r="R546" s="2" t="s">
        <v>98</v>
      </c>
      <c r="S546" s="2" t="s">
        <v>2994</v>
      </c>
      <c r="T546" s="2" t="s">
        <v>98</v>
      </c>
      <c r="U546" s="2" t="s">
        <v>98</v>
      </c>
      <c r="V546" s="2" t="s">
        <v>439</v>
      </c>
      <c r="W546" s="2" t="s">
        <v>103</v>
      </c>
      <c r="X546" s="2" t="s">
        <v>98</v>
      </c>
      <c r="Y546" s="2" t="s">
        <v>2995</v>
      </c>
      <c r="Z546" s="4">
        <v>266</v>
      </c>
      <c r="AA546" s="4">
        <f>=ROUNDDOWN(7.38888888888889,0)</f>
      </c>
      <c r="AB546" s="5">
        <v>36</v>
      </c>
      <c r="AC546" s="2" t="s">
        <v>1651</v>
      </c>
      <c r="AD546" s="4">
        <v>300</v>
      </c>
      <c r="AE546" s="4">
        <v>940</v>
      </c>
      <c r="AF546" s="6">
        <v>74</v>
      </c>
      <c r="AG546" s="6">
        <v>60</v>
      </c>
      <c r="AH546" s="7">
        <v>1</v>
      </c>
      <c r="AI546" s="4"/>
      <c r="AJ546" s="4">
        <f>=ROUNDDOWN({0},0)</f>
      </c>
      <c r="AK546" s="5"/>
      <c r="AL546" s="2" t="s">
        <v>98</v>
      </c>
      <c r="AM546" s="4"/>
      <c r="AN546" s="4"/>
      <c r="AO546" s="7">
        <v>0</v>
      </c>
      <c r="AP546" s="4">
        <v>2</v>
      </c>
      <c r="AQ546" s="8">
        <v>239.48</v>
      </c>
      <c r="AR546" s="4"/>
      <c r="AS546" s="8"/>
      <c r="AT546" s="7"/>
      <c r="AU546" s="7"/>
      <c r="AV546" s="4">
        <v>2</v>
      </c>
      <c r="AW546" s="8">
        <v>239.48</v>
      </c>
      <c r="AX546" s="4"/>
      <c r="AY546" s="8"/>
      <c r="AZ546" s="7"/>
      <c r="BA546" s="7"/>
      <c r="BB546" s="7">
        <v>1</v>
      </c>
      <c r="BC546" s="4">
        <v>2</v>
      </c>
      <c r="BD546" s="8">
        <v>239.48</v>
      </c>
      <c r="BE546" s="4"/>
      <c r="BF546" s="8"/>
      <c r="BG546" s="7"/>
      <c r="BH546" s="7"/>
      <c r="BI546" s="7">
        <v>1</v>
      </c>
      <c r="BJ546" s="4">
        <v>33</v>
      </c>
      <c r="BK546" s="8">
        <v>4332.53</v>
      </c>
      <c r="BL546" s="2" t="s">
        <v>2996</v>
      </c>
      <c r="BM546" s="7">
        <v>0.0606</v>
      </c>
      <c r="BN546" s="7">
        <v>0.0553</v>
      </c>
      <c r="BO546" s="4">
        <v>2</v>
      </c>
      <c r="BP546" s="8">
        <v>239.48</v>
      </c>
      <c r="BQ546" s="4"/>
      <c r="BR546" s="8"/>
      <c r="BS546" s="7"/>
      <c r="BT546" s="7"/>
      <c r="BU546" s="2" t="s">
        <v>107</v>
      </c>
      <c r="BV546" s="2" t="s">
        <v>1355</v>
      </c>
      <c r="BW546" s="2" t="s">
        <v>1620</v>
      </c>
      <c r="BX546" s="2" t="s">
        <v>2997</v>
      </c>
      <c r="BY546" s="2" t="s">
        <v>110</v>
      </c>
      <c r="BZ546" s="2" t="s">
        <v>98</v>
      </c>
    </row>
    <row r="547">
      <c r="A547" s="2" t="s">
        <v>2998</v>
      </c>
      <c r="B547" s="2" t="s">
        <v>1345</v>
      </c>
      <c r="C547" s="2" t="s">
        <v>88</v>
      </c>
      <c r="D547" s="2" t="s">
        <v>2789</v>
      </c>
      <c r="E547" s="2" t="s">
        <v>2775</v>
      </c>
      <c r="F547" s="2" t="s">
        <v>2999</v>
      </c>
      <c r="G547" s="2" t="s">
        <v>3000</v>
      </c>
      <c r="H547" s="2" t="s">
        <v>3001</v>
      </c>
      <c r="I547" s="2" t="s">
        <v>2993</v>
      </c>
      <c r="J547" s="2" t="s">
        <v>93</v>
      </c>
      <c r="K547" s="2" t="s">
        <v>188</v>
      </c>
      <c r="L547" s="3">
        <v>133</v>
      </c>
      <c r="M547" s="3">
        <v>139.65</v>
      </c>
      <c r="N547" s="3">
        <v>279</v>
      </c>
      <c r="O547" s="2" t="s">
        <v>95</v>
      </c>
      <c r="P547" s="2" t="s">
        <v>134</v>
      </c>
      <c r="Q547" s="2" t="s">
        <v>97</v>
      </c>
      <c r="R547" s="2" t="s">
        <v>98</v>
      </c>
      <c r="S547" s="2" t="s">
        <v>3002</v>
      </c>
      <c r="T547" s="2" t="s">
        <v>98</v>
      </c>
      <c r="U547" s="2" t="s">
        <v>98</v>
      </c>
      <c r="V547" s="2" t="s">
        <v>439</v>
      </c>
      <c r="W547" s="2" t="s">
        <v>103</v>
      </c>
      <c r="X547" s="2" t="s">
        <v>98</v>
      </c>
      <c r="Y547" s="2" t="s">
        <v>625</v>
      </c>
      <c r="Z547" s="4">
        <v>101</v>
      </c>
      <c r="AA547" s="4">
        <f>=ROUNDDOWN(16.8333333333333,0)</f>
      </c>
      <c r="AB547" s="5">
        <v>6</v>
      </c>
      <c r="AC547" s="2" t="s">
        <v>1525</v>
      </c>
      <c r="AD547" s="4">
        <v>92</v>
      </c>
      <c r="AE547" s="4">
        <v>92</v>
      </c>
      <c r="AF547" s="6">
        <v>65</v>
      </c>
      <c r="AG547" s="6">
        <v>48</v>
      </c>
      <c r="AH547" s="7">
        <v>1</v>
      </c>
      <c r="AI547" s="4"/>
      <c r="AJ547" s="4">
        <f>=ROUNDDOWN({0},0)</f>
      </c>
      <c r="AK547" s="5"/>
      <c r="AL547" s="2" t="s">
        <v>98</v>
      </c>
      <c r="AM547" s="4"/>
      <c r="AN547" s="4"/>
      <c r="AO547" s="7">
        <v>0</v>
      </c>
      <c r="AP547" s="4">
        <v>2</v>
      </c>
      <c r="AQ547" s="8">
        <v>235.44</v>
      </c>
      <c r="AR547" s="4">
        <v>1</v>
      </c>
      <c r="AS547" s="8">
        <v>133.17</v>
      </c>
      <c r="AT547" s="7">
        <v>1</v>
      </c>
      <c r="AU547" s="7">
        <v>0.768</v>
      </c>
      <c r="AV547" s="4">
        <v>2</v>
      </c>
      <c r="AW547" s="8">
        <v>235.44</v>
      </c>
      <c r="AX547" s="4">
        <v>1</v>
      </c>
      <c r="AY547" s="8">
        <v>133.17</v>
      </c>
      <c r="AZ547" s="7">
        <v>1</v>
      </c>
      <c r="BA547" s="7">
        <v>0.768</v>
      </c>
      <c r="BB547" s="7">
        <v>1</v>
      </c>
      <c r="BC547" s="4">
        <v>2</v>
      </c>
      <c r="BD547" s="8">
        <v>235.44</v>
      </c>
      <c r="BE547" s="4">
        <v>1</v>
      </c>
      <c r="BF547" s="8">
        <v>133.17</v>
      </c>
      <c r="BG547" s="7">
        <v>1</v>
      </c>
      <c r="BH547" s="7">
        <v>0.768</v>
      </c>
      <c r="BI547" s="7">
        <v>1</v>
      </c>
      <c r="BJ547" s="4">
        <v>6</v>
      </c>
      <c r="BK547" s="8">
        <v>759.36</v>
      </c>
      <c r="BL547" s="2" t="s">
        <v>3003</v>
      </c>
      <c r="BM547" s="7">
        <v>0.3333</v>
      </c>
      <c r="BN547" s="7">
        <v>0.3101</v>
      </c>
      <c r="BO547" s="4">
        <v>2</v>
      </c>
      <c r="BP547" s="8">
        <v>235.44</v>
      </c>
      <c r="BQ547" s="4">
        <v>1</v>
      </c>
      <c r="BR547" s="8">
        <v>133.17</v>
      </c>
      <c r="BS547" s="7">
        <v>1</v>
      </c>
      <c r="BT547" s="7">
        <v>0.768</v>
      </c>
      <c r="BU547" s="2" t="s">
        <v>107</v>
      </c>
      <c r="BV547" s="2" t="s">
        <v>1355</v>
      </c>
      <c r="BW547" s="2" t="s">
        <v>1826</v>
      </c>
      <c r="BX547" s="2" t="s">
        <v>3004</v>
      </c>
      <c r="BY547" s="2" t="s">
        <v>110</v>
      </c>
      <c r="BZ547" s="2" t="s">
        <v>98</v>
      </c>
    </row>
    <row r="548">
      <c r="A548" s="2" t="s">
        <v>3005</v>
      </c>
      <c r="B548" s="2" t="s">
        <v>1345</v>
      </c>
      <c r="C548" s="2" t="s">
        <v>88</v>
      </c>
      <c r="D548" s="2" t="s">
        <v>2789</v>
      </c>
      <c r="E548" s="2" t="s">
        <v>2775</v>
      </c>
      <c r="F548" s="2" t="s">
        <v>3006</v>
      </c>
      <c r="G548" s="2" t="s">
        <v>3007</v>
      </c>
      <c r="H548" s="2" t="s">
        <v>3008</v>
      </c>
      <c r="I548" s="2" t="s">
        <v>2993</v>
      </c>
      <c r="J548" s="2" t="s">
        <v>93</v>
      </c>
      <c r="K548" s="2" t="s">
        <v>219</v>
      </c>
      <c r="L548" s="3">
        <v>61.75</v>
      </c>
      <c r="M548" s="3">
        <v>64.84</v>
      </c>
      <c r="N548" s="3">
        <v>129</v>
      </c>
      <c r="O548" s="2" t="s">
        <v>95</v>
      </c>
      <c r="P548" s="2" t="s">
        <v>134</v>
      </c>
      <c r="Q548" s="2" t="s">
        <v>97</v>
      </c>
      <c r="R548" s="2" t="s">
        <v>98</v>
      </c>
      <c r="S548" s="2" t="s">
        <v>3009</v>
      </c>
      <c r="T548" s="2" t="s">
        <v>98</v>
      </c>
      <c r="U548" s="2" t="s">
        <v>98</v>
      </c>
      <c r="V548" s="2" t="s">
        <v>439</v>
      </c>
      <c r="W548" s="2" t="s">
        <v>103</v>
      </c>
      <c r="X548" s="2" t="s">
        <v>98</v>
      </c>
      <c r="Y548" s="2" t="s">
        <v>3010</v>
      </c>
      <c r="Z548" s="4">
        <v>320</v>
      </c>
      <c r="AA548" s="4">
        <f>=ROUNDDOWN(26.6666666666667,0)</f>
      </c>
      <c r="AB548" s="5">
        <v>12</v>
      </c>
      <c r="AC548" s="2" t="s">
        <v>1425</v>
      </c>
      <c r="AD548" s="4">
        <v>200</v>
      </c>
      <c r="AE548" s="4">
        <v>200</v>
      </c>
      <c r="AF548" s="6">
        <v>65</v>
      </c>
      <c r="AG548" s="6">
        <v>48</v>
      </c>
      <c r="AH548" s="7">
        <v>1</v>
      </c>
      <c r="AI548" s="4"/>
      <c r="AJ548" s="4">
        <f>=ROUNDDOWN({0},0)</f>
      </c>
      <c r="AK548" s="5"/>
      <c r="AL548" s="2" t="s">
        <v>98</v>
      </c>
      <c r="AM548" s="4"/>
      <c r="AN548" s="4"/>
      <c r="AO548" s="7">
        <v>0</v>
      </c>
      <c r="AP548" s="4">
        <v>3</v>
      </c>
      <c r="AQ548" s="8">
        <v>163.32</v>
      </c>
      <c r="AR548" s="4"/>
      <c r="AS548" s="8"/>
      <c r="AT548" s="7"/>
      <c r="AU548" s="7"/>
      <c r="AV548" s="4">
        <v>3</v>
      </c>
      <c r="AW548" s="8">
        <v>163.32</v>
      </c>
      <c r="AX548" s="4"/>
      <c r="AY548" s="8"/>
      <c r="AZ548" s="7"/>
      <c r="BA548" s="7"/>
      <c r="BB548" s="7">
        <v>1</v>
      </c>
      <c r="BC548" s="4">
        <v>3</v>
      </c>
      <c r="BD548" s="8">
        <v>163.32</v>
      </c>
      <c r="BE548" s="4"/>
      <c r="BF548" s="8"/>
      <c r="BG548" s="7"/>
      <c r="BH548" s="7"/>
      <c r="BI548" s="7">
        <v>1</v>
      </c>
      <c r="BJ548" s="4">
        <v>11</v>
      </c>
      <c r="BK548" s="8">
        <v>658</v>
      </c>
      <c r="BL548" s="2" t="s">
        <v>3011</v>
      </c>
      <c r="BM548" s="7">
        <v>0.2727</v>
      </c>
      <c r="BN548" s="7">
        <v>0.2482</v>
      </c>
      <c r="BO548" s="4">
        <v>3</v>
      </c>
      <c r="BP548" s="8">
        <v>163.32</v>
      </c>
      <c r="BQ548" s="4"/>
      <c r="BR548" s="8"/>
      <c r="BS548" s="7"/>
      <c r="BT548" s="7"/>
      <c r="BU548" s="2" t="s">
        <v>107</v>
      </c>
      <c r="BV548" s="2" t="s">
        <v>1355</v>
      </c>
      <c r="BW548" s="2" t="s">
        <v>1388</v>
      </c>
      <c r="BX548" s="2" t="s">
        <v>3012</v>
      </c>
      <c r="BY548" s="2" t="s">
        <v>110</v>
      </c>
      <c r="BZ548" s="2" t="s">
        <v>98</v>
      </c>
    </row>
    <row r="549">
      <c r="A549" s="2" t="s">
        <v>3013</v>
      </c>
      <c r="B549" s="2" t="s">
        <v>1345</v>
      </c>
      <c r="C549" s="2" t="s">
        <v>88</v>
      </c>
      <c r="D549" s="2" t="s">
        <v>2789</v>
      </c>
      <c r="E549" s="2" t="s">
        <v>2775</v>
      </c>
      <c r="F549" s="2" t="s">
        <v>2310</v>
      </c>
      <c r="G549" s="2" t="s">
        <v>2311</v>
      </c>
      <c r="H549" s="2" t="s">
        <v>2312</v>
      </c>
      <c r="I549" s="2" t="s">
        <v>3014</v>
      </c>
      <c r="J549" s="2" t="s">
        <v>93</v>
      </c>
      <c r="K549" s="2" t="s">
        <v>1052</v>
      </c>
      <c r="L549" s="3">
        <v>78</v>
      </c>
      <c r="M549" s="3">
        <v>81.9</v>
      </c>
      <c r="N549" s="3">
        <v>169</v>
      </c>
      <c r="O549" s="2" t="s">
        <v>155</v>
      </c>
      <c r="P549" s="2" t="s">
        <v>115</v>
      </c>
      <c r="Q549" s="2" t="s">
        <v>97</v>
      </c>
      <c r="R549" s="2" t="s">
        <v>98</v>
      </c>
      <c r="S549" s="2" t="s">
        <v>3015</v>
      </c>
      <c r="T549" s="2" t="s">
        <v>98</v>
      </c>
      <c r="U549" s="2" t="s">
        <v>98</v>
      </c>
      <c r="V549" s="2" t="s">
        <v>439</v>
      </c>
      <c r="W549" s="2" t="s">
        <v>968</v>
      </c>
      <c r="X549" s="2" t="s">
        <v>98</v>
      </c>
      <c r="Y549" s="2" t="s">
        <v>366</v>
      </c>
      <c r="Z549" s="4">
        <v>14</v>
      </c>
      <c r="AA549" s="4">
        <f>=ROUNDDOWN(2,0)</f>
      </c>
      <c r="AB549" s="5">
        <v>7</v>
      </c>
      <c r="AC549" s="2" t="s">
        <v>98</v>
      </c>
      <c r="AD549" s="4"/>
      <c r="AE549" s="4"/>
      <c r="AF549" s="6">
        <v>65</v>
      </c>
      <c r="AG549" s="6">
        <v>48</v>
      </c>
      <c r="AH549" s="7">
        <v>1</v>
      </c>
      <c r="AI549" s="4"/>
      <c r="AJ549" s="4">
        <f>=ROUNDDOWN({0},0)</f>
      </c>
      <c r="AK549" s="5"/>
      <c r="AL549" s="2" t="s">
        <v>98</v>
      </c>
      <c r="AM549" s="4"/>
      <c r="AN549" s="4"/>
      <c r="AO549" s="7">
        <v>0</v>
      </c>
      <c r="AP549" s="4">
        <v>1</v>
      </c>
      <c r="AQ549" s="8">
        <v>65.13</v>
      </c>
      <c r="AR549" s="4"/>
      <c r="AS549" s="8"/>
      <c r="AT549" s="7"/>
      <c r="AU549" s="7"/>
      <c r="AV549" s="4">
        <v>1</v>
      </c>
      <c r="AW549" s="8">
        <v>65.13</v>
      </c>
      <c r="AX549" s="4"/>
      <c r="AY549" s="8"/>
      <c r="AZ549" s="7"/>
      <c r="BA549" s="7"/>
      <c r="BB549" s="7">
        <v>1</v>
      </c>
      <c r="BC549" s="4">
        <v>1</v>
      </c>
      <c r="BD549" s="8">
        <v>65.13</v>
      </c>
      <c r="BE549" s="4" t="s">
        <v>98</v>
      </c>
      <c r="BF549" s="8" t="s">
        <v>98</v>
      </c>
      <c r="BG549" s="7" t="s">
        <v>98</v>
      </c>
      <c r="BH549" s="7" t="s">
        <v>98</v>
      </c>
      <c r="BI549" s="7">
        <v>1</v>
      </c>
      <c r="BJ549" s="4">
        <v>8</v>
      </c>
      <c r="BK549" s="8">
        <v>400.99</v>
      </c>
      <c r="BL549" s="2" t="s">
        <v>3016</v>
      </c>
      <c r="BM549" s="7">
        <v>0.125</v>
      </c>
      <c r="BN549" s="7">
        <v>0.1624</v>
      </c>
      <c r="BO549" s="4">
        <v>1</v>
      </c>
      <c r="BP549" s="8">
        <v>65.13</v>
      </c>
      <c r="BQ549" s="4"/>
      <c r="BR549" s="8"/>
      <c r="BS549" s="7"/>
      <c r="BT549" s="7"/>
      <c r="BU549" s="2" t="s">
        <v>107</v>
      </c>
      <c r="BV549" s="2" t="s">
        <v>1355</v>
      </c>
      <c r="BW549" s="2" t="s">
        <v>3017</v>
      </c>
      <c r="BX549" s="2" t="s">
        <v>3018</v>
      </c>
      <c r="BY549" s="2" t="s">
        <v>110</v>
      </c>
      <c r="BZ549" s="2" t="s">
        <v>98</v>
      </c>
    </row>
    <row r="550">
      <c r="A550" s="2" t="s">
        <v>3019</v>
      </c>
      <c r="B550" s="2" t="s">
        <v>1345</v>
      </c>
      <c r="C550" s="2" t="s">
        <v>88</v>
      </c>
      <c r="D550" s="2" t="s">
        <v>2789</v>
      </c>
      <c r="E550" s="2" t="s">
        <v>2775</v>
      </c>
      <c r="F550" s="2" t="s">
        <v>2310</v>
      </c>
      <c r="G550" s="2" t="s">
        <v>2311</v>
      </c>
      <c r="H550" s="2" t="s">
        <v>2312</v>
      </c>
      <c r="I550" s="2" t="s">
        <v>3020</v>
      </c>
      <c r="J550" s="2" t="s">
        <v>93</v>
      </c>
      <c r="K550" s="2" t="s">
        <v>133</v>
      </c>
      <c r="L550" s="3">
        <v>114</v>
      </c>
      <c r="M550" s="3">
        <v>119.7</v>
      </c>
      <c r="N550" s="3">
        <v>239</v>
      </c>
      <c r="O550" s="2" t="s">
        <v>155</v>
      </c>
      <c r="P550" s="2" t="s">
        <v>115</v>
      </c>
      <c r="Q550" s="2" t="s">
        <v>97</v>
      </c>
      <c r="R550" s="2" t="s">
        <v>98</v>
      </c>
      <c r="S550" s="2" t="s">
        <v>3021</v>
      </c>
      <c r="T550" s="2" t="s">
        <v>98</v>
      </c>
      <c r="U550" s="2" t="s">
        <v>98</v>
      </c>
      <c r="V550" s="2" t="s">
        <v>439</v>
      </c>
      <c r="W550" s="2" t="s">
        <v>968</v>
      </c>
      <c r="X550" s="2" t="s">
        <v>98</v>
      </c>
      <c r="Y550" s="2" t="s">
        <v>366</v>
      </c>
      <c r="Z550" s="4">
        <v>99</v>
      </c>
      <c r="AA550" s="4">
        <f>=ROUNDDOWN(198,0)</f>
      </c>
      <c r="AB550" s="5">
        <v>0.5</v>
      </c>
      <c r="AC550" s="2" t="s">
        <v>98</v>
      </c>
      <c r="AD550" s="4"/>
      <c r="AE550" s="4"/>
      <c r="AF550" s="6">
        <v>65</v>
      </c>
      <c r="AG550" s="6">
        <v>48</v>
      </c>
      <c r="AH550" s="7">
        <v>1</v>
      </c>
      <c r="AI550" s="4"/>
      <c r="AJ550" s="4">
        <f>=ROUNDDOWN({0},0)</f>
      </c>
      <c r="AK550" s="5"/>
      <c r="AL550" s="2" t="s">
        <v>98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 t="s">
        <v>98</v>
      </c>
      <c r="BD550" s="8" t="s">
        <v>98</v>
      </c>
      <c r="BE550" s="4" t="s">
        <v>98</v>
      </c>
      <c r="BF550" s="8" t="s">
        <v>98</v>
      </c>
      <c r="BG550" s="7" t="s">
        <v>98</v>
      </c>
      <c r="BH550" s="7" t="s">
        <v>98</v>
      </c>
      <c r="BI550" s="7"/>
      <c r="BJ550" s="4"/>
      <c r="BK550" s="8"/>
      <c r="BL550" s="2" t="s">
        <v>895</v>
      </c>
      <c r="BM550" s="7"/>
      <c r="BN550" s="7"/>
      <c r="BO550" s="4"/>
      <c r="BP550" s="8"/>
      <c r="BQ550" s="4"/>
      <c r="BR550" s="8"/>
      <c r="BS550" s="7"/>
      <c r="BT550" s="7"/>
      <c r="BU550" s="2" t="s">
        <v>107</v>
      </c>
      <c r="BV550" s="2" t="s">
        <v>1355</v>
      </c>
      <c r="BW550" s="2" t="s">
        <v>1472</v>
      </c>
      <c r="BX550" s="2" t="s">
        <v>3022</v>
      </c>
      <c r="BY550" s="2" t="s">
        <v>110</v>
      </c>
      <c r="BZ550" s="2" t="s">
        <v>98</v>
      </c>
    </row>
    <row r="551">
      <c r="A551" s="2" t="s">
        <v>3023</v>
      </c>
      <c r="B551" s="2" t="s">
        <v>1345</v>
      </c>
      <c r="C551" s="2" t="s">
        <v>88</v>
      </c>
      <c r="D551" s="2" t="s">
        <v>2789</v>
      </c>
      <c r="E551" s="2" t="s">
        <v>2775</v>
      </c>
      <c r="F551" s="2" t="s">
        <v>3024</v>
      </c>
      <c r="G551" s="2" t="s">
        <v>3025</v>
      </c>
      <c r="H551" s="2" t="s">
        <v>3026</v>
      </c>
      <c r="I551" s="2" t="s">
        <v>3027</v>
      </c>
      <c r="J551" s="2" t="s">
        <v>93</v>
      </c>
      <c r="K551" s="2" t="s">
        <v>421</v>
      </c>
      <c r="L551" s="3">
        <v>90.45</v>
      </c>
      <c r="M551" s="3">
        <v>94.97</v>
      </c>
      <c r="N551" s="3">
        <v>189</v>
      </c>
      <c r="O551" s="2" t="s">
        <v>155</v>
      </c>
      <c r="P551" s="2" t="s">
        <v>115</v>
      </c>
      <c r="Q551" s="2" t="s">
        <v>97</v>
      </c>
      <c r="R551" s="2" t="s">
        <v>98</v>
      </c>
      <c r="S551" s="2" t="s">
        <v>3028</v>
      </c>
      <c r="T551" s="2" t="s">
        <v>98</v>
      </c>
      <c r="U551" s="2" t="s">
        <v>98</v>
      </c>
      <c r="V551" s="2" t="s">
        <v>439</v>
      </c>
      <c r="W551" s="2" t="s">
        <v>102</v>
      </c>
      <c r="X551" s="2" t="s">
        <v>98</v>
      </c>
      <c r="Y551" s="2" t="s">
        <v>842</v>
      </c>
      <c r="Z551" s="4">
        <v>23</v>
      </c>
      <c r="AA551" s="4">
        <f>=ROUNDDOWN(7.41935483870968,0)</f>
      </c>
      <c r="AB551" s="5">
        <v>3.1</v>
      </c>
      <c r="AC551" s="2" t="s">
        <v>98</v>
      </c>
      <c r="AD551" s="4"/>
      <c r="AE551" s="4"/>
      <c r="AF551" s="6">
        <v>65</v>
      </c>
      <c r="AG551" s="6">
        <v>48</v>
      </c>
      <c r="AH551" s="7">
        <v>1</v>
      </c>
      <c r="AI551" s="4"/>
      <c r="AJ551" s="4">
        <f>=ROUNDDOWN({0},0)</f>
      </c>
      <c r="AK551" s="5"/>
      <c r="AL551" s="2" t="s">
        <v>98</v>
      </c>
      <c r="AM551" s="4"/>
      <c r="AN551" s="4"/>
      <c r="AO551" s="7">
        <v>0</v>
      </c>
      <c r="AP551" s="4">
        <v>1</v>
      </c>
      <c r="AQ551" s="8">
        <v>50.66</v>
      </c>
      <c r="AR551" s="4"/>
      <c r="AS551" s="8"/>
      <c r="AT551" s="7"/>
      <c r="AU551" s="7"/>
      <c r="AV551" s="4">
        <v>1</v>
      </c>
      <c r="AW551" s="8">
        <v>50.66</v>
      </c>
      <c r="AX551" s="4"/>
      <c r="AY551" s="8"/>
      <c r="AZ551" s="7"/>
      <c r="BA551" s="7"/>
      <c r="BB551" s="7">
        <v>1</v>
      </c>
      <c r="BC551" s="4">
        <v>1</v>
      </c>
      <c r="BD551" s="8">
        <v>50.66</v>
      </c>
      <c r="BE551" s="4"/>
      <c r="BF551" s="8"/>
      <c r="BG551" s="7"/>
      <c r="BH551" s="7"/>
      <c r="BI551" s="7">
        <v>1</v>
      </c>
      <c r="BJ551" s="4">
        <v>4</v>
      </c>
      <c r="BK551" s="8">
        <v>221.6</v>
      </c>
      <c r="BL551" s="2" t="s">
        <v>3029</v>
      </c>
      <c r="BM551" s="7">
        <v>0.25</v>
      </c>
      <c r="BN551" s="7">
        <v>0.2286</v>
      </c>
      <c r="BO551" s="4">
        <v>1</v>
      </c>
      <c r="BP551" s="8">
        <v>50.66</v>
      </c>
      <c r="BQ551" s="4"/>
      <c r="BR551" s="8"/>
      <c r="BS551" s="7"/>
      <c r="BT551" s="7"/>
      <c r="BU551" s="2" t="s">
        <v>107</v>
      </c>
      <c r="BV551" s="2" t="s">
        <v>1355</v>
      </c>
      <c r="BW551" s="2" t="s">
        <v>2766</v>
      </c>
      <c r="BX551" s="2" t="s">
        <v>2326</v>
      </c>
      <c r="BY551" s="2" t="s">
        <v>110</v>
      </c>
      <c r="BZ551" s="2" t="s">
        <v>98</v>
      </c>
    </row>
    <row r="552">
      <c r="A552" s="2" t="s">
        <v>3030</v>
      </c>
      <c r="B552" s="2" t="s">
        <v>1345</v>
      </c>
      <c r="C552" s="2" t="s">
        <v>88</v>
      </c>
      <c r="D552" s="2" t="s">
        <v>2789</v>
      </c>
      <c r="E552" s="2" t="s">
        <v>2775</v>
      </c>
      <c r="F552" s="2" t="s">
        <v>3031</v>
      </c>
      <c r="G552" s="2" t="s">
        <v>3032</v>
      </c>
      <c r="H552" s="2" t="s">
        <v>3033</v>
      </c>
      <c r="I552" s="2" t="s">
        <v>3034</v>
      </c>
      <c r="J552" s="2" t="s">
        <v>93</v>
      </c>
      <c r="K552" s="2" t="s">
        <v>473</v>
      </c>
      <c r="L552" s="3">
        <v>80</v>
      </c>
      <c r="M552" s="3">
        <v>84</v>
      </c>
      <c r="N552" s="3">
        <v>169</v>
      </c>
      <c r="O552" s="2" t="s">
        <v>155</v>
      </c>
      <c r="P552" s="2" t="s">
        <v>115</v>
      </c>
      <c r="Q552" s="2" t="s">
        <v>97</v>
      </c>
      <c r="R552" s="2" t="s">
        <v>98</v>
      </c>
      <c r="S552" s="2" t="s">
        <v>98</v>
      </c>
      <c r="T552" s="2" t="s">
        <v>98</v>
      </c>
      <c r="U552" s="2" t="s">
        <v>117</v>
      </c>
      <c r="V552" s="2" t="s">
        <v>439</v>
      </c>
      <c r="W552" s="2" t="s">
        <v>103</v>
      </c>
      <c r="X552" s="2" t="s">
        <v>98</v>
      </c>
      <c r="Y552" s="2" t="s">
        <v>3035</v>
      </c>
      <c r="Z552" s="4"/>
      <c r="AA552" s="4">
        <f>=ROUNDDOWN({0},0)</f>
      </c>
      <c r="AB552" s="5">
        <v>1.5</v>
      </c>
      <c r="AC552" s="2" t="s">
        <v>98</v>
      </c>
      <c r="AD552" s="4"/>
      <c r="AE552" s="4"/>
      <c r="AF552" s="6">
        <v>65</v>
      </c>
      <c r="AG552" s="6">
        <v>48</v>
      </c>
      <c r="AH552" s="7">
        <v>0</v>
      </c>
      <c r="AI552" s="4"/>
      <c r="AJ552" s="4">
        <f>=ROUNDDOWN({0},0)</f>
      </c>
      <c r="AK552" s="5"/>
      <c r="AL552" s="2" t="s">
        <v>98</v>
      </c>
      <c r="AM552" s="4"/>
      <c r="AN552" s="4"/>
      <c r="AO552" s="7">
        <v>0</v>
      </c>
      <c r="AP552" s="4"/>
      <c r="AQ552" s="8"/>
      <c r="AR552" s="4">
        <v>3</v>
      </c>
      <c r="AS552" s="8">
        <v>217.11</v>
      </c>
      <c r="AT552" s="7">
        <v>-1</v>
      </c>
      <c r="AU552" s="7">
        <v>-1</v>
      </c>
      <c r="AV552" s="4"/>
      <c r="AW552" s="8"/>
      <c r="AX552" s="4">
        <v>3</v>
      </c>
      <c r="AY552" s="8">
        <v>217.11</v>
      </c>
      <c r="AZ552" s="7">
        <v>-1</v>
      </c>
      <c r="BA552" s="7">
        <v>-1</v>
      </c>
      <c r="BB552" s="7"/>
      <c r="BC552" s="4" t="s">
        <v>98</v>
      </c>
      <c r="BD552" s="8" t="s">
        <v>98</v>
      </c>
      <c r="BE552" s="4">
        <v>3</v>
      </c>
      <c r="BF552" s="8">
        <v>217.11</v>
      </c>
      <c r="BG552" s="7" t="s">
        <v>98</v>
      </c>
      <c r="BH552" s="7" t="s">
        <v>98</v>
      </c>
      <c r="BI552" s="7"/>
      <c r="BJ552" s="4"/>
      <c r="BK552" s="8"/>
      <c r="BL552" s="2" t="s">
        <v>3036</v>
      </c>
      <c r="BM552" s="7"/>
      <c r="BN552" s="7"/>
      <c r="BO552" s="4"/>
      <c r="BP552" s="8"/>
      <c r="BQ552" s="4">
        <v>3</v>
      </c>
      <c r="BR552" s="8">
        <v>217.11</v>
      </c>
      <c r="BS552" s="7">
        <v>-1</v>
      </c>
      <c r="BT552" s="7">
        <v>-1</v>
      </c>
      <c r="BU552" s="2" t="s">
        <v>107</v>
      </c>
      <c r="BV552" s="2" t="s">
        <v>1355</v>
      </c>
      <c r="BW552" s="2" t="s">
        <v>1388</v>
      </c>
      <c r="BX552" s="2" t="s">
        <v>2167</v>
      </c>
      <c r="BY552" s="2" t="s">
        <v>110</v>
      </c>
      <c r="BZ552" s="2" t="s">
        <v>98</v>
      </c>
    </row>
    <row r="553">
      <c r="A553" s="2" t="s">
        <v>3037</v>
      </c>
      <c r="B553" s="2" t="s">
        <v>1345</v>
      </c>
      <c r="C553" s="2" t="s">
        <v>88</v>
      </c>
      <c r="D553" s="2" t="s">
        <v>2789</v>
      </c>
      <c r="E553" s="2" t="s">
        <v>2775</v>
      </c>
      <c r="F553" s="2" t="s">
        <v>3031</v>
      </c>
      <c r="G553" s="2" t="s">
        <v>3032</v>
      </c>
      <c r="H553" s="2" t="s">
        <v>3033</v>
      </c>
      <c r="I553" s="2" t="s">
        <v>3034</v>
      </c>
      <c r="J553" s="2" t="s">
        <v>93</v>
      </c>
      <c r="K553" s="2" t="s">
        <v>3038</v>
      </c>
      <c r="L553" s="3">
        <v>73.6</v>
      </c>
      <c r="M553" s="3">
        <v>77.28</v>
      </c>
      <c r="N553" s="3">
        <v>159</v>
      </c>
      <c r="O553" s="2" t="s">
        <v>95</v>
      </c>
      <c r="P553" s="2" t="s">
        <v>134</v>
      </c>
      <c r="Q553" s="2" t="s">
        <v>97</v>
      </c>
      <c r="R553" s="2" t="s">
        <v>98</v>
      </c>
      <c r="S553" s="2" t="s">
        <v>3039</v>
      </c>
      <c r="T553" s="2" t="s">
        <v>98</v>
      </c>
      <c r="U553" s="2" t="s">
        <v>98</v>
      </c>
      <c r="V553" s="2" t="s">
        <v>439</v>
      </c>
      <c r="W553" s="2" t="s">
        <v>102</v>
      </c>
      <c r="X553" s="2" t="s">
        <v>98</v>
      </c>
      <c r="Y553" s="2" t="s">
        <v>3040</v>
      </c>
      <c r="Z553" s="4">
        <v>234</v>
      </c>
      <c r="AA553" s="4">
        <f>=ROUNDDOWN(29.25,0)</f>
      </c>
      <c r="AB553" s="5">
        <v>8</v>
      </c>
      <c r="AC553" s="2" t="s">
        <v>98</v>
      </c>
      <c r="AD553" s="4"/>
      <c r="AE553" s="4"/>
      <c r="AF553" s="6">
        <v>65</v>
      </c>
      <c r="AG553" s="6">
        <v>48</v>
      </c>
      <c r="AH553" s="7">
        <v>1</v>
      </c>
      <c r="AI553" s="4"/>
      <c r="AJ553" s="4">
        <f>=ROUNDDOWN({0},0)</f>
      </c>
      <c r="AK553" s="5"/>
      <c r="AL553" s="2" t="s">
        <v>98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/>
      <c r="AW553" s="8"/>
      <c r="AX553" s="4"/>
      <c r="AY553" s="8"/>
      <c r="AZ553" s="7"/>
      <c r="BA553" s="7"/>
      <c r="BB553" s="7"/>
      <c r="BC553" s="4" t="s">
        <v>98</v>
      </c>
      <c r="BD553" s="8" t="s">
        <v>98</v>
      </c>
      <c r="BE553" s="4" t="s">
        <v>98</v>
      </c>
      <c r="BF553" s="8" t="s">
        <v>98</v>
      </c>
      <c r="BG553" s="7" t="s">
        <v>98</v>
      </c>
      <c r="BH553" s="7" t="s">
        <v>98</v>
      </c>
      <c r="BI553" s="7"/>
      <c r="BJ553" s="4"/>
      <c r="BK553" s="8"/>
      <c r="BL553" s="2" t="s">
        <v>1379</v>
      </c>
      <c r="BM553" s="7"/>
      <c r="BN553" s="7"/>
      <c r="BO553" s="4"/>
      <c r="BP553" s="8"/>
      <c r="BQ553" s="4"/>
      <c r="BR553" s="8"/>
      <c r="BS553" s="7"/>
      <c r="BT553" s="7"/>
      <c r="BU553" s="2" t="s">
        <v>107</v>
      </c>
      <c r="BV553" s="2" t="s">
        <v>1355</v>
      </c>
      <c r="BW553" s="2" t="s">
        <v>250</v>
      </c>
      <c r="BX553" s="2" t="s">
        <v>3041</v>
      </c>
      <c r="BY553" s="2" t="s">
        <v>110</v>
      </c>
      <c r="BZ553" s="2" t="s">
        <v>98</v>
      </c>
    </row>
    <row r="554">
      <c r="A554" s="2" t="s">
        <v>3042</v>
      </c>
      <c r="B554" s="2" t="s">
        <v>1345</v>
      </c>
      <c r="C554" s="2" t="s">
        <v>88</v>
      </c>
      <c r="D554" s="2" t="s">
        <v>2789</v>
      </c>
      <c r="E554" s="2" t="s">
        <v>2775</v>
      </c>
      <c r="F554" s="2" t="s">
        <v>3031</v>
      </c>
      <c r="G554" s="2" t="s">
        <v>3032</v>
      </c>
      <c r="H554" s="2" t="s">
        <v>3033</v>
      </c>
      <c r="I554" s="2" t="s">
        <v>3034</v>
      </c>
      <c r="J554" s="2" t="s">
        <v>93</v>
      </c>
      <c r="K554" s="2" t="s">
        <v>133</v>
      </c>
      <c r="L554" s="3">
        <v>73.6</v>
      </c>
      <c r="M554" s="3">
        <v>77.28</v>
      </c>
      <c r="N554" s="3">
        <v>159</v>
      </c>
      <c r="O554" s="2" t="s">
        <v>95</v>
      </c>
      <c r="P554" s="2" t="s">
        <v>134</v>
      </c>
      <c r="Q554" s="2" t="s">
        <v>97</v>
      </c>
      <c r="R554" s="2" t="s">
        <v>98</v>
      </c>
      <c r="S554" s="2" t="s">
        <v>3043</v>
      </c>
      <c r="T554" s="2" t="s">
        <v>98</v>
      </c>
      <c r="U554" s="2" t="s">
        <v>98</v>
      </c>
      <c r="V554" s="2" t="s">
        <v>439</v>
      </c>
      <c r="W554" s="2" t="s">
        <v>103</v>
      </c>
      <c r="X554" s="2" t="s">
        <v>102</v>
      </c>
      <c r="Y554" s="2" t="s">
        <v>366</v>
      </c>
      <c r="Z554" s="4">
        <v>526</v>
      </c>
      <c r="AA554" s="4">
        <f>=ROUNDDOWN(75.1428571428571,0)</f>
      </c>
      <c r="AB554" s="5">
        <v>7</v>
      </c>
      <c r="AC554" s="2" t="s">
        <v>98</v>
      </c>
      <c r="AD554" s="4"/>
      <c r="AE554" s="4"/>
      <c r="AF554" s="6">
        <v>65</v>
      </c>
      <c r="AG554" s="6">
        <v>48</v>
      </c>
      <c r="AH554" s="7">
        <v>1</v>
      </c>
      <c r="AI554" s="4"/>
      <c r="AJ554" s="4">
        <f>=ROUNDDOWN({0},0)</f>
      </c>
      <c r="AK554" s="5"/>
      <c r="AL554" s="2" t="s">
        <v>98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/>
      <c r="AW554" s="8"/>
      <c r="AX554" s="4"/>
      <c r="AY554" s="8"/>
      <c r="AZ554" s="7"/>
      <c r="BA554" s="7"/>
      <c r="BB554" s="7"/>
      <c r="BC554" s="4" t="s">
        <v>98</v>
      </c>
      <c r="BD554" s="8" t="s">
        <v>98</v>
      </c>
      <c r="BE554" s="4" t="s">
        <v>98</v>
      </c>
      <c r="BF554" s="8" t="s">
        <v>98</v>
      </c>
      <c r="BG554" s="7" t="s">
        <v>98</v>
      </c>
      <c r="BH554" s="7" t="s">
        <v>98</v>
      </c>
      <c r="BI554" s="7"/>
      <c r="BJ554" s="4">
        <v>1</v>
      </c>
      <c r="BK554" s="8">
        <v>70.94</v>
      </c>
      <c r="BL554" s="2" t="s">
        <v>3044</v>
      </c>
      <c r="BM554" s="7"/>
      <c r="BN554" s="7"/>
      <c r="BO554" s="4"/>
      <c r="BP554" s="8"/>
      <c r="BQ554" s="4"/>
      <c r="BR554" s="8"/>
      <c r="BS554" s="7"/>
      <c r="BT554" s="7"/>
      <c r="BU554" s="2" t="s">
        <v>107</v>
      </c>
      <c r="BV554" s="2" t="s">
        <v>1355</v>
      </c>
      <c r="BW554" s="2" t="s">
        <v>2232</v>
      </c>
      <c r="BX554" s="2" t="s">
        <v>2886</v>
      </c>
      <c r="BY554" s="2" t="s">
        <v>110</v>
      </c>
      <c r="BZ554" s="2" t="s">
        <v>98</v>
      </c>
    </row>
    <row r="555">
      <c r="A555" s="2" t="s">
        <v>3045</v>
      </c>
      <c r="B555" s="2" t="s">
        <v>1345</v>
      </c>
      <c r="C555" s="2" t="s">
        <v>88</v>
      </c>
      <c r="D555" s="2" t="s">
        <v>2789</v>
      </c>
      <c r="E555" s="2" t="s">
        <v>2775</v>
      </c>
      <c r="F555" s="2" t="s">
        <v>3046</v>
      </c>
      <c r="G555" s="2" t="s">
        <v>3047</v>
      </c>
      <c r="H555" s="2" t="s">
        <v>3048</v>
      </c>
      <c r="I555" s="2" t="s">
        <v>2993</v>
      </c>
      <c r="J555" s="2" t="s">
        <v>93</v>
      </c>
      <c r="K555" s="2" t="s">
        <v>473</v>
      </c>
      <c r="L555" s="3">
        <v>56.16</v>
      </c>
      <c r="M555" s="3">
        <v>58.97</v>
      </c>
      <c r="N555" s="3">
        <v>119</v>
      </c>
      <c r="O555" s="2" t="s">
        <v>95</v>
      </c>
      <c r="P555" s="2" t="s">
        <v>134</v>
      </c>
      <c r="Q555" s="2" t="s">
        <v>97</v>
      </c>
      <c r="R555" s="2" t="s">
        <v>98</v>
      </c>
      <c r="S555" s="2" t="s">
        <v>3049</v>
      </c>
      <c r="T555" s="2" t="s">
        <v>98</v>
      </c>
      <c r="U555" s="2" t="s">
        <v>98</v>
      </c>
      <c r="V555" s="2" t="s">
        <v>296</v>
      </c>
      <c r="W555" s="2" t="s">
        <v>103</v>
      </c>
      <c r="X555" s="2" t="s">
        <v>997</v>
      </c>
      <c r="Y555" s="2" t="s">
        <v>3050</v>
      </c>
      <c r="Z555" s="4">
        <v>313</v>
      </c>
      <c r="AA555" s="4">
        <f>=ROUNDDOWN(28.4545454545455,0)</f>
      </c>
      <c r="AB555" s="5">
        <v>11</v>
      </c>
      <c r="AC555" s="2" t="s">
        <v>1643</v>
      </c>
      <c r="AD555" s="4">
        <v>2</v>
      </c>
      <c r="AE555" s="4">
        <v>122</v>
      </c>
      <c r="AF555" s="6">
        <v>65</v>
      </c>
      <c r="AG555" s="6">
        <v>48</v>
      </c>
      <c r="AH555" s="7">
        <v>1</v>
      </c>
      <c r="AI555" s="4"/>
      <c r="AJ555" s="4">
        <f>=ROUNDDOWN({0},0)</f>
      </c>
      <c r="AK555" s="5"/>
      <c r="AL555" s="2" t="s">
        <v>98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/>
      <c r="AW555" s="8"/>
      <c r="AX555" s="4"/>
      <c r="AY555" s="8"/>
      <c r="AZ555" s="7"/>
      <c r="BA555" s="7"/>
      <c r="BB555" s="7"/>
      <c r="BC555" s="4"/>
      <c r="BD555" s="8"/>
      <c r="BE555" s="4"/>
      <c r="BF555" s="8"/>
      <c r="BG555" s="7"/>
      <c r="BH555" s="7"/>
      <c r="BI555" s="7"/>
      <c r="BJ555" s="4">
        <v>10</v>
      </c>
      <c r="BK555" s="8">
        <v>550.84</v>
      </c>
      <c r="BL555" s="2" t="s">
        <v>3051</v>
      </c>
      <c r="BM555" s="7"/>
      <c r="BN555" s="7"/>
      <c r="BO555" s="4"/>
      <c r="BP555" s="8"/>
      <c r="BQ555" s="4"/>
      <c r="BR555" s="8"/>
      <c r="BS555" s="7"/>
      <c r="BT555" s="7"/>
      <c r="BU555" s="2" t="s">
        <v>107</v>
      </c>
      <c r="BV555" s="2" t="s">
        <v>1355</v>
      </c>
      <c r="BW555" s="2" t="s">
        <v>1512</v>
      </c>
      <c r="BX555" s="2" t="s">
        <v>3052</v>
      </c>
      <c r="BY555" s="2" t="s">
        <v>110</v>
      </c>
      <c r="BZ555" s="2" t="s">
        <v>98</v>
      </c>
    </row>
    <row r="556">
      <c r="A556" s="2" t="s">
        <v>3053</v>
      </c>
      <c r="B556" s="2" t="s">
        <v>1345</v>
      </c>
      <c r="C556" s="2" t="s">
        <v>88</v>
      </c>
      <c r="D556" s="2" t="s">
        <v>2789</v>
      </c>
      <c r="E556" s="2" t="s">
        <v>2775</v>
      </c>
      <c r="F556" s="2" t="s">
        <v>3054</v>
      </c>
      <c r="G556" s="2" t="s">
        <v>3055</v>
      </c>
      <c r="H556" s="2" t="s">
        <v>3056</v>
      </c>
      <c r="I556" s="2" t="s">
        <v>3057</v>
      </c>
      <c r="J556" s="2" t="s">
        <v>93</v>
      </c>
      <c r="K556" s="2" t="s">
        <v>421</v>
      </c>
      <c r="L556" s="3">
        <v>46.75</v>
      </c>
      <c r="M556" s="3">
        <v>49.09</v>
      </c>
      <c r="N556" s="3">
        <v>99</v>
      </c>
      <c r="O556" s="2" t="s">
        <v>95</v>
      </c>
      <c r="P556" s="2" t="s">
        <v>134</v>
      </c>
      <c r="Q556" s="2" t="s">
        <v>97</v>
      </c>
      <c r="R556" s="2" t="s">
        <v>98</v>
      </c>
      <c r="S556" s="2" t="s">
        <v>3058</v>
      </c>
      <c r="T556" s="2" t="s">
        <v>98</v>
      </c>
      <c r="U556" s="2" t="s">
        <v>117</v>
      </c>
      <c r="V556" s="2" t="s">
        <v>439</v>
      </c>
      <c r="W556" s="2" t="s">
        <v>103</v>
      </c>
      <c r="X556" s="2" t="s">
        <v>98</v>
      </c>
      <c r="Y556" s="2" t="s">
        <v>3040</v>
      </c>
      <c r="Z556" s="4">
        <v>321</v>
      </c>
      <c r="AA556" s="4">
        <f>=ROUNDDOWN(22.9285714285714,0)</f>
      </c>
      <c r="AB556" s="5">
        <v>14</v>
      </c>
      <c r="AC556" s="2" t="s">
        <v>1425</v>
      </c>
      <c r="AD556" s="4">
        <v>200</v>
      </c>
      <c r="AE556" s="4">
        <v>200</v>
      </c>
      <c r="AF556" s="6">
        <v>65</v>
      </c>
      <c r="AG556" s="6">
        <v>48</v>
      </c>
      <c r="AH556" s="7">
        <v>1</v>
      </c>
      <c r="AI556" s="4"/>
      <c r="AJ556" s="4">
        <f>=ROUNDDOWN({0},0)</f>
      </c>
      <c r="AK556" s="5"/>
      <c r="AL556" s="2" t="s">
        <v>98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/>
      <c r="AW556" s="8"/>
      <c r="AX556" s="4"/>
      <c r="AY556" s="8"/>
      <c r="AZ556" s="7"/>
      <c r="BA556" s="7"/>
      <c r="BB556" s="7"/>
      <c r="BC556" s="4"/>
      <c r="BD556" s="8"/>
      <c r="BE556" s="4"/>
      <c r="BF556" s="8"/>
      <c r="BG556" s="7"/>
      <c r="BH556" s="7"/>
      <c r="BI556" s="7"/>
      <c r="BJ556" s="4">
        <v>10</v>
      </c>
      <c r="BK556" s="8">
        <v>566.14</v>
      </c>
      <c r="BL556" s="2" t="s">
        <v>3059</v>
      </c>
      <c r="BM556" s="7"/>
      <c r="BN556" s="7"/>
      <c r="BO556" s="4"/>
      <c r="BP556" s="8"/>
      <c r="BQ556" s="4"/>
      <c r="BR556" s="8"/>
      <c r="BS556" s="7"/>
      <c r="BT556" s="7"/>
      <c r="BU556" s="2" t="s">
        <v>107</v>
      </c>
      <c r="BV556" s="2" t="s">
        <v>1355</v>
      </c>
      <c r="BW556" s="2" t="s">
        <v>250</v>
      </c>
      <c r="BX556" s="2" t="s">
        <v>3060</v>
      </c>
      <c r="BY556" s="2" t="s">
        <v>110</v>
      </c>
      <c r="BZ556" s="2" t="s">
        <v>98</v>
      </c>
    </row>
    <row r="557">
      <c r="A557" s="2" t="s">
        <v>3061</v>
      </c>
      <c r="B557" s="2" t="s">
        <v>1345</v>
      </c>
      <c r="C557" s="2" t="s">
        <v>88</v>
      </c>
      <c r="D557" s="2" t="s">
        <v>2789</v>
      </c>
      <c r="E557" s="2" t="s">
        <v>2789</v>
      </c>
      <c r="F557" s="2" t="s">
        <v>3062</v>
      </c>
      <c r="G557" s="2" t="s">
        <v>3063</v>
      </c>
      <c r="H557" s="2" t="s">
        <v>3064</v>
      </c>
      <c r="I557" s="2" t="s">
        <v>3065</v>
      </c>
      <c r="J557" s="2" t="s">
        <v>93</v>
      </c>
      <c r="K557" s="2" t="s">
        <v>188</v>
      </c>
      <c r="L557" s="3">
        <v>89.78</v>
      </c>
      <c r="M557" s="3">
        <v>94.27</v>
      </c>
      <c r="N557" s="3">
        <v>189</v>
      </c>
      <c r="O557" s="2" t="s">
        <v>95</v>
      </c>
      <c r="P557" s="2" t="s">
        <v>142</v>
      </c>
      <c r="Q557" s="2" t="s">
        <v>97</v>
      </c>
      <c r="R557" s="2" t="s">
        <v>98</v>
      </c>
      <c r="S557" s="2" t="s">
        <v>98</v>
      </c>
      <c r="T557" s="2" t="s">
        <v>98</v>
      </c>
      <c r="U557" s="2" t="s">
        <v>117</v>
      </c>
      <c r="V557" s="2" t="s">
        <v>296</v>
      </c>
      <c r="W557" s="2" t="s">
        <v>103</v>
      </c>
      <c r="X557" s="2" t="s">
        <v>297</v>
      </c>
      <c r="Y557" s="2" t="s">
        <v>3066</v>
      </c>
      <c r="Z557" s="4">
        <v>102</v>
      </c>
      <c r="AA557" s="4">
        <f>=ROUNDDOWN(51,0)</f>
      </c>
      <c r="AB557" s="5">
        <v>2</v>
      </c>
      <c r="AC557" s="2" t="s">
        <v>98</v>
      </c>
      <c r="AD557" s="4"/>
      <c r="AE557" s="4"/>
      <c r="AF557" s="6">
        <v>74</v>
      </c>
      <c r="AG557" s="6"/>
      <c r="AH557" s="7">
        <v>1</v>
      </c>
      <c r="AI557" s="4"/>
      <c r="AJ557" s="4">
        <f>=ROUNDDOWN({0},0)</f>
      </c>
      <c r="AK557" s="5"/>
      <c r="AL557" s="2" t="s">
        <v>98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/>
      <c r="BD557" s="8"/>
      <c r="BE557" s="4"/>
      <c r="BF557" s="8"/>
      <c r="BG557" s="7"/>
      <c r="BH557" s="7"/>
      <c r="BI557" s="7"/>
      <c r="BJ557" s="4"/>
      <c r="BK557" s="8"/>
      <c r="BL557" s="2" t="s">
        <v>98</v>
      </c>
      <c r="BM557" s="7"/>
      <c r="BN557" s="7"/>
      <c r="BO557" s="4"/>
      <c r="BP557" s="8"/>
      <c r="BQ557" s="4"/>
      <c r="BR557" s="8"/>
      <c r="BS557" s="7"/>
      <c r="BT557" s="7"/>
      <c r="BU557" s="2" t="s">
        <v>1376</v>
      </c>
      <c r="BV557" s="2" t="s">
        <v>95</v>
      </c>
      <c r="BW557" s="2" t="s">
        <v>98</v>
      </c>
      <c r="BX557" s="2" t="s">
        <v>98</v>
      </c>
      <c r="BY557" s="2" t="s">
        <v>110</v>
      </c>
      <c r="BZ557" s="2" t="s">
        <v>98</v>
      </c>
    </row>
    <row r="558">
      <c r="A558" s="2" t="s">
        <v>3067</v>
      </c>
      <c r="B558" s="2" t="s">
        <v>1345</v>
      </c>
      <c r="C558" s="2" t="s">
        <v>88</v>
      </c>
      <c r="D558" s="2" t="s">
        <v>3068</v>
      </c>
      <c r="E558" s="2" t="s">
        <v>3069</v>
      </c>
      <c r="F558" s="2" t="s">
        <v>3070</v>
      </c>
      <c r="G558" s="2" t="s">
        <v>3071</v>
      </c>
      <c r="H558" s="2" t="s">
        <v>3072</v>
      </c>
      <c r="I558" s="2" t="s">
        <v>3073</v>
      </c>
      <c r="J558" s="2" t="s">
        <v>93</v>
      </c>
      <c r="K558" s="2" t="s">
        <v>1423</v>
      </c>
      <c r="L558" s="3">
        <v>114</v>
      </c>
      <c r="M558" s="3">
        <v>119.7</v>
      </c>
      <c r="N558" s="3">
        <v>239</v>
      </c>
      <c r="O558" s="2" t="s">
        <v>95</v>
      </c>
      <c r="P558" s="2" t="s">
        <v>134</v>
      </c>
      <c r="Q558" s="2" t="s">
        <v>97</v>
      </c>
      <c r="R558" s="2" t="s">
        <v>98</v>
      </c>
      <c r="S558" s="2" t="s">
        <v>3074</v>
      </c>
      <c r="T558" s="2" t="s">
        <v>98</v>
      </c>
      <c r="U558" s="2" t="s">
        <v>98</v>
      </c>
      <c r="V558" s="2" t="s">
        <v>439</v>
      </c>
      <c r="W558" s="2" t="s">
        <v>102</v>
      </c>
      <c r="X558" s="2" t="s">
        <v>98</v>
      </c>
      <c r="Y558" s="2" t="s">
        <v>366</v>
      </c>
      <c r="Z558" s="4">
        <v>49</v>
      </c>
      <c r="AA558" s="4">
        <f>=ROUNDDOWN(3.76923076923077,0)</f>
      </c>
      <c r="AB558" s="5">
        <v>13</v>
      </c>
      <c r="AC558" s="2" t="s">
        <v>1457</v>
      </c>
      <c r="AD558" s="4">
        <v>400</v>
      </c>
      <c r="AE558" s="4">
        <v>500</v>
      </c>
      <c r="AF558" s="6">
        <v>76</v>
      </c>
      <c r="AG558" s="6">
        <v>67</v>
      </c>
      <c r="AH558" s="7">
        <v>1</v>
      </c>
      <c r="AI558" s="4"/>
      <c r="AJ558" s="4">
        <f>=ROUNDDOWN({0},0)</f>
      </c>
      <c r="AK558" s="5"/>
      <c r="AL558" s="2" t="s">
        <v>98</v>
      </c>
      <c r="AM558" s="4"/>
      <c r="AN558" s="4"/>
      <c r="AO558" s="7">
        <v>0</v>
      </c>
      <c r="AP558" s="4">
        <v>2</v>
      </c>
      <c r="AQ558" s="8">
        <v>218.34</v>
      </c>
      <c r="AR558" s="4">
        <v>4</v>
      </c>
      <c r="AS558" s="8">
        <v>476.2</v>
      </c>
      <c r="AT558" s="7">
        <v>-0.5</v>
      </c>
      <c r="AU558" s="7">
        <v>-0.5415</v>
      </c>
      <c r="AV558" s="4">
        <v>2</v>
      </c>
      <c r="AW558" s="8">
        <v>218.34</v>
      </c>
      <c r="AX558" s="4">
        <v>4</v>
      </c>
      <c r="AY558" s="8">
        <v>476.2</v>
      </c>
      <c r="AZ558" s="7">
        <v>-0.5</v>
      </c>
      <c r="BA558" s="7">
        <v>-0.5415</v>
      </c>
      <c r="BB558" s="7">
        <v>1</v>
      </c>
      <c r="BC558" s="4">
        <v>2</v>
      </c>
      <c r="BD558" s="8">
        <v>218.34</v>
      </c>
      <c r="BE558" s="4">
        <v>27</v>
      </c>
      <c r="BF558" s="8">
        <v>3214.35</v>
      </c>
      <c r="BG558" s="7">
        <v>-0.9259</v>
      </c>
      <c r="BH558" s="7">
        <v>-0.9321</v>
      </c>
      <c r="BI558" s="7">
        <v>1</v>
      </c>
      <c r="BJ558" s="4">
        <v>8</v>
      </c>
      <c r="BK558" s="8">
        <v>929.62</v>
      </c>
      <c r="BL558" s="2" t="s">
        <v>3075</v>
      </c>
      <c r="BM558" s="7">
        <v>0.25</v>
      </c>
      <c r="BN558" s="7">
        <v>0.2349</v>
      </c>
      <c r="BO558" s="4">
        <v>2</v>
      </c>
      <c r="BP558" s="8">
        <v>218.34</v>
      </c>
      <c r="BQ558" s="4">
        <v>4</v>
      </c>
      <c r="BR558" s="8">
        <v>476.2</v>
      </c>
      <c r="BS558" s="7">
        <v>-0.5</v>
      </c>
      <c r="BT558" s="7">
        <v>-0.5415</v>
      </c>
      <c r="BU558" s="2" t="s">
        <v>107</v>
      </c>
      <c r="BV558" s="2" t="s">
        <v>1355</v>
      </c>
      <c r="BW558" s="2" t="s">
        <v>1356</v>
      </c>
      <c r="BX558" s="2" t="s">
        <v>1527</v>
      </c>
      <c r="BY558" s="2" t="s">
        <v>110</v>
      </c>
      <c r="BZ558" s="2" t="s">
        <v>98</v>
      </c>
    </row>
    <row r="559">
      <c r="A559" s="2" t="s">
        <v>3076</v>
      </c>
      <c r="B559" s="2" t="s">
        <v>1345</v>
      </c>
      <c r="C559" s="2" t="s">
        <v>88</v>
      </c>
      <c r="D559" s="2" t="s">
        <v>3068</v>
      </c>
      <c r="E559" s="2" t="s">
        <v>3069</v>
      </c>
      <c r="F559" s="2" t="s">
        <v>3070</v>
      </c>
      <c r="G559" s="2" t="s">
        <v>3071</v>
      </c>
      <c r="H559" s="2" t="s">
        <v>3072</v>
      </c>
      <c r="I559" s="2" t="s">
        <v>3073</v>
      </c>
      <c r="J559" s="2" t="s">
        <v>93</v>
      </c>
      <c r="K559" s="2" t="s">
        <v>277</v>
      </c>
      <c r="L559" s="3">
        <v>114</v>
      </c>
      <c r="M559" s="3">
        <v>119.7</v>
      </c>
      <c r="N559" s="3">
        <v>239</v>
      </c>
      <c r="O559" s="2" t="s">
        <v>95</v>
      </c>
      <c r="P559" s="2" t="s">
        <v>134</v>
      </c>
      <c r="Q559" s="2" t="s">
        <v>97</v>
      </c>
      <c r="R559" s="2" t="s">
        <v>98</v>
      </c>
      <c r="S559" s="2" t="s">
        <v>3077</v>
      </c>
      <c r="T559" s="2" t="s">
        <v>98</v>
      </c>
      <c r="U559" s="2" t="s">
        <v>98</v>
      </c>
      <c r="V559" s="2" t="s">
        <v>439</v>
      </c>
      <c r="W559" s="2" t="s">
        <v>103</v>
      </c>
      <c r="X559" s="2" t="s">
        <v>98</v>
      </c>
      <c r="Y559" s="2" t="s">
        <v>366</v>
      </c>
      <c r="Z559" s="4"/>
      <c r="AA559" s="4">
        <f>=ROUNDDOWN({0},0)</f>
      </c>
      <c r="AB559" s="5">
        <v>6.6</v>
      </c>
      <c r="AC559" s="2" t="s">
        <v>3078</v>
      </c>
      <c r="AD559" s="4">
        <v>60</v>
      </c>
      <c r="AE559" s="4">
        <v>366</v>
      </c>
      <c r="AF559" s="6">
        <v>76</v>
      </c>
      <c r="AG559" s="6">
        <v>67</v>
      </c>
      <c r="AH559" s="7">
        <v>0</v>
      </c>
      <c r="AI559" s="4"/>
      <c r="AJ559" s="4">
        <f>=ROUNDDOWN({0},0)</f>
      </c>
      <c r="AK559" s="5"/>
      <c r="AL559" s="2" t="s">
        <v>98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/>
      <c r="AW559" s="8"/>
      <c r="AX559" s="4"/>
      <c r="AY559" s="8"/>
      <c r="AZ559" s="7"/>
      <c r="BA559" s="7"/>
      <c r="BB559" s="7"/>
      <c r="BC559" s="4" t="s">
        <v>98</v>
      </c>
      <c r="BD559" s="8" t="s">
        <v>98</v>
      </c>
      <c r="BE559" s="4" t="s">
        <v>98</v>
      </c>
      <c r="BF559" s="8" t="s">
        <v>98</v>
      </c>
      <c r="BG559" s="7" t="s">
        <v>98</v>
      </c>
      <c r="BH559" s="7" t="s">
        <v>98</v>
      </c>
      <c r="BI559" s="7"/>
      <c r="BJ559" s="4"/>
      <c r="BK559" s="8"/>
      <c r="BL559" s="2" t="s">
        <v>3079</v>
      </c>
      <c r="BM559" s="7"/>
      <c r="BN559" s="7"/>
      <c r="BO559" s="4"/>
      <c r="BP559" s="8"/>
      <c r="BQ559" s="4"/>
      <c r="BR559" s="8"/>
      <c r="BS559" s="7"/>
      <c r="BT559" s="7"/>
      <c r="BU559" s="2" t="s">
        <v>107</v>
      </c>
      <c r="BV559" s="2" t="s">
        <v>1355</v>
      </c>
      <c r="BW559" s="2" t="s">
        <v>2455</v>
      </c>
      <c r="BX559" s="2" t="s">
        <v>3080</v>
      </c>
      <c r="BY559" s="2" t="s">
        <v>110</v>
      </c>
      <c r="BZ559" s="2" t="s">
        <v>98</v>
      </c>
    </row>
    <row r="560">
      <c r="A560" s="2" t="s">
        <v>3081</v>
      </c>
      <c r="B560" s="2" t="s">
        <v>1345</v>
      </c>
      <c r="C560" s="2" t="s">
        <v>88</v>
      </c>
      <c r="D560" s="2" t="s">
        <v>3068</v>
      </c>
      <c r="E560" s="2" t="s">
        <v>3069</v>
      </c>
      <c r="F560" s="2" t="s">
        <v>3070</v>
      </c>
      <c r="G560" s="2" t="s">
        <v>3071</v>
      </c>
      <c r="H560" s="2" t="s">
        <v>3072</v>
      </c>
      <c r="I560" s="2" t="s">
        <v>3073</v>
      </c>
      <c r="J560" s="2" t="s">
        <v>93</v>
      </c>
      <c r="K560" s="2" t="s">
        <v>1419</v>
      </c>
      <c r="L560" s="3">
        <v>114</v>
      </c>
      <c r="M560" s="3">
        <v>119.7</v>
      </c>
      <c r="N560" s="3">
        <v>239</v>
      </c>
      <c r="O560" s="2" t="s">
        <v>95</v>
      </c>
      <c r="P560" s="2" t="s">
        <v>134</v>
      </c>
      <c r="Q560" s="2" t="s">
        <v>97</v>
      </c>
      <c r="R560" s="2" t="s">
        <v>98</v>
      </c>
      <c r="S560" s="2" t="s">
        <v>3082</v>
      </c>
      <c r="T560" s="2" t="s">
        <v>98</v>
      </c>
      <c r="U560" s="2" t="s">
        <v>98</v>
      </c>
      <c r="V560" s="2" t="s">
        <v>439</v>
      </c>
      <c r="W560" s="2" t="s">
        <v>103</v>
      </c>
      <c r="X560" s="2" t="s">
        <v>98</v>
      </c>
      <c r="Y560" s="2" t="s">
        <v>2326</v>
      </c>
      <c r="Z560" s="4">
        <v>2</v>
      </c>
      <c r="AA560" s="4">
        <f>=ROUNDDOWN(0.125,0)</f>
      </c>
      <c r="AB560" s="5">
        <v>16</v>
      </c>
      <c r="AC560" s="2" t="s">
        <v>1757</v>
      </c>
      <c r="AD560" s="4">
        <v>110</v>
      </c>
      <c r="AE560" s="4">
        <v>486</v>
      </c>
      <c r="AF560" s="6">
        <v>76</v>
      </c>
      <c r="AG560" s="6">
        <v>67</v>
      </c>
      <c r="AH560" s="7">
        <v>0</v>
      </c>
      <c r="AI560" s="4"/>
      <c r="AJ560" s="4">
        <f>=ROUNDDOWN({0},0)</f>
      </c>
      <c r="AK560" s="5"/>
      <c r="AL560" s="2" t="s">
        <v>98</v>
      </c>
      <c r="AM560" s="4"/>
      <c r="AN560" s="4"/>
      <c r="AO560" s="7">
        <v>0</v>
      </c>
      <c r="AP560" s="4"/>
      <c r="AQ560" s="8"/>
      <c r="AR560" s="4">
        <v>4</v>
      </c>
      <c r="AS560" s="8">
        <v>476.2</v>
      </c>
      <c r="AT560" s="7">
        <v>-1</v>
      </c>
      <c r="AU560" s="7">
        <v>-1</v>
      </c>
      <c r="AV560" s="4"/>
      <c r="AW560" s="8"/>
      <c r="AX560" s="4">
        <v>4</v>
      </c>
      <c r="AY560" s="8">
        <v>476.2</v>
      </c>
      <c r="AZ560" s="7">
        <v>-1</v>
      </c>
      <c r="BA560" s="7">
        <v>-1</v>
      </c>
      <c r="BB560" s="7"/>
      <c r="BC560" s="4" t="s">
        <v>98</v>
      </c>
      <c r="BD560" s="8" t="s">
        <v>98</v>
      </c>
      <c r="BE560" s="4" t="s">
        <v>98</v>
      </c>
      <c r="BF560" s="8" t="s">
        <v>98</v>
      </c>
      <c r="BG560" s="7" t="s">
        <v>98</v>
      </c>
      <c r="BH560" s="7" t="s">
        <v>98</v>
      </c>
      <c r="BI560" s="7"/>
      <c r="BJ560" s="4"/>
      <c r="BK560" s="8"/>
      <c r="BL560" s="2" t="s">
        <v>3083</v>
      </c>
      <c r="BM560" s="7"/>
      <c r="BN560" s="7"/>
      <c r="BO560" s="4"/>
      <c r="BP560" s="8"/>
      <c r="BQ560" s="4">
        <v>4</v>
      </c>
      <c r="BR560" s="8">
        <v>476.2</v>
      </c>
      <c r="BS560" s="7">
        <v>-1</v>
      </c>
      <c r="BT560" s="7">
        <v>-1</v>
      </c>
      <c r="BU560" s="2" t="s">
        <v>107</v>
      </c>
      <c r="BV560" s="2" t="s">
        <v>1355</v>
      </c>
      <c r="BW560" s="2" t="s">
        <v>2455</v>
      </c>
      <c r="BX560" s="2" t="s">
        <v>3084</v>
      </c>
      <c r="BY560" s="2" t="s">
        <v>110</v>
      </c>
      <c r="BZ560" s="2" t="s">
        <v>98</v>
      </c>
    </row>
    <row r="561">
      <c r="A561" s="2" t="s">
        <v>3085</v>
      </c>
      <c r="B561" s="2" t="s">
        <v>1345</v>
      </c>
      <c r="C561" s="2" t="s">
        <v>88</v>
      </c>
      <c r="D561" s="2" t="s">
        <v>3068</v>
      </c>
      <c r="E561" s="2" t="s">
        <v>3069</v>
      </c>
      <c r="F561" s="2" t="s">
        <v>3070</v>
      </c>
      <c r="G561" s="2" t="s">
        <v>3071</v>
      </c>
      <c r="H561" s="2" t="s">
        <v>3072</v>
      </c>
      <c r="I561" s="2" t="s">
        <v>3073</v>
      </c>
      <c r="J561" s="2" t="s">
        <v>93</v>
      </c>
      <c r="K561" s="2" t="s">
        <v>133</v>
      </c>
      <c r="L561" s="3">
        <v>114</v>
      </c>
      <c r="M561" s="3">
        <v>119.7</v>
      </c>
      <c r="N561" s="3">
        <v>239</v>
      </c>
      <c r="O561" s="2" t="s">
        <v>95</v>
      </c>
      <c r="P561" s="2" t="s">
        <v>96</v>
      </c>
      <c r="Q561" s="2" t="s">
        <v>97</v>
      </c>
      <c r="R561" s="2" t="s">
        <v>98</v>
      </c>
      <c r="S561" s="2" t="s">
        <v>3086</v>
      </c>
      <c r="T561" s="2" t="s">
        <v>98</v>
      </c>
      <c r="U561" s="2" t="s">
        <v>98</v>
      </c>
      <c r="V561" s="2" t="s">
        <v>439</v>
      </c>
      <c r="W561" s="2" t="s">
        <v>102</v>
      </c>
      <c r="X561" s="2" t="s">
        <v>98</v>
      </c>
      <c r="Y561" s="2" t="s">
        <v>366</v>
      </c>
      <c r="Z561" s="4"/>
      <c r="AA561" s="4">
        <f>=ROUNDDOWN({0},0)</f>
      </c>
      <c r="AB561" s="5">
        <v>11.6</v>
      </c>
      <c r="AC561" s="2" t="s">
        <v>3078</v>
      </c>
      <c r="AD561" s="4">
        <v>60</v>
      </c>
      <c r="AE561" s="4">
        <v>680</v>
      </c>
      <c r="AF561" s="6">
        <v>76</v>
      </c>
      <c r="AG561" s="6">
        <v>67</v>
      </c>
      <c r="AH561" s="7">
        <v>0</v>
      </c>
      <c r="AI561" s="4"/>
      <c r="AJ561" s="4">
        <f>=ROUNDDOWN({0},0)</f>
      </c>
      <c r="AK561" s="5"/>
      <c r="AL561" s="2" t="s">
        <v>98</v>
      </c>
      <c r="AM561" s="4"/>
      <c r="AN561" s="4"/>
      <c r="AO561" s="7">
        <v>0</v>
      </c>
      <c r="AP561" s="4"/>
      <c r="AQ561" s="8"/>
      <c r="AR561" s="4">
        <v>14</v>
      </c>
      <c r="AS561" s="8">
        <v>1666.7</v>
      </c>
      <c r="AT561" s="7">
        <v>-1</v>
      </c>
      <c r="AU561" s="7">
        <v>-1</v>
      </c>
      <c r="AV561" s="4"/>
      <c r="AW561" s="8"/>
      <c r="AX561" s="4">
        <v>14</v>
      </c>
      <c r="AY561" s="8">
        <v>1666.7</v>
      </c>
      <c r="AZ561" s="7">
        <v>-1</v>
      </c>
      <c r="BA561" s="7">
        <v>-1</v>
      </c>
      <c r="BB561" s="7"/>
      <c r="BC561" s="4" t="s">
        <v>98</v>
      </c>
      <c r="BD561" s="8" t="s">
        <v>98</v>
      </c>
      <c r="BE561" s="4" t="s">
        <v>98</v>
      </c>
      <c r="BF561" s="8" t="s">
        <v>98</v>
      </c>
      <c r="BG561" s="7" t="s">
        <v>98</v>
      </c>
      <c r="BH561" s="7" t="s">
        <v>98</v>
      </c>
      <c r="BI561" s="7"/>
      <c r="BJ561" s="4"/>
      <c r="BK561" s="8"/>
      <c r="BL561" s="2" t="s">
        <v>3087</v>
      </c>
      <c r="BM561" s="7"/>
      <c r="BN561" s="7"/>
      <c r="BO561" s="4"/>
      <c r="BP561" s="8"/>
      <c r="BQ561" s="4">
        <v>14</v>
      </c>
      <c r="BR561" s="8">
        <v>1666.7</v>
      </c>
      <c r="BS561" s="7">
        <v>-1</v>
      </c>
      <c r="BT561" s="7">
        <v>-1</v>
      </c>
      <c r="BU561" s="2" t="s">
        <v>107</v>
      </c>
      <c r="BV561" s="2" t="s">
        <v>1355</v>
      </c>
      <c r="BW561" s="2" t="s">
        <v>1356</v>
      </c>
      <c r="BX561" s="2" t="s">
        <v>3088</v>
      </c>
      <c r="BY561" s="2" t="s">
        <v>110</v>
      </c>
      <c r="BZ561" s="2" t="s">
        <v>98</v>
      </c>
    </row>
    <row r="562">
      <c r="A562" s="2" t="s">
        <v>3089</v>
      </c>
      <c r="B562" s="2" t="s">
        <v>1345</v>
      </c>
      <c r="C562" s="2" t="s">
        <v>88</v>
      </c>
      <c r="D562" s="2" t="s">
        <v>3068</v>
      </c>
      <c r="E562" s="2" t="s">
        <v>3069</v>
      </c>
      <c r="F562" s="2" t="s">
        <v>3070</v>
      </c>
      <c r="G562" s="2" t="s">
        <v>3071</v>
      </c>
      <c r="H562" s="2" t="s">
        <v>3072</v>
      </c>
      <c r="I562" s="2" t="s">
        <v>3073</v>
      </c>
      <c r="J562" s="2" t="s">
        <v>93</v>
      </c>
      <c r="K562" s="2" t="s">
        <v>357</v>
      </c>
      <c r="L562" s="3">
        <v>114</v>
      </c>
      <c r="M562" s="3">
        <v>119.7</v>
      </c>
      <c r="N562" s="3">
        <v>239</v>
      </c>
      <c r="O562" s="2" t="s">
        <v>95</v>
      </c>
      <c r="P562" s="2" t="s">
        <v>134</v>
      </c>
      <c r="Q562" s="2" t="s">
        <v>97</v>
      </c>
      <c r="R562" s="2" t="s">
        <v>98</v>
      </c>
      <c r="S562" s="2" t="s">
        <v>3090</v>
      </c>
      <c r="T562" s="2" t="s">
        <v>98</v>
      </c>
      <c r="U562" s="2" t="s">
        <v>98</v>
      </c>
      <c r="V562" s="2" t="s">
        <v>439</v>
      </c>
      <c r="W562" s="2" t="s">
        <v>102</v>
      </c>
      <c r="X562" s="2" t="s">
        <v>98</v>
      </c>
      <c r="Y562" s="2" t="s">
        <v>366</v>
      </c>
      <c r="Z562" s="4"/>
      <c r="AA562" s="4">
        <f>=ROUNDDOWN({0},0)</f>
      </c>
      <c r="AB562" s="5">
        <v>9.2</v>
      </c>
      <c r="AC562" s="2" t="s">
        <v>1757</v>
      </c>
      <c r="AD562" s="4">
        <v>120</v>
      </c>
      <c r="AE562" s="4">
        <v>437</v>
      </c>
      <c r="AF562" s="6">
        <v>76</v>
      </c>
      <c r="AG562" s="6">
        <v>67</v>
      </c>
      <c r="AH562" s="7">
        <v>0</v>
      </c>
      <c r="AI562" s="4"/>
      <c r="AJ562" s="4">
        <f>=ROUNDDOWN({0},0)</f>
      </c>
      <c r="AK562" s="5"/>
      <c r="AL562" s="2" t="s">
        <v>98</v>
      </c>
      <c r="AM562" s="4"/>
      <c r="AN562" s="4"/>
      <c r="AO562" s="7">
        <v>0</v>
      </c>
      <c r="AP562" s="4"/>
      <c r="AQ562" s="8"/>
      <c r="AR562" s="4">
        <v>4</v>
      </c>
      <c r="AS562" s="8">
        <v>476.2</v>
      </c>
      <c r="AT562" s="7">
        <v>-1</v>
      </c>
      <c r="AU562" s="7">
        <v>-1</v>
      </c>
      <c r="AV562" s="4"/>
      <c r="AW562" s="8"/>
      <c r="AX562" s="4">
        <v>4</v>
      </c>
      <c r="AY562" s="8">
        <v>476.2</v>
      </c>
      <c r="AZ562" s="7">
        <v>-1</v>
      </c>
      <c r="BA562" s="7">
        <v>-1</v>
      </c>
      <c r="BB562" s="7"/>
      <c r="BC562" s="4" t="s">
        <v>98</v>
      </c>
      <c r="BD562" s="8" t="s">
        <v>98</v>
      </c>
      <c r="BE562" s="4" t="s">
        <v>98</v>
      </c>
      <c r="BF562" s="8" t="s">
        <v>98</v>
      </c>
      <c r="BG562" s="7" t="s">
        <v>98</v>
      </c>
      <c r="BH562" s="7" t="s">
        <v>98</v>
      </c>
      <c r="BI562" s="7"/>
      <c r="BJ562" s="4"/>
      <c r="BK562" s="8"/>
      <c r="BL562" s="2" t="s">
        <v>3091</v>
      </c>
      <c r="BM562" s="7"/>
      <c r="BN562" s="7"/>
      <c r="BO562" s="4"/>
      <c r="BP562" s="8"/>
      <c r="BQ562" s="4">
        <v>4</v>
      </c>
      <c r="BR562" s="8">
        <v>476.2</v>
      </c>
      <c r="BS562" s="7">
        <v>-1</v>
      </c>
      <c r="BT562" s="7">
        <v>-1</v>
      </c>
      <c r="BU562" s="2" t="s">
        <v>107</v>
      </c>
      <c r="BV562" s="2" t="s">
        <v>1355</v>
      </c>
      <c r="BW562" s="2" t="s">
        <v>1356</v>
      </c>
      <c r="BX562" s="2" t="s">
        <v>3092</v>
      </c>
      <c r="BY562" s="2" t="s">
        <v>110</v>
      </c>
      <c r="BZ562" s="2" t="s">
        <v>98</v>
      </c>
    </row>
    <row r="563">
      <c r="A563" s="2" t="s">
        <v>3093</v>
      </c>
      <c r="B563" s="2" t="s">
        <v>1345</v>
      </c>
      <c r="C563" s="2" t="s">
        <v>88</v>
      </c>
      <c r="D563" s="2" t="s">
        <v>3068</v>
      </c>
      <c r="E563" s="2" t="s">
        <v>3069</v>
      </c>
      <c r="F563" s="2" t="s">
        <v>3070</v>
      </c>
      <c r="G563" s="2" t="s">
        <v>3071</v>
      </c>
      <c r="H563" s="2" t="s">
        <v>3072</v>
      </c>
      <c r="I563" s="2" t="s">
        <v>3073</v>
      </c>
      <c r="J563" s="2" t="s">
        <v>93</v>
      </c>
      <c r="K563" s="2" t="s">
        <v>3094</v>
      </c>
      <c r="L563" s="3">
        <v>114</v>
      </c>
      <c r="M563" s="3">
        <v>119.7</v>
      </c>
      <c r="N563" s="3">
        <v>239</v>
      </c>
      <c r="O563" s="2" t="s">
        <v>95</v>
      </c>
      <c r="P563" s="2" t="s">
        <v>134</v>
      </c>
      <c r="Q563" s="2" t="s">
        <v>97</v>
      </c>
      <c r="R563" s="2" t="s">
        <v>98</v>
      </c>
      <c r="S563" s="2" t="s">
        <v>3095</v>
      </c>
      <c r="T563" s="2" t="s">
        <v>98</v>
      </c>
      <c r="U563" s="2" t="s">
        <v>98</v>
      </c>
      <c r="V563" s="2" t="s">
        <v>439</v>
      </c>
      <c r="W563" s="2" t="s">
        <v>103</v>
      </c>
      <c r="X563" s="2" t="s">
        <v>98</v>
      </c>
      <c r="Y563" s="2" t="s">
        <v>366</v>
      </c>
      <c r="Z563" s="4">
        <v>75</v>
      </c>
      <c r="AA563" s="4">
        <f>=ROUNDDOWN(9.375,0)</f>
      </c>
      <c r="AB563" s="5">
        <v>8</v>
      </c>
      <c r="AC563" s="2" t="s">
        <v>3096</v>
      </c>
      <c r="AD563" s="4">
        <v>60</v>
      </c>
      <c r="AE563" s="4">
        <v>177</v>
      </c>
      <c r="AF563" s="6">
        <v>76</v>
      </c>
      <c r="AG563" s="6">
        <v>67</v>
      </c>
      <c r="AH563" s="7">
        <v>1</v>
      </c>
      <c r="AI563" s="4"/>
      <c r="AJ563" s="4">
        <f>=ROUNDDOWN({0},0)</f>
      </c>
      <c r="AK563" s="5"/>
      <c r="AL563" s="2" t="s">
        <v>98</v>
      </c>
      <c r="AM563" s="4"/>
      <c r="AN563" s="4"/>
      <c r="AO563" s="7">
        <v>0</v>
      </c>
      <c r="AP563" s="4"/>
      <c r="AQ563" s="8"/>
      <c r="AR563" s="4">
        <v>1</v>
      </c>
      <c r="AS563" s="8">
        <v>119.05</v>
      </c>
      <c r="AT563" s="7">
        <v>-1</v>
      </c>
      <c r="AU563" s="7">
        <v>-1</v>
      </c>
      <c r="AV563" s="4"/>
      <c r="AW563" s="8"/>
      <c r="AX563" s="4">
        <v>1</v>
      </c>
      <c r="AY563" s="8">
        <v>119.05</v>
      </c>
      <c r="AZ563" s="7">
        <v>-1</v>
      </c>
      <c r="BA563" s="7">
        <v>-1</v>
      </c>
      <c r="BB563" s="7"/>
      <c r="BC563" s="4" t="s">
        <v>98</v>
      </c>
      <c r="BD563" s="8" t="s">
        <v>98</v>
      </c>
      <c r="BE563" s="4" t="s">
        <v>98</v>
      </c>
      <c r="BF563" s="8" t="s">
        <v>98</v>
      </c>
      <c r="BG563" s="7" t="s">
        <v>98</v>
      </c>
      <c r="BH563" s="7" t="s">
        <v>98</v>
      </c>
      <c r="BI563" s="7"/>
      <c r="BJ563" s="4">
        <v>2</v>
      </c>
      <c r="BK563" s="8">
        <v>225.2</v>
      </c>
      <c r="BL563" s="2" t="s">
        <v>3097</v>
      </c>
      <c r="BM563" s="7"/>
      <c r="BN563" s="7"/>
      <c r="BO563" s="4"/>
      <c r="BP563" s="8"/>
      <c r="BQ563" s="4">
        <v>1</v>
      </c>
      <c r="BR563" s="8">
        <v>119.05</v>
      </c>
      <c r="BS563" s="7">
        <v>-1</v>
      </c>
      <c r="BT563" s="7">
        <v>-1</v>
      </c>
      <c r="BU563" s="2" t="s">
        <v>107</v>
      </c>
      <c r="BV563" s="2" t="s">
        <v>1355</v>
      </c>
      <c r="BW563" s="2" t="s">
        <v>2455</v>
      </c>
      <c r="BX563" s="2" t="s">
        <v>2631</v>
      </c>
      <c r="BY563" s="2" t="s">
        <v>110</v>
      </c>
      <c r="BZ563" s="2" t="s">
        <v>98</v>
      </c>
    </row>
    <row r="564">
      <c r="A564" s="2" t="s">
        <v>3098</v>
      </c>
      <c r="B564" s="2" t="s">
        <v>1345</v>
      </c>
      <c r="C564" s="2" t="s">
        <v>88</v>
      </c>
      <c r="D564" s="2" t="s">
        <v>3068</v>
      </c>
      <c r="E564" s="2" t="s">
        <v>3069</v>
      </c>
      <c r="F564" s="2" t="s">
        <v>3099</v>
      </c>
      <c r="G564" s="2" t="s">
        <v>3100</v>
      </c>
      <c r="H564" s="2" t="s">
        <v>3101</v>
      </c>
      <c r="I564" s="2" t="s">
        <v>3102</v>
      </c>
      <c r="J564" s="2" t="s">
        <v>93</v>
      </c>
      <c r="K564" s="2" t="s">
        <v>1674</v>
      </c>
      <c r="L564" s="3">
        <v>114</v>
      </c>
      <c r="M564" s="3">
        <v>119.7</v>
      </c>
      <c r="N564" s="3">
        <v>239</v>
      </c>
      <c r="O564" s="2" t="s">
        <v>95</v>
      </c>
      <c r="P564" s="2" t="s">
        <v>96</v>
      </c>
      <c r="Q564" s="2" t="s">
        <v>97</v>
      </c>
      <c r="R564" s="2" t="s">
        <v>98</v>
      </c>
      <c r="S564" s="2" t="s">
        <v>98</v>
      </c>
      <c r="T564" s="2" t="s">
        <v>98</v>
      </c>
      <c r="U564" s="2" t="s">
        <v>117</v>
      </c>
      <c r="V564" s="2" t="s">
        <v>439</v>
      </c>
      <c r="W564" s="2" t="s">
        <v>103</v>
      </c>
      <c r="X564" s="2" t="s">
        <v>98</v>
      </c>
      <c r="Y564" s="2" t="s">
        <v>2169</v>
      </c>
      <c r="Z564" s="4">
        <v>275</v>
      </c>
      <c r="AA564" s="4">
        <f>=ROUNDDOWN(14.4736842105263,0)</f>
      </c>
      <c r="AB564" s="5">
        <v>19</v>
      </c>
      <c r="AC564" s="2" t="s">
        <v>323</v>
      </c>
      <c r="AD564" s="4">
        <v>73</v>
      </c>
      <c r="AE564" s="4">
        <v>803</v>
      </c>
      <c r="AF564" s="6">
        <v>65</v>
      </c>
      <c r="AG564" s="6">
        <v>48</v>
      </c>
      <c r="AH564" s="7">
        <v>1</v>
      </c>
      <c r="AI564" s="4"/>
      <c r="AJ564" s="4">
        <f>=ROUNDDOWN({0},0)</f>
      </c>
      <c r="AK564" s="5"/>
      <c r="AL564" s="2" t="s">
        <v>1729</v>
      </c>
      <c r="AM564" s="4">
        <v>16</v>
      </c>
      <c r="AN564" s="4">
        <v>162</v>
      </c>
      <c r="AO564" s="7">
        <v>0</v>
      </c>
      <c r="AP564" s="4">
        <v>1</v>
      </c>
      <c r="AQ564" s="8">
        <v>108.27</v>
      </c>
      <c r="AR564" s="4"/>
      <c r="AS564" s="8"/>
      <c r="AT564" s="7"/>
      <c r="AU564" s="7"/>
      <c r="AV564" s="4">
        <v>1</v>
      </c>
      <c r="AW564" s="8">
        <v>108.27</v>
      </c>
      <c r="AX564" s="4"/>
      <c r="AY564" s="8"/>
      <c r="AZ564" s="7"/>
      <c r="BA564" s="7"/>
      <c r="BB564" s="7">
        <v>1</v>
      </c>
      <c r="BC564" s="4">
        <v>2</v>
      </c>
      <c r="BD564" s="8">
        <v>216.53</v>
      </c>
      <c r="BE564" s="4">
        <v>11</v>
      </c>
      <c r="BF564" s="8">
        <v>1273.69</v>
      </c>
      <c r="BG564" s="7">
        <v>-0.8182</v>
      </c>
      <c r="BH564" s="7">
        <v>-0.83</v>
      </c>
      <c r="BI564" s="7">
        <v>0.5</v>
      </c>
      <c r="BJ564" s="4">
        <v>20</v>
      </c>
      <c r="BK564" s="8">
        <v>2823.16</v>
      </c>
      <c r="BL564" s="2" t="s">
        <v>3103</v>
      </c>
      <c r="BM564" s="7">
        <v>0.05</v>
      </c>
      <c r="BN564" s="7">
        <v>0.0384</v>
      </c>
      <c r="BO564" s="4">
        <v>1</v>
      </c>
      <c r="BP564" s="8">
        <v>108.27</v>
      </c>
      <c r="BQ564" s="4"/>
      <c r="BR564" s="8"/>
      <c r="BS564" s="7"/>
      <c r="BT564" s="7"/>
      <c r="BU564" s="2" t="s">
        <v>107</v>
      </c>
      <c r="BV564" s="2" t="s">
        <v>1355</v>
      </c>
      <c r="BW564" s="2" t="s">
        <v>3104</v>
      </c>
      <c r="BX564" s="2" t="s">
        <v>2362</v>
      </c>
      <c r="BY564" s="2" t="s">
        <v>110</v>
      </c>
      <c r="BZ564" s="2" t="s">
        <v>98</v>
      </c>
    </row>
    <row r="565">
      <c r="A565" s="2" t="s">
        <v>3105</v>
      </c>
      <c r="B565" s="2" t="s">
        <v>1345</v>
      </c>
      <c r="C565" s="2" t="s">
        <v>88</v>
      </c>
      <c r="D565" s="2" t="s">
        <v>3068</v>
      </c>
      <c r="E565" s="2" t="s">
        <v>3069</v>
      </c>
      <c r="F565" s="2" t="s">
        <v>3099</v>
      </c>
      <c r="G565" s="2" t="s">
        <v>3100</v>
      </c>
      <c r="H565" s="2" t="s">
        <v>3101</v>
      </c>
      <c r="I565" s="2" t="s">
        <v>3102</v>
      </c>
      <c r="J565" s="2" t="s">
        <v>93</v>
      </c>
      <c r="K565" s="2" t="s">
        <v>2139</v>
      </c>
      <c r="L565" s="3">
        <v>114</v>
      </c>
      <c r="M565" s="3">
        <v>119.7</v>
      </c>
      <c r="N565" s="3">
        <v>239</v>
      </c>
      <c r="O565" s="2" t="s">
        <v>95</v>
      </c>
      <c r="P565" s="2" t="s">
        <v>163</v>
      </c>
      <c r="Q565" s="2" t="s">
        <v>97</v>
      </c>
      <c r="R565" s="2" t="s">
        <v>98</v>
      </c>
      <c r="S565" s="2" t="s">
        <v>3106</v>
      </c>
      <c r="T565" s="2" t="s">
        <v>98</v>
      </c>
      <c r="U565" s="2" t="s">
        <v>98</v>
      </c>
      <c r="V565" s="2" t="s">
        <v>439</v>
      </c>
      <c r="W565" s="2" t="s">
        <v>103</v>
      </c>
      <c r="X565" s="2" t="s">
        <v>98</v>
      </c>
      <c r="Y565" s="2" t="s">
        <v>1473</v>
      </c>
      <c r="Z565" s="4">
        <v>248</v>
      </c>
      <c r="AA565" s="4">
        <f>=ROUNDDOWN(10.0813008130081,0)</f>
      </c>
      <c r="AB565" s="5">
        <v>24.6</v>
      </c>
      <c r="AC565" s="2" t="s">
        <v>323</v>
      </c>
      <c r="AD565" s="4">
        <v>311</v>
      </c>
      <c r="AE565" s="4">
        <v>1155</v>
      </c>
      <c r="AF565" s="6">
        <v>65</v>
      </c>
      <c r="AG565" s="6">
        <v>48</v>
      </c>
      <c r="AH565" s="7">
        <v>1</v>
      </c>
      <c r="AI565" s="4"/>
      <c r="AJ565" s="4">
        <f>=ROUNDDOWN({0},0)</f>
      </c>
      <c r="AK565" s="5"/>
      <c r="AL565" s="2" t="s">
        <v>98</v>
      </c>
      <c r="AM565" s="4"/>
      <c r="AN565" s="4"/>
      <c r="AO565" s="7">
        <v>0</v>
      </c>
      <c r="AP565" s="4">
        <v>1</v>
      </c>
      <c r="AQ565" s="8">
        <v>108.26</v>
      </c>
      <c r="AR565" s="4">
        <v>3</v>
      </c>
      <c r="AS565" s="8">
        <v>347.37</v>
      </c>
      <c r="AT565" s="7">
        <v>-0.6667</v>
      </c>
      <c r="AU565" s="7">
        <v>-0.6883</v>
      </c>
      <c r="AV565" s="4">
        <v>1</v>
      </c>
      <c r="AW565" s="8">
        <v>108.26</v>
      </c>
      <c r="AX565" s="4">
        <v>3</v>
      </c>
      <c r="AY565" s="8">
        <v>347.37</v>
      </c>
      <c r="AZ565" s="7">
        <v>-0.6667</v>
      </c>
      <c r="BA565" s="7">
        <v>-0.6883</v>
      </c>
      <c r="BB565" s="7">
        <v>1</v>
      </c>
      <c r="BC565" s="4" t="s">
        <v>98</v>
      </c>
      <c r="BD565" s="8" t="s">
        <v>98</v>
      </c>
      <c r="BE565" s="4" t="s">
        <v>98</v>
      </c>
      <c r="BF565" s="8" t="s">
        <v>98</v>
      </c>
      <c r="BG565" s="7" t="s">
        <v>98</v>
      </c>
      <c r="BH565" s="7" t="s">
        <v>98</v>
      </c>
      <c r="BI565" s="7">
        <v>0.5</v>
      </c>
      <c r="BJ565" s="4">
        <v>26</v>
      </c>
      <c r="BK565" s="8">
        <v>3417.34</v>
      </c>
      <c r="BL565" s="2" t="s">
        <v>3107</v>
      </c>
      <c r="BM565" s="7">
        <v>0.0385</v>
      </c>
      <c r="BN565" s="7">
        <v>0.0317</v>
      </c>
      <c r="BO565" s="4">
        <v>1</v>
      </c>
      <c r="BP565" s="8">
        <v>108.26</v>
      </c>
      <c r="BQ565" s="4">
        <v>3</v>
      </c>
      <c r="BR565" s="8">
        <v>347.37</v>
      </c>
      <c r="BS565" s="7">
        <v>-0.6667</v>
      </c>
      <c r="BT565" s="7">
        <v>-0.6883</v>
      </c>
      <c r="BU565" s="2" t="s">
        <v>107</v>
      </c>
      <c r="BV565" s="2" t="s">
        <v>1355</v>
      </c>
      <c r="BW565" s="2" t="s">
        <v>1454</v>
      </c>
      <c r="BX565" s="2" t="s">
        <v>3108</v>
      </c>
      <c r="BY565" s="2" t="s">
        <v>110</v>
      </c>
      <c r="BZ565" s="2" t="s">
        <v>98</v>
      </c>
    </row>
    <row r="566">
      <c r="A566" s="2" t="s">
        <v>3109</v>
      </c>
      <c r="B566" s="2" t="s">
        <v>1345</v>
      </c>
      <c r="C566" s="2" t="s">
        <v>88</v>
      </c>
      <c r="D566" s="2" t="s">
        <v>3068</v>
      </c>
      <c r="E566" s="2" t="s">
        <v>3069</v>
      </c>
      <c r="F566" s="2" t="s">
        <v>3099</v>
      </c>
      <c r="G566" s="2" t="s">
        <v>3100</v>
      </c>
      <c r="H566" s="2" t="s">
        <v>3101</v>
      </c>
      <c r="I566" s="2" t="s">
        <v>3102</v>
      </c>
      <c r="J566" s="2" t="s">
        <v>93</v>
      </c>
      <c r="K566" s="2" t="s">
        <v>277</v>
      </c>
      <c r="L566" s="3">
        <v>114</v>
      </c>
      <c r="M566" s="3">
        <v>119.7</v>
      </c>
      <c r="N566" s="3">
        <v>239</v>
      </c>
      <c r="O566" s="2" t="s">
        <v>95</v>
      </c>
      <c r="P566" s="2" t="s">
        <v>134</v>
      </c>
      <c r="Q566" s="2" t="s">
        <v>97</v>
      </c>
      <c r="R566" s="2" t="s">
        <v>98</v>
      </c>
      <c r="S566" s="2" t="s">
        <v>98</v>
      </c>
      <c r="T566" s="2" t="s">
        <v>98</v>
      </c>
      <c r="U566" s="2" t="s">
        <v>117</v>
      </c>
      <c r="V566" s="2" t="s">
        <v>439</v>
      </c>
      <c r="W566" s="2" t="s">
        <v>103</v>
      </c>
      <c r="X566" s="2" t="s">
        <v>314</v>
      </c>
      <c r="Y566" s="2" t="s">
        <v>1814</v>
      </c>
      <c r="Z566" s="4">
        <v>123</v>
      </c>
      <c r="AA566" s="4">
        <f>=ROUNDDOWN(15.375,0)</f>
      </c>
      <c r="AB566" s="5">
        <v>8</v>
      </c>
      <c r="AC566" s="2" t="s">
        <v>1396</v>
      </c>
      <c r="AD566" s="4">
        <v>120</v>
      </c>
      <c r="AE566" s="4">
        <v>220</v>
      </c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98</v>
      </c>
      <c r="AM566" s="4"/>
      <c r="AN566" s="4"/>
      <c r="AO566" s="7">
        <v>0</v>
      </c>
      <c r="AP566" s="4"/>
      <c r="AQ566" s="8"/>
      <c r="AR566" s="4">
        <v>3</v>
      </c>
      <c r="AS566" s="8">
        <v>347.37</v>
      </c>
      <c r="AT566" s="7">
        <v>-1</v>
      </c>
      <c r="AU566" s="7">
        <v>-1</v>
      </c>
      <c r="AV566" s="4"/>
      <c r="AW566" s="8"/>
      <c r="AX566" s="4">
        <v>3</v>
      </c>
      <c r="AY566" s="8">
        <v>347.37</v>
      </c>
      <c r="AZ566" s="7">
        <v>-1</v>
      </c>
      <c r="BA566" s="7">
        <v>-1</v>
      </c>
      <c r="BB566" s="7"/>
      <c r="BC566" s="4" t="s">
        <v>98</v>
      </c>
      <c r="BD566" s="8" t="s">
        <v>98</v>
      </c>
      <c r="BE566" s="4" t="s">
        <v>98</v>
      </c>
      <c r="BF566" s="8" t="s">
        <v>98</v>
      </c>
      <c r="BG566" s="7" t="s">
        <v>98</v>
      </c>
      <c r="BH566" s="7" t="s">
        <v>98</v>
      </c>
      <c r="BI566" s="7"/>
      <c r="BJ566" s="4">
        <v>5</v>
      </c>
      <c r="BK566" s="8">
        <v>658.01</v>
      </c>
      <c r="BL566" s="2" t="s">
        <v>2393</v>
      </c>
      <c r="BM566" s="7"/>
      <c r="BN566" s="7"/>
      <c r="BO566" s="4"/>
      <c r="BP566" s="8"/>
      <c r="BQ566" s="4">
        <v>3</v>
      </c>
      <c r="BR566" s="8">
        <v>347.37</v>
      </c>
      <c r="BS566" s="7">
        <v>-1</v>
      </c>
      <c r="BT566" s="7">
        <v>-1</v>
      </c>
      <c r="BU566" s="2" t="s">
        <v>1376</v>
      </c>
      <c r="BV566" s="2" t="s">
        <v>95</v>
      </c>
      <c r="BW566" s="2" t="s">
        <v>98</v>
      </c>
      <c r="BX566" s="2" t="s">
        <v>98</v>
      </c>
      <c r="BY566" s="2" t="s">
        <v>110</v>
      </c>
      <c r="BZ566" s="2" t="s">
        <v>98</v>
      </c>
    </row>
    <row r="567">
      <c r="A567" s="2" t="s">
        <v>3110</v>
      </c>
      <c r="B567" s="2" t="s">
        <v>1345</v>
      </c>
      <c r="C567" s="2" t="s">
        <v>88</v>
      </c>
      <c r="D567" s="2" t="s">
        <v>3068</v>
      </c>
      <c r="E567" s="2" t="s">
        <v>3069</v>
      </c>
      <c r="F567" s="2" t="s">
        <v>3099</v>
      </c>
      <c r="G567" s="2" t="s">
        <v>3100</v>
      </c>
      <c r="H567" s="2" t="s">
        <v>3101</v>
      </c>
      <c r="I567" s="2" t="s">
        <v>3102</v>
      </c>
      <c r="J567" s="2" t="s">
        <v>93</v>
      </c>
      <c r="K567" s="2" t="s">
        <v>133</v>
      </c>
      <c r="L567" s="3">
        <v>114</v>
      </c>
      <c r="M567" s="3">
        <v>119.7</v>
      </c>
      <c r="N567" s="3">
        <v>239</v>
      </c>
      <c r="O567" s="2" t="s">
        <v>95</v>
      </c>
      <c r="P567" s="2" t="s">
        <v>163</v>
      </c>
      <c r="Q567" s="2" t="s">
        <v>97</v>
      </c>
      <c r="R567" s="2" t="s">
        <v>98</v>
      </c>
      <c r="S567" s="2" t="s">
        <v>3111</v>
      </c>
      <c r="T567" s="2" t="s">
        <v>98</v>
      </c>
      <c r="U567" s="2" t="s">
        <v>98</v>
      </c>
      <c r="V567" s="2" t="s">
        <v>439</v>
      </c>
      <c r="W567" s="2" t="s">
        <v>103</v>
      </c>
      <c r="X567" s="2" t="s">
        <v>98</v>
      </c>
      <c r="Y567" s="2" t="s">
        <v>427</v>
      </c>
      <c r="Z567" s="4">
        <v>184</v>
      </c>
      <c r="AA567" s="4">
        <f>=ROUNDDOWN(7.24409448818898,0)</f>
      </c>
      <c r="AB567" s="5">
        <v>25.4</v>
      </c>
      <c r="AC567" s="2" t="s">
        <v>323</v>
      </c>
      <c r="AD567" s="4">
        <v>774</v>
      </c>
      <c r="AE567" s="4">
        <v>1435</v>
      </c>
      <c r="AF567" s="6">
        <v>65</v>
      </c>
      <c r="AG567" s="6">
        <v>48</v>
      </c>
      <c r="AH567" s="7">
        <v>1</v>
      </c>
      <c r="AI567" s="4"/>
      <c r="AJ567" s="4">
        <f>=ROUNDDOWN({0},0)</f>
      </c>
      <c r="AK567" s="5"/>
      <c r="AL567" s="2" t="s">
        <v>177</v>
      </c>
      <c r="AM567" s="4">
        <v>65</v>
      </c>
      <c r="AN567" s="4">
        <v>65</v>
      </c>
      <c r="AO567" s="7">
        <v>0</v>
      </c>
      <c r="AP567" s="4"/>
      <c r="AQ567" s="8"/>
      <c r="AR567" s="4">
        <v>5</v>
      </c>
      <c r="AS567" s="8">
        <v>578.95</v>
      </c>
      <c r="AT567" s="7">
        <v>-1</v>
      </c>
      <c r="AU567" s="7">
        <v>-1</v>
      </c>
      <c r="AV567" s="4"/>
      <c r="AW567" s="8"/>
      <c r="AX567" s="4">
        <v>5</v>
      </c>
      <c r="AY567" s="8">
        <v>578.95</v>
      </c>
      <c r="AZ567" s="7">
        <v>-1</v>
      </c>
      <c r="BA567" s="7">
        <v>-1</v>
      </c>
      <c r="BB567" s="7"/>
      <c r="BC567" s="4" t="s">
        <v>98</v>
      </c>
      <c r="BD567" s="8" t="s">
        <v>98</v>
      </c>
      <c r="BE567" s="4" t="s">
        <v>98</v>
      </c>
      <c r="BF567" s="8" t="s">
        <v>98</v>
      </c>
      <c r="BG567" s="7" t="s">
        <v>98</v>
      </c>
      <c r="BH567" s="7" t="s">
        <v>98</v>
      </c>
      <c r="BI567" s="7"/>
      <c r="BJ567" s="4">
        <v>24</v>
      </c>
      <c r="BK567" s="8">
        <v>3134.59</v>
      </c>
      <c r="BL567" s="2" t="s">
        <v>3112</v>
      </c>
      <c r="BM567" s="7"/>
      <c r="BN567" s="7"/>
      <c r="BO567" s="4"/>
      <c r="BP567" s="8"/>
      <c r="BQ567" s="4">
        <v>5</v>
      </c>
      <c r="BR567" s="8">
        <v>578.95</v>
      </c>
      <c r="BS567" s="7">
        <v>-1</v>
      </c>
      <c r="BT567" s="7">
        <v>-1</v>
      </c>
      <c r="BU567" s="2" t="s">
        <v>107</v>
      </c>
      <c r="BV567" s="2" t="s">
        <v>1355</v>
      </c>
      <c r="BW567" s="2" t="s">
        <v>1472</v>
      </c>
      <c r="BX567" s="2" t="s">
        <v>3113</v>
      </c>
      <c r="BY567" s="2" t="s">
        <v>110</v>
      </c>
      <c r="BZ567" s="2" t="s">
        <v>98</v>
      </c>
    </row>
    <row r="568">
      <c r="A568" s="2" t="s">
        <v>3114</v>
      </c>
      <c r="B568" s="2" t="s">
        <v>1345</v>
      </c>
      <c r="C568" s="2" t="s">
        <v>88</v>
      </c>
      <c r="D568" s="2" t="s">
        <v>3068</v>
      </c>
      <c r="E568" s="2" t="s">
        <v>3069</v>
      </c>
      <c r="F568" s="2" t="s">
        <v>3099</v>
      </c>
      <c r="G568" s="2" t="s">
        <v>3100</v>
      </c>
      <c r="H568" s="2" t="s">
        <v>3101</v>
      </c>
      <c r="I568" s="2" t="s">
        <v>3102</v>
      </c>
      <c r="J568" s="2" t="s">
        <v>93</v>
      </c>
      <c r="K568" s="2" t="s">
        <v>1378</v>
      </c>
      <c r="L568" s="3">
        <v>114</v>
      </c>
      <c r="M568" s="3">
        <v>119.7</v>
      </c>
      <c r="N568" s="3">
        <v>239</v>
      </c>
      <c r="O568" s="2" t="s">
        <v>95</v>
      </c>
      <c r="P568" s="2" t="s">
        <v>134</v>
      </c>
      <c r="Q568" s="2" t="s">
        <v>97</v>
      </c>
      <c r="R568" s="2" t="s">
        <v>98</v>
      </c>
      <c r="S568" s="2" t="s">
        <v>98</v>
      </c>
      <c r="T568" s="2" t="s">
        <v>98</v>
      </c>
      <c r="U568" s="2" t="s">
        <v>117</v>
      </c>
      <c r="V568" s="2" t="s">
        <v>118</v>
      </c>
      <c r="W568" s="2" t="s">
        <v>103</v>
      </c>
      <c r="X568" s="2" t="s">
        <v>98</v>
      </c>
      <c r="Y568" s="2" t="s">
        <v>1656</v>
      </c>
      <c r="Z568" s="4">
        <v>107</v>
      </c>
      <c r="AA568" s="4">
        <f>=ROUNDDOWN(7.64285714285714,0)</f>
      </c>
      <c r="AB568" s="5">
        <v>14</v>
      </c>
      <c r="AC568" s="2" t="s">
        <v>1729</v>
      </c>
      <c r="AD568" s="4">
        <v>25</v>
      </c>
      <c r="AE568" s="4">
        <v>352</v>
      </c>
      <c r="AF568" s="6">
        <v>65</v>
      </c>
      <c r="AG568" s="6">
        <v>48</v>
      </c>
      <c r="AH568" s="7">
        <v>1</v>
      </c>
      <c r="AI568" s="4"/>
      <c r="AJ568" s="4">
        <f>=ROUNDDOWN({0},0)</f>
      </c>
      <c r="AK568" s="5"/>
      <c r="AL568" s="2" t="s">
        <v>98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 t="s">
        <v>98</v>
      </c>
      <c r="BD568" s="8" t="s">
        <v>98</v>
      </c>
      <c r="BE568" s="4" t="s">
        <v>98</v>
      </c>
      <c r="BF568" s="8" t="s">
        <v>98</v>
      </c>
      <c r="BG568" s="7" t="s">
        <v>98</v>
      </c>
      <c r="BH568" s="7" t="s">
        <v>98</v>
      </c>
      <c r="BI568" s="7"/>
      <c r="BJ568" s="4">
        <v>13</v>
      </c>
      <c r="BK568" s="8">
        <v>1601.49</v>
      </c>
      <c r="BL568" s="2" t="s">
        <v>3115</v>
      </c>
      <c r="BM568" s="7"/>
      <c r="BN568" s="7"/>
      <c r="BO568" s="4"/>
      <c r="BP568" s="8"/>
      <c r="BQ568" s="4"/>
      <c r="BR568" s="8"/>
      <c r="BS568" s="7"/>
      <c r="BT568" s="7"/>
      <c r="BU568" s="2" t="s">
        <v>1376</v>
      </c>
      <c r="BV568" s="2" t="s">
        <v>95</v>
      </c>
      <c r="BW568" s="2" t="s">
        <v>98</v>
      </c>
      <c r="BX568" s="2" t="s">
        <v>98</v>
      </c>
      <c r="BY568" s="2" t="s">
        <v>110</v>
      </c>
      <c r="BZ568" s="2" t="s">
        <v>98</v>
      </c>
    </row>
    <row r="569">
      <c r="A569" s="2" t="s">
        <v>3116</v>
      </c>
      <c r="B569" s="2" t="s">
        <v>1345</v>
      </c>
      <c r="C569" s="2" t="s">
        <v>88</v>
      </c>
      <c r="D569" s="2" t="s">
        <v>3068</v>
      </c>
      <c r="E569" s="2" t="s">
        <v>3069</v>
      </c>
      <c r="F569" s="2" t="s">
        <v>3117</v>
      </c>
      <c r="G569" s="2" t="s">
        <v>3118</v>
      </c>
      <c r="H569" s="2" t="s">
        <v>3119</v>
      </c>
      <c r="I569" s="2" t="s">
        <v>3120</v>
      </c>
      <c r="J569" s="2" t="s">
        <v>93</v>
      </c>
      <c r="K569" s="2" t="s">
        <v>1439</v>
      </c>
      <c r="L569" s="3">
        <v>128.7</v>
      </c>
      <c r="M569" s="3">
        <v>135.14</v>
      </c>
      <c r="N569" s="3">
        <v>269</v>
      </c>
      <c r="O569" s="2" t="s">
        <v>95</v>
      </c>
      <c r="P569" s="2" t="s">
        <v>134</v>
      </c>
      <c r="Q569" s="2" t="s">
        <v>97</v>
      </c>
      <c r="R569" s="2" t="s">
        <v>98</v>
      </c>
      <c r="S569" s="2" t="s">
        <v>3121</v>
      </c>
      <c r="T569" s="2" t="s">
        <v>98</v>
      </c>
      <c r="U569" s="2" t="s">
        <v>98</v>
      </c>
      <c r="V569" s="2" t="s">
        <v>439</v>
      </c>
      <c r="W569" s="2" t="s">
        <v>102</v>
      </c>
      <c r="X569" s="2" t="s">
        <v>98</v>
      </c>
      <c r="Y569" s="2" t="s">
        <v>366</v>
      </c>
      <c r="Z569" s="4">
        <v>121</v>
      </c>
      <c r="AA569" s="4">
        <f>=ROUNDDOWN(9.30769230769231,0)</f>
      </c>
      <c r="AB569" s="5">
        <v>13</v>
      </c>
      <c r="AC569" s="2" t="s">
        <v>1396</v>
      </c>
      <c r="AD569" s="4">
        <v>150</v>
      </c>
      <c r="AE569" s="4">
        <v>310</v>
      </c>
      <c r="AF569" s="6">
        <v>65</v>
      </c>
      <c r="AG569" s="6">
        <v>48</v>
      </c>
      <c r="AH569" s="7">
        <v>1</v>
      </c>
      <c r="AI569" s="4"/>
      <c r="AJ569" s="4">
        <f>=ROUNDDOWN({0},0)</f>
      </c>
      <c r="AK569" s="5"/>
      <c r="AL569" s="2" t="s">
        <v>98</v>
      </c>
      <c r="AM569" s="4"/>
      <c r="AN569" s="4"/>
      <c r="AO569" s="7">
        <v>0</v>
      </c>
      <c r="AP569" s="4">
        <v>1</v>
      </c>
      <c r="AQ569" s="8">
        <v>126.79</v>
      </c>
      <c r="AR569" s="4"/>
      <c r="AS569" s="8"/>
      <c r="AT569" s="7"/>
      <c r="AU569" s="7"/>
      <c r="AV569" s="4">
        <v>1</v>
      </c>
      <c r="AW569" s="8">
        <v>126.79</v>
      </c>
      <c r="AX569" s="4"/>
      <c r="AY569" s="8"/>
      <c r="AZ569" s="7"/>
      <c r="BA569" s="7"/>
      <c r="BB569" s="7">
        <v>1</v>
      </c>
      <c r="BC569" s="4">
        <v>1</v>
      </c>
      <c r="BD569" s="8">
        <v>126.79</v>
      </c>
      <c r="BE569" s="4"/>
      <c r="BF569" s="8"/>
      <c r="BG569" s="7"/>
      <c r="BH569" s="7"/>
      <c r="BI569" s="7">
        <v>1</v>
      </c>
      <c r="BJ569" s="4">
        <v>9</v>
      </c>
      <c r="BK569" s="8">
        <v>1148.22</v>
      </c>
      <c r="BL569" s="2" t="s">
        <v>3122</v>
      </c>
      <c r="BM569" s="7">
        <v>0.1111</v>
      </c>
      <c r="BN569" s="7">
        <v>0.1104</v>
      </c>
      <c r="BO569" s="4">
        <v>1</v>
      </c>
      <c r="BP569" s="8">
        <v>126.79</v>
      </c>
      <c r="BQ569" s="4"/>
      <c r="BR569" s="8"/>
      <c r="BS569" s="7"/>
      <c r="BT569" s="7"/>
      <c r="BU569" s="2" t="s">
        <v>107</v>
      </c>
      <c r="BV569" s="2" t="s">
        <v>1355</v>
      </c>
      <c r="BW569" s="2" t="s">
        <v>1356</v>
      </c>
      <c r="BX569" s="2" t="s">
        <v>1600</v>
      </c>
      <c r="BY569" s="2" t="s">
        <v>110</v>
      </c>
      <c r="BZ569" s="2" t="s">
        <v>98</v>
      </c>
    </row>
    <row r="570">
      <c r="A570" s="2" t="s">
        <v>3123</v>
      </c>
      <c r="B570" s="2" t="s">
        <v>1345</v>
      </c>
      <c r="C570" s="2" t="s">
        <v>88</v>
      </c>
      <c r="D570" s="2" t="s">
        <v>3068</v>
      </c>
      <c r="E570" s="2" t="s">
        <v>3069</v>
      </c>
      <c r="F570" s="2" t="s">
        <v>3124</v>
      </c>
      <c r="G570" s="2" t="s">
        <v>3125</v>
      </c>
      <c r="H570" s="2" t="s">
        <v>3126</v>
      </c>
      <c r="I570" s="2" t="s">
        <v>3120</v>
      </c>
      <c r="J570" s="2" t="s">
        <v>93</v>
      </c>
      <c r="K570" s="2" t="s">
        <v>1404</v>
      </c>
      <c r="L570" s="3">
        <v>135.85</v>
      </c>
      <c r="M570" s="3">
        <v>142.64</v>
      </c>
      <c r="N570" s="3">
        <v>289</v>
      </c>
      <c r="O570" s="2" t="s">
        <v>95</v>
      </c>
      <c r="P570" s="2" t="s">
        <v>134</v>
      </c>
      <c r="Q570" s="2" t="s">
        <v>97</v>
      </c>
      <c r="R570" s="2" t="s">
        <v>98</v>
      </c>
      <c r="S570" s="2" t="s">
        <v>3127</v>
      </c>
      <c r="T570" s="2" t="s">
        <v>98</v>
      </c>
      <c r="U570" s="2" t="s">
        <v>98</v>
      </c>
      <c r="V570" s="2" t="s">
        <v>439</v>
      </c>
      <c r="W570" s="2" t="s">
        <v>314</v>
      </c>
      <c r="X570" s="2" t="s">
        <v>98</v>
      </c>
      <c r="Y570" s="2" t="s">
        <v>366</v>
      </c>
      <c r="Z570" s="4">
        <v>10</v>
      </c>
      <c r="AA570" s="4">
        <f>=ROUNDDOWN(0.819672131147541,0)</f>
      </c>
      <c r="AB570" s="5">
        <v>12.2</v>
      </c>
      <c r="AC570" s="2" t="s">
        <v>1729</v>
      </c>
      <c r="AD570" s="4">
        <v>120</v>
      </c>
      <c r="AE570" s="4">
        <v>217</v>
      </c>
      <c r="AF570" s="6">
        <v>65</v>
      </c>
      <c r="AG570" s="6">
        <v>48</v>
      </c>
      <c r="AH570" s="7">
        <v>1</v>
      </c>
      <c r="AI570" s="4"/>
      <c r="AJ570" s="4">
        <f>=ROUNDDOWN({0},0)</f>
      </c>
      <c r="AK570" s="5"/>
      <c r="AL570" s="2" t="s">
        <v>98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/>
      <c r="AW570" s="8"/>
      <c r="AX570" s="4"/>
      <c r="AY570" s="8"/>
      <c r="AZ570" s="7"/>
      <c r="BA570" s="7"/>
      <c r="BB570" s="7"/>
      <c r="BC570" s="4" t="s">
        <v>98</v>
      </c>
      <c r="BD570" s="8" t="s">
        <v>98</v>
      </c>
      <c r="BE570" s="4" t="s">
        <v>98</v>
      </c>
      <c r="BF570" s="8" t="s">
        <v>98</v>
      </c>
      <c r="BG570" s="7" t="s">
        <v>98</v>
      </c>
      <c r="BH570" s="7" t="s">
        <v>98</v>
      </c>
      <c r="BI570" s="7"/>
      <c r="BJ570" s="4">
        <v>11</v>
      </c>
      <c r="BK570" s="8">
        <v>1501.07</v>
      </c>
      <c r="BL570" s="2" t="s">
        <v>3128</v>
      </c>
      <c r="BM570" s="7"/>
      <c r="BN570" s="7"/>
      <c r="BO570" s="4"/>
      <c r="BP570" s="8"/>
      <c r="BQ570" s="4"/>
      <c r="BR570" s="8"/>
      <c r="BS570" s="7"/>
      <c r="BT570" s="7"/>
      <c r="BU570" s="2" t="s">
        <v>107</v>
      </c>
      <c r="BV570" s="2" t="s">
        <v>1355</v>
      </c>
      <c r="BW570" s="2" t="s">
        <v>497</v>
      </c>
      <c r="BX570" s="2" t="s">
        <v>2481</v>
      </c>
      <c r="BY570" s="2" t="s">
        <v>110</v>
      </c>
      <c r="BZ570" s="2" t="s">
        <v>98</v>
      </c>
    </row>
    <row r="571">
      <c r="A571" s="2" t="s">
        <v>3129</v>
      </c>
      <c r="B571" s="2" t="s">
        <v>1345</v>
      </c>
      <c r="C571" s="2" t="s">
        <v>88</v>
      </c>
      <c r="D571" s="2" t="s">
        <v>3068</v>
      </c>
      <c r="E571" s="2" t="s">
        <v>3069</v>
      </c>
      <c r="F571" s="2" t="s">
        <v>3124</v>
      </c>
      <c r="G571" s="2" t="s">
        <v>3125</v>
      </c>
      <c r="H571" s="2" t="s">
        <v>3126</v>
      </c>
      <c r="I571" s="2" t="s">
        <v>3120</v>
      </c>
      <c r="J571" s="2" t="s">
        <v>93</v>
      </c>
      <c r="K571" s="2" t="s">
        <v>127</v>
      </c>
      <c r="L571" s="3">
        <v>135.85</v>
      </c>
      <c r="M571" s="3">
        <v>142.64</v>
      </c>
      <c r="N571" s="3">
        <v>289</v>
      </c>
      <c r="O571" s="2" t="s">
        <v>95</v>
      </c>
      <c r="P571" s="2" t="s">
        <v>134</v>
      </c>
      <c r="Q571" s="2" t="s">
        <v>97</v>
      </c>
      <c r="R571" s="2" t="s">
        <v>98</v>
      </c>
      <c r="S571" s="2" t="s">
        <v>98</v>
      </c>
      <c r="T571" s="2" t="s">
        <v>98</v>
      </c>
      <c r="U571" s="2" t="s">
        <v>117</v>
      </c>
      <c r="V571" s="2" t="s">
        <v>439</v>
      </c>
      <c r="W571" s="2" t="s">
        <v>103</v>
      </c>
      <c r="X571" s="2" t="s">
        <v>98</v>
      </c>
      <c r="Y571" s="2" t="s">
        <v>1440</v>
      </c>
      <c r="Z571" s="4">
        <v>150</v>
      </c>
      <c r="AA571" s="4">
        <f>=ROUNDDOWN(8.82352941176471,0)</f>
      </c>
      <c r="AB571" s="5">
        <v>17</v>
      </c>
      <c r="AC571" s="2" t="s">
        <v>1396</v>
      </c>
      <c r="AD571" s="4">
        <v>144</v>
      </c>
      <c r="AE571" s="4">
        <v>342</v>
      </c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98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/>
      <c r="AW571" s="8"/>
      <c r="AX571" s="4"/>
      <c r="AY571" s="8"/>
      <c r="AZ571" s="7"/>
      <c r="BA571" s="7"/>
      <c r="BB571" s="7"/>
      <c r="BC571" s="4" t="s">
        <v>98</v>
      </c>
      <c r="BD571" s="8" t="s">
        <v>98</v>
      </c>
      <c r="BE571" s="4" t="s">
        <v>98</v>
      </c>
      <c r="BF571" s="8" t="s">
        <v>98</v>
      </c>
      <c r="BG571" s="7" t="s">
        <v>98</v>
      </c>
      <c r="BH571" s="7" t="s">
        <v>98</v>
      </c>
      <c r="BI571" s="7"/>
      <c r="BJ571" s="4">
        <v>17</v>
      </c>
      <c r="BK571" s="8">
        <v>2405.86</v>
      </c>
      <c r="BL571" s="2" t="s">
        <v>3130</v>
      </c>
      <c r="BM571" s="7"/>
      <c r="BN571" s="7"/>
      <c r="BO571" s="4"/>
      <c r="BP571" s="8"/>
      <c r="BQ571" s="4"/>
      <c r="BR571" s="8"/>
      <c r="BS571" s="7"/>
      <c r="BT571" s="7"/>
      <c r="BU571" s="2" t="s">
        <v>1376</v>
      </c>
      <c r="BV571" s="2" t="s">
        <v>95</v>
      </c>
      <c r="BW571" s="2" t="s">
        <v>98</v>
      </c>
      <c r="BX571" s="2" t="s">
        <v>98</v>
      </c>
      <c r="BY571" s="2" t="s">
        <v>110</v>
      </c>
      <c r="BZ571" s="2" t="s">
        <v>98</v>
      </c>
    </row>
    <row r="572">
      <c r="A572" s="2" t="s">
        <v>3131</v>
      </c>
      <c r="B572" s="2" t="s">
        <v>1345</v>
      </c>
      <c r="C572" s="2" t="s">
        <v>88</v>
      </c>
      <c r="D572" s="2" t="s">
        <v>3068</v>
      </c>
      <c r="E572" s="2" t="s">
        <v>3069</v>
      </c>
      <c r="F572" s="2" t="s">
        <v>3132</v>
      </c>
      <c r="G572" s="2" t="s">
        <v>3133</v>
      </c>
      <c r="H572" s="2" t="s">
        <v>3134</v>
      </c>
      <c r="I572" s="2" t="s">
        <v>3120</v>
      </c>
      <c r="J572" s="2" t="s">
        <v>93</v>
      </c>
      <c r="K572" s="2" t="s">
        <v>133</v>
      </c>
      <c r="L572" s="3">
        <v>187.91</v>
      </c>
      <c r="M572" s="3">
        <v>197.31</v>
      </c>
      <c r="N572" s="3">
        <v>399</v>
      </c>
      <c r="O572" s="2" t="s">
        <v>95</v>
      </c>
      <c r="P572" s="2" t="s">
        <v>134</v>
      </c>
      <c r="Q572" s="2" t="s">
        <v>97</v>
      </c>
      <c r="R572" s="2" t="s">
        <v>98</v>
      </c>
      <c r="S572" s="2" t="s">
        <v>3135</v>
      </c>
      <c r="T572" s="2" t="s">
        <v>98</v>
      </c>
      <c r="U572" s="2" t="s">
        <v>98</v>
      </c>
      <c r="V572" s="2" t="s">
        <v>439</v>
      </c>
      <c r="W572" s="2" t="s">
        <v>103</v>
      </c>
      <c r="X572" s="2" t="s">
        <v>98</v>
      </c>
      <c r="Y572" s="2" t="s">
        <v>1473</v>
      </c>
      <c r="Z572" s="4">
        <v>76</v>
      </c>
      <c r="AA572" s="4">
        <f>=ROUNDDOWN(40,0)</f>
      </c>
      <c r="AB572" s="5">
        <v>1.9</v>
      </c>
      <c r="AC572" s="2" t="s">
        <v>1396</v>
      </c>
      <c r="AD572" s="4">
        <v>62</v>
      </c>
      <c r="AE572" s="4">
        <v>62</v>
      </c>
      <c r="AF572" s="6">
        <v>65</v>
      </c>
      <c r="AG572" s="6">
        <v>48</v>
      </c>
      <c r="AH572" s="7">
        <v>1</v>
      </c>
      <c r="AI572" s="4"/>
      <c r="AJ572" s="4">
        <f>=ROUNDDOWN({0},0)</f>
      </c>
      <c r="AK572" s="5"/>
      <c r="AL572" s="2" t="s">
        <v>98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/>
      <c r="AW572" s="8"/>
      <c r="AX572" s="4"/>
      <c r="AY572" s="8"/>
      <c r="AZ572" s="7"/>
      <c r="BA572" s="7"/>
      <c r="BB572" s="7"/>
      <c r="BC572" s="4"/>
      <c r="BD572" s="8"/>
      <c r="BE572" s="4"/>
      <c r="BF572" s="8"/>
      <c r="BG572" s="7"/>
      <c r="BH572" s="7"/>
      <c r="BI572" s="7"/>
      <c r="BJ572" s="4">
        <v>3</v>
      </c>
      <c r="BK572" s="8">
        <v>589.2</v>
      </c>
      <c r="BL572" s="2" t="s">
        <v>3136</v>
      </c>
      <c r="BM572" s="7"/>
      <c r="BN572" s="7"/>
      <c r="BO572" s="4"/>
      <c r="BP572" s="8"/>
      <c r="BQ572" s="4"/>
      <c r="BR572" s="8"/>
      <c r="BS572" s="7"/>
      <c r="BT572" s="7"/>
      <c r="BU572" s="2" t="s">
        <v>107</v>
      </c>
      <c r="BV572" s="2" t="s">
        <v>1355</v>
      </c>
      <c r="BW572" s="2" t="s">
        <v>1454</v>
      </c>
      <c r="BX572" s="2" t="s">
        <v>916</v>
      </c>
      <c r="BY572" s="2" t="s">
        <v>110</v>
      </c>
      <c r="BZ572" s="2" t="s">
        <v>98</v>
      </c>
    </row>
    <row r="573">
      <c r="A573" s="2" t="s">
        <v>3137</v>
      </c>
      <c r="B573" s="2" t="s">
        <v>1345</v>
      </c>
      <c r="C573" s="2" t="s">
        <v>88</v>
      </c>
      <c r="D573" s="2" t="s">
        <v>3068</v>
      </c>
      <c r="E573" s="2" t="s">
        <v>3069</v>
      </c>
      <c r="F573" s="2" t="s">
        <v>3138</v>
      </c>
      <c r="G573" s="2" t="s">
        <v>3139</v>
      </c>
      <c r="H573" s="2" t="s">
        <v>3140</v>
      </c>
      <c r="I573" s="2" t="s">
        <v>3102</v>
      </c>
      <c r="J573" s="2" t="s">
        <v>93</v>
      </c>
      <c r="K573" s="2" t="s">
        <v>1439</v>
      </c>
      <c r="L573" s="3">
        <v>171</v>
      </c>
      <c r="M573" s="3">
        <v>179.55</v>
      </c>
      <c r="N573" s="3">
        <v>359</v>
      </c>
      <c r="O573" s="2" t="s">
        <v>95</v>
      </c>
      <c r="P573" s="2" t="s">
        <v>134</v>
      </c>
      <c r="Q573" s="2" t="s">
        <v>97</v>
      </c>
      <c r="R573" s="2" t="s">
        <v>98</v>
      </c>
      <c r="S573" s="2" t="s">
        <v>98</v>
      </c>
      <c r="T573" s="2" t="s">
        <v>98</v>
      </c>
      <c r="U573" s="2" t="s">
        <v>117</v>
      </c>
      <c r="V573" s="2" t="s">
        <v>439</v>
      </c>
      <c r="W573" s="2" t="s">
        <v>103</v>
      </c>
      <c r="X573" s="2" t="s">
        <v>314</v>
      </c>
      <c r="Y573" s="2" t="s">
        <v>3141</v>
      </c>
      <c r="Z573" s="4">
        <v>144</v>
      </c>
      <c r="AA573" s="4">
        <f>=ROUNDDOWN(18,0)</f>
      </c>
      <c r="AB573" s="5">
        <v>8</v>
      </c>
      <c r="AC573" s="2" t="s">
        <v>1525</v>
      </c>
      <c r="AD573" s="4">
        <v>150</v>
      </c>
      <c r="AE573" s="4">
        <v>150</v>
      </c>
      <c r="AF573" s="6">
        <v>65</v>
      </c>
      <c r="AG573" s="6">
        <v>48</v>
      </c>
      <c r="AH573" s="7">
        <v>1</v>
      </c>
      <c r="AI573" s="4"/>
      <c r="AJ573" s="4">
        <f>=ROUNDDOWN({0},0)</f>
      </c>
      <c r="AK573" s="5"/>
      <c r="AL573" s="2" t="s">
        <v>98</v>
      </c>
      <c r="AM573" s="4"/>
      <c r="AN573" s="4"/>
      <c r="AO573" s="7">
        <v>0</v>
      </c>
      <c r="AP573" s="4"/>
      <c r="AQ573" s="8"/>
      <c r="AR573" s="4">
        <v>1</v>
      </c>
      <c r="AS573" s="8">
        <v>189.48</v>
      </c>
      <c r="AT573" s="7">
        <v>-1</v>
      </c>
      <c r="AU573" s="7">
        <v>-1</v>
      </c>
      <c r="AV573" s="4"/>
      <c r="AW573" s="8"/>
      <c r="AX573" s="4">
        <v>1</v>
      </c>
      <c r="AY573" s="8">
        <v>189.48</v>
      </c>
      <c r="AZ573" s="7">
        <v>-1</v>
      </c>
      <c r="BA573" s="7">
        <v>-1</v>
      </c>
      <c r="BB573" s="7"/>
      <c r="BC573" s="4"/>
      <c r="BD573" s="8"/>
      <c r="BE573" s="4">
        <v>1</v>
      </c>
      <c r="BF573" s="8">
        <v>189.48</v>
      </c>
      <c r="BG573" s="7">
        <v>-1</v>
      </c>
      <c r="BH573" s="7">
        <v>-1</v>
      </c>
      <c r="BI573" s="7"/>
      <c r="BJ573" s="4">
        <v>4</v>
      </c>
      <c r="BK573" s="8">
        <v>759.72</v>
      </c>
      <c r="BL573" s="2" t="s">
        <v>3142</v>
      </c>
      <c r="BM573" s="7"/>
      <c r="BN573" s="7"/>
      <c r="BO573" s="4"/>
      <c r="BP573" s="8"/>
      <c r="BQ573" s="4">
        <v>1</v>
      </c>
      <c r="BR573" s="8">
        <v>189.48</v>
      </c>
      <c r="BS573" s="7">
        <v>-1</v>
      </c>
      <c r="BT573" s="7">
        <v>-1</v>
      </c>
      <c r="BU573" s="2" t="s">
        <v>1376</v>
      </c>
      <c r="BV573" s="2" t="s">
        <v>95</v>
      </c>
      <c r="BW573" s="2" t="s">
        <v>98</v>
      </c>
      <c r="BX573" s="2" t="s">
        <v>98</v>
      </c>
      <c r="BY573" s="2" t="s">
        <v>110</v>
      </c>
      <c r="BZ573" s="2" t="s">
        <v>98</v>
      </c>
    </row>
    <row r="574">
      <c r="A574" s="2" t="s">
        <v>3143</v>
      </c>
      <c r="B574" s="2" t="s">
        <v>1345</v>
      </c>
      <c r="C574" s="2" t="s">
        <v>88</v>
      </c>
      <c r="D574" s="2" t="s">
        <v>3068</v>
      </c>
      <c r="E574" s="2" t="s">
        <v>3069</v>
      </c>
      <c r="F574" s="2" t="s">
        <v>3144</v>
      </c>
      <c r="G574" s="2" t="s">
        <v>3145</v>
      </c>
      <c r="H574" s="2" t="s">
        <v>3146</v>
      </c>
      <c r="I574" s="2" t="s">
        <v>3147</v>
      </c>
      <c r="J574" s="2" t="s">
        <v>93</v>
      </c>
      <c r="K574" s="2" t="s">
        <v>3148</v>
      </c>
      <c r="L574" s="3">
        <v>108</v>
      </c>
      <c r="M574" s="3">
        <v>113.4</v>
      </c>
      <c r="N574" s="3">
        <v>229</v>
      </c>
      <c r="O574" s="2" t="s">
        <v>95</v>
      </c>
      <c r="P574" s="2" t="s">
        <v>134</v>
      </c>
      <c r="Q574" s="2" t="s">
        <v>97</v>
      </c>
      <c r="R574" s="2" t="s">
        <v>98</v>
      </c>
      <c r="S574" s="2" t="s">
        <v>98</v>
      </c>
      <c r="T574" s="2" t="s">
        <v>98</v>
      </c>
      <c r="U574" s="2" t="s">
        <v>117</v>
      </c>
      <c r="V574" s="2" t="s">
        <v>439</v>
      </c>
      <c r="W574" s="2" t="s">
        <v>963</v>
      </c>
      <c r="X574" s="2" t="s">
        <v>102</v>
      </c>
      <c r="Y574" s="2" t="s">
        <v>2565</v>
      </c>
      <c r="Z574" s="4">
        <v>204</v>
      </c>
      <c r="AA574" s="4">
        <f>=ROUNDDOWN(29.1428571428571,0)</f>
      </c>
      <c r="AB574" s="5">
        <v>7</v>
      </c>
      <c r="AC574" s="2" t="s">
        <v>214</v>
      </c>
      <c r="AD574" s="4">
        <v>220</v>
      </c>
      <c r="AE574" s="4">
        <v>220</v>
      </c>
      <c r="AF574" s="6">
        <v>67</v>
      </c>
      <c r="AG574" s="6">
        <v>50</v>
      </c>
      <c r="AH574" s="7">
        <v>1</v>
      </c>
      <c r="AI574" s="4"/>
      <c r="AJ574" s="4">
        <f>=ROUNDDOWN({0},0)</f>
      </c>
      <c r="AK574" s="5"/>
      <c r="AL574" s="2" t="s">
        <v>98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/>
      <c r="BD574" s="8"/>
      <c r="BE574" s="4"/>
      <c r="BF574" s="8"/>
      <c r="BG574" s="7"/>
      <c r="BH574" s="7"/>
      <c r="BI574" s="7"/>
      <c r="BJ574" s="4">
        <v>7</v>
      </c>
      <c r="BK574" s="8">
        <v>844.72</v>
      </c>
      <c r="BL574" s="2" t="s">
        <v>3149</v>
      </c>
      <c r="BM574" s="7"/>
      <c r="BN574" s="7"/>
      <c r="BO574" s="4"/>
      <c r="BP574" s="8"/>
      <c r="BQ574" s="4"/>
      <c r="BR574" s="8"/>
      <c r="BS574" s="7"/>
      <c r="BT574" s="7"/>
      <c r="BU574" s="2" t="s">
        <v>1376</v>
      </c>
      <c r="BV574" s="2" t="s">
        <v>95</v>
      </c>
      <c r="BW574" s="2" t="s">
        <v>98</v>
      </c>
      <c r="BX574" s="2" t="s">
        <v>98</v>
      </c>
      <c r="BY574" s="2" t="s">
        <v>110</v>
      </c>
      <c r="BZ574" s="2" t="s">
        <v>98</v>
      </c>
    </row>
    <row r="575">
      <c r="A575" s="2" t="s">
        <v>3150</v>
      </c>
      <c r="B575" s="2" t="s">
        <v>1345</v>
      </c>
      <c r="C575" s="2" t="s">
        <v>88</v>
      </c>
      <c r="D575" s="2" t="s">
        <v>3068</v>
      </c>
      <c r="E575" s="2" t="s">
        <v>3069</v>
      </c>
      <c r="F575" s="2" t="s">
        <v>3151</v>
      </c>
      <c r="G575" s="2" t="s">
        <v>3152</v>
      </c>
      <c r="H575" s="2" t="s">
        <v>3153</v>
      </c>
      <c r="I575" s="2" t="s">
        <v>3154</v>
      </c>
      <c r="J575" s="2" t="s">
        <v>93</v>
      </c>
      <c r="K575" s="2" t="s">
        <v>133</v>
      </c>
      <c r="L575" s="3">
        <v>141.28</v>
      </c>
      <c r="M575" s="3">
        <v>148.34</v>
      </c>
      <c r="N575" s="3">
        <v>299</v>
      </c>
      <c r="O575" s="2" t="s">
        <v>95</v>
      </c>
      <c r="P575" s="2" t="s">
        <v>134</v>
      </c>
      <c r="Q575" s="2" t="s">
        <v>97</v>
      </c>
      <c r="R575" s="2" t="s">
        <v>98</v>
      </c>
      <c r="S575" s="2" t="s">
        <v>3155</v>
      </c>
      <c r="T575" s="2" t="s">
        <v>98</v>
      </c>
      <c r="U575" s="2" t="s">
        <v>117</v>
      </c>
      <c r="V575" s="2" t="s">
        <v>439</v>
      </c>
      <c r="W575" s="2" t="s">
        <v>102</v>
      </c>
      <c r="X575" s="2" t="s">
        <v>103</v>
      </c>
      <c r="Y575" s="2" t="s">
        <v>3156</v>
      </c>
      <c r="Z575" s="4">
        <v>109</v>
      </c>
      <c r="AA575" s="4">
        <f>=ROUNDDOWN(21.8,0)</f>
      </c>
      <c r="AB575" s="5">
        <v>5</v>
      </c>
      <c r="AC575" s="2" t="s">
        <v>1425</v>
      </c>
      <c r="AD575" s="4">
        <v>95</v>
      </c>
      <c r="AE575" s="4">
        <v>95</v>
      </c>
      <c r="AF575" s="6">
        <v>65</v>
      </c>
      <c r="AG575" s="6">
        <v>48</v>
      </c>
      <c r="AH575" s="7">
        <v>1</v>
      </c>
      <c r="AI575" s="4"/>
      <c r="AJ575" s="4">
        <f>=ROUNDDOWN({0},0)</f>
      </c>
      <c r="AK575" s="5"/>
      <c r="AL575" s="2" t="s">
        <v>98</v>
      </c>
      <c r="AM575" s="4"/>
      <c r="AN575" s="4"/>
      <c r="AO575" s="7">
        <v>0</v>
      </c>
      <c r="AP575" s="4"/>
      <c r="AQ575" s="8"/>
      <c r="AR575" s="4">
        <v>1</v>
      </c>
      <c r="AS575" s="8">
        <v>135.34</v>
      </c>
      <c r="AT575" s="7">
        <v>-1</v>
      </c>
      <c r="AU575" s="7">
        <v>-1</v>
      </c>
      <c r="AV575" s="4"/>
      <c r="AW575" s="8"/>
      <c r="AX575" s="4">
        <v>1</v>
      </c>
      <c r="AY575" s="8">
        <v>135.34</v>
      </c>
      <c r="AZ575" s="7">
        <v>-1</v>
      </c>
      <c r="BA575" s="7">
        <v>-1</v>
      </c>
      <c r="BB575" s="7"/>
      <c r="BC575" s="4"/>
      <c r="BD575" s="8"/>
      <c r="BE575" s="4">
        <v>1</v>
      </c>
      <c r="BF575" s="8">
        <v>135.34</v>
      </c>
      <c r="BG575" s="7">
        <v>-1</v>
      </c>
      <c r="BH575" s="7">
        <v>-1</v>
      </c>
      <c r="BI575" s="7"/>
      <c r="BJ575" s="4">
        <v>2</v>
      </c>
      <c r="BK575" s="8">
        <v>288.47</v>
      </c>
      <c r="BL575" s="2" t="s">
        <v>3157</v>
      </c>
      <c r="BM575" s="7"/>
      <c r="BN575" s="7"/>
      <c r="BO575" s="4"/>
      <c r="BP575" s="8"/>
      <c r="BQ575" s="4">
        <v>1</v>
      </c>
      <c r="BR575" s="8">
        <v>135.34</v>
      </c>
      <c r="BS575" s="7">
        <v>-1</v>
      </c>
      <c r="BT575" s="7">
        <v>-1</v>
      </c>
      <c r="BU575" s="2" t="s">
        <v>107</v>
      </c>
      <c r="BV575" s="2" t="s">
        <v>1355</v>
      </c>
      <c r="BW575" s="2" t="s">
        <v>1512</v>
      </c>
      <c r="BX575" s="2" t="s">
        <v>3158</v>
      </c>
      <c r="BY575" s="2" t="s">
        <v>110</v>
      </c>
      <c r="BZ575" s="2" t="s">
        <v>98</v>
      </c>
    </row>
    <row r="576">
      <c r="A576" s="2" t="s">
        <v>3159</v>
      </c>
      <c r="B576" s="2" t="s">
        <v>1345</v>
      </c>
      <c r="C576" s="2" t="s">
        <v>88</v>
      </c>
      <c r="D576" s="2" t="s">
        <v>3068</v>
      </c>
      <c r="E576" s="2" t="s">
        <v>3069</v>
      </c>
      <c r="F576" s="2" t="s">
        <v>3160</v>
      </c>
      <c r="G576" s="2" t="s">
        <v>2990</v>
      </c>
      <c r="H576" s="2" t="s">
        <v>3161</v>
      </c>
      <c r="I576" s="2" t="s">
        <v>3162</v>
      </c>
      <c r="J576" s="2" t="s">
        <v>93</v>
      </c>
      <c r="K576" s="2" t="s">
        <v>1052</v>
      </c>
      <c r="L576" s="3">
        <v>144.5</v>
      </c>
      <c r="M576" s="3">
        <v>151.72</v>
      </c>
      <c r="N576" s="3">
        <v>299</v>
      </c>
      <c r="O576" s="2" t="s">
        <v>95</v>
      </c>
      <c r="P576" s="2" t="s">
        <v>295</v>
      </c>
      <c r="Q576" s="2" t="s">
        <v>97</v>
      </c>
      <c r="R576" s="2" t="s">
        <v>98</v>
      </c>
      <c r="S576" s="2" t="s">
        <v>98</v>
      </c>
      <c r="T576" s="2" t="s">
        <v>98</v>
      </c>
      <c r="U576" s="2" t="s">
        <v>117</v>
      </c>
      <c r="V576" s="2" t="s">
        <v>296</v>
      </c>
      <c r="W576" s="2" t="s">
        <v>102</v>
      </c>
      <c r="X576" s="2" t="s">
        <v>119</v>
      </c>
      <c r="Y576" s="2" t="s">
        <v>2726</v>
      </c>
      <c r="Z576" s="4">
        <v>98</v>
      </c>
      <c r="AA576" s="4">
        <f>=ROUNDDOWN(24.5,0)</f>
      </c>
      <c r="AB576" s="5">
        <v>4</v>
      </c>
      <c r="AC576" s="2" t="s">
        <v>214</v>
      </c>
      <c r="AD576" s="4">
        <v>100</v>
      </c>
      <c r="AE576" s="4">
        <v>100</v>
      </c>
      <c r="AF576" s="6">
        <v>74</v>
      </c>
      <c r="AG576" s="6"/>
      <c r="AH576" s="7">
        <v>1</v>
      </c>
      <c r="AI576" s="4"/>
      <c r="AJ576" s="4">
        <f>=ROUNDDOWN({0},0)</f>
      </c>
      <c r="AK576" s="5"/>
      <c r="AL576" s="2" t="s">
        <v>98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/>
      <c r="AW576" s="8"/>
      <c r="AX576" s="4"/>
      <c r="AY576" s="8"/>
      <c r="AZ576" s="7"/>
      <c r="BA576" s="7"/>
      <c r="BB576" s="7"/>
      <c r="BC576" s="4"/>
      <c r="BD576" s="8"/>
      <c r="BE576" s="4"/>
      <c r="BF576" s="8"/>
      <c r="BG576" s="7"/>
      <c r="BH576" s="7"/>
      <c r="BI576" s="7"/>
      <c r="BJ576" s="4"/>
      <c r="BK576" s="8"/>
      <c r="BL576" s="2" t="s">
        <v>98</v>
      </c>
      <c r="BM576" s="7"/>
      <c r="BN576" s="7"/>
      <c r="BO576" s="4"/>
      <c r="BP576" s="8"/>
      <c r="BQ576" s="4"/>
      <c r="BR576" s="8"/>
      <c r="BS576" s="7"/>
      <c r="BT576" s="7"/>
      <c r="BU576" s="2" t="s">
        <v>1376</v>
      </c>
      <c r="BV576" s="2" t="s">
        <v>95</v>
      </c>
      <c r="BW576" s="2" t="s">
        <v>98</v>
      </c>
      <c r="BX576" s="2" t="s">
        <v>98</v>
      </c>
      <c r="BY576" s="2" t="s">
        <v>110</v>
      </c>
      <c r="BZ576" s="2" t="s">
        <v>98</v>
      </c>
    </row>
    <row r="577">
      <c r="A577" s="2" t="s">
        <v>3163</v>
      </c>
      <c r="B577" s="2" t="s">
        <v>1345</v>
      </c>
      <c r="C577" s="2" t="s">
        <v>88</v>
      </c>
      <c r="D577" s="2" t="s">
        <v>3068</v>
      </c>
      <c r="E577" s="2" t="s">
        <v>3069</v>
      </c>
      <c r="F577" s="2" t="s">
        <v>3164</v>
      </c>
      <c r="G577" s="2" t="s">
        <v>3165</v>
      </c>
      <c r="H577" s="2" t="s">
        <v>3166</v>
      </c>
      <c r="I577" s="2" t="s">
        <v>3073</v>
      </c>
      <c r="J577" s="2" t="s">
        <v>93</v>
      </c>
      <c r="K577" s="2" t="s">
        <v>277</v>
      </c>
      <c r="L577" s="3">
        <v>85.5</v>
      </c>
      <c r="M577" s="3">
        <v>89.78</v>
      </c>
      <c r="N577" s="3">
        <v>179</v>
      </c>
      <c r="O577" s="2" t="s">
        <v>95</v>
      </c>
      <c r="P577" s="2" t="s">
        <v>134</v>
      </c>
      <c r="Q577" s="2" t="s">
        <v>97</v>
      </c>
      <c r="R577" s="2" t="s">
        <v>98</v>
      </c>
      <c r="S577" s="2" t="s">
        <v>3167</v>
      </c>
      <c r="T577" s="2" t="s">
        <v>98</v>
      </c>
      <c r="U577" s="2" t="s">
        <v>98</v>
      </c>
      <c r="V577" s="2" t="s">
        <v>439</v>
      </c>
      <c r="W577" s="2" t="s">
        <v>102</v>
      </c>
      <c r="X577" s="2" t="s">
        <v>98</v>
      </c>
      <c r="Y577" s="2" t="s">
        <v>366</v>
      </c>
      <c r="Z577" s="4">
        <v>41</v>
      </c>
      <c r="AA577" s="4">
        <f>=ROUNDDOWN(9.53488372093023,0)</f>
      </c>
      <c r="AB577" s="5">
        <v>4.3</v>
      </c>
      <c r="AC577" s="2" t="s">
        <v>3168</v>
      </c>
      <c r="AD577" s="4">
        <v>133</v>
      </c>
      <c r="AE577" s="4">
        <v>243</v>
      </c>
      <c r="AF577" s="6">
        <v>76</v>
      </c>
      <c r="AG577" s="6">
        <v>67</v>
      </c>
      <c r="AH577" s="7">
        <v>1</v>
      </c>
      <c r="AI577" s="4"/>
      <c r="AJ577" s="4">
        <f>=ROUNDDOWN({0},0)</f>
      </c>
      <c r="AK577" s="5"/>
      <c r="AL577" s="2" t="s">
        <v>98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/>
      <c r="AW577" s="8"/>
      <c r="AX577" s="4"/>
      <c r="AY577" s="8"/>
      <c r="AZ577" s="7"/>
      <c r="BA577" s="7"/>
      <c r="BB577" s="7"/>
      <c r="BC577" s="4" t="s">
        <v>98</v>
      </c>
      <c r="BD577" s="8" t="s">
        <v>98</v>
      </c>
      <c r="BE577" s="4">
        <v>4</v>
      </c>
      <c r="BF577" s="8">
        <v>358.04</v>
      </c>
      <c r="BG577" s="7" t="s">
        <v>98</v>
      </c>
      <c r="BH577" s="7" t="s">
        <v>98</v>
      </c>
      <c r="BI577" s="7"/>
      <c r="BJ577" s="4">
        <v>4</v>
      </c>
      <c r="BK577" s="8">
        <v>416.73</v>
      </c>
      <c r="BL577" s="2" t="s">
        <v>3169</v>
      </c>
      <c r="BM577" s="7"/>
      <c r="BN577" s="7"/>
      <c r="BO577" s="4"/>
      <c r="BP577" s="8"/>
      <c r="BQ577" s="4"/>
      <c r="BR577" s="8"/>
      <c r="BS577" s="7"/>
      <c r="BT577" s="7"/>
      <c r="BU577" s="2" t="s">
        <v>107</v>
      </c>
      <c r="BV577" s="2" t="s">
        <v>1355</v>
      </c>
      <c r="BW577" s="2" t="s">
        <v>1356</v>
      </c>
      <c r="BX577" s="2" t="s">
        <v>1417</v>
      </c>
      <c r="BY577" s="2" t="s">
        <v>110</v>
      </c>
      <c r="BZ577" s="2" t="s">
        <v>98</v>
      </c>
    </row>
    <row r="578">
      <c r="A578" s="2" t="s">
        <v>3170</v>
      </c>
      <c r="B578" s="2" t="s">
        <v>1345</v>
      </c>
      <c r="C578" s="2" t="s">
        <v>88</v>
      </c>
      <c r="D578" s="2" t="s">
        <v>3068</v>
      </c>
      <c r="E578" s="2" t="s">
        <v>3069</v>
      </c>
      <c r="F578" s="2" t="s">
        <v>3164</v>
      </c>
      <c r="G578" s="2" t="s">
        <v>3165</v>
      </c>
      <c r="H578" s="2" t="s">
        <v>3166</v>
      </c>
      <c r="I578" s="2" t="s">
        <v>3073</v>
      </c>
      <c r="J578" s="2" t="s">
        <v>93</v>
      </c>
      <c r="K578" s="2" t="s">
        <v>1419</v>
      </c>
      <c r="L578" s="3">
        <v>85.5</v>
      </c>
      <c r="M578" s="3">
        <v>89.78</v>
      </c>
      <c r="N578" s="3">
        <v>179</v>
      </c>
      <c r="O578" s="2" t="s">
        <v>95</v>
      </c>
      <c r="P578" s="2" t="s">
        <v>134</v>
      </c>
      <c r="Q578" s="2" t="s">
        <v>97</v>
      </c>
      <c r="R578" s="2" t="s">
        <v>98</v>
      </c>
      <c r="S578" s="2" t="s">
        <v>3171</v>
      </c>
      <c r="T578" s="2" t="s">
        <v>98</v>
      </c>
      <c r="U578" s="2" t="s">
        <v>98</v>
      </c>
      <c r="V578" s="2" t="s">
        <v>439</v>
      </c>
      <c r="W578" s="2" t="s">
        <v>102</v>
      </c>
      <c r="X578" s="2" t="s">
        <v>98</v>
      </c>
      <c r="Y578" s="2" t="s">
        <v>366</v>
      </c>
      <c r="Z578" s="4">
        <v>61</v>
      </c>
      <c r="AA578" s="4">
        <f>=ROUNDDOWN(5.08333333333333,0)</f>
      </c>
      <c r="AB578" s="5">
        <v>12</v>
      </c>
      <c r="AC578" s="2" t="s">
        <v>3078</v>
      </c>
      <c r="AD578" s="4">
        <v>60</v>
      </c>
      <c r="AE578" s="4">
        <v>230</v>
      </c>
      <c r="AF578" s="6">
        <v>76</v>
      </c>
      <c r="AG578" s="6">
        <v>67</v>
      </c>
      <c r="AH578" s="7">
        <v>1</v>
      </c>
      <c r="AI578" s="4"/>
      <c r="AJ578" s="4">
        <f>=ROUNDDOWN({0},0)</f>
      </c>
      <c r="AK578" s="5"/>
      <c r="AL578" s="2" t="s">
        <v>98</v>
      </c>
      <c r="AM578" s="4"/>
      <c r="AN578" s="4"/>
      <c r="AO578" s="7">
        <v>0</v>
      </c>
      <c r="AP578" s="4"/>
      <c r="AQ578" s="8"/>
      <c r="AR578" s="4">
        <v>3</v>
      </c>
      <c r="AS578" s="8">
        <v>268.53</v>
      </c>
      <c r="AT578" s="7">
        <v>-1</v>
      </c>
      <c r="AU578" s="7">
        <v>-1</v>
      </c>
      <c r="AV578" s="4"/>
      <c r="AW578" s="8"/>
      <c r="AX578" s="4">
        <v>3</v>
      </c>
      <c r="AY578" s="8">
        <v>268.53</v>
      </c>
      <c r="AZ578" s="7">
        <v>-1</v>
      </c>
      <c r="BA578" s="7">
        <v>-1</v>
      </c>
      <c r="BB578" s="7"/>
      <c r="BC578" s="4" t="s">
        <v>98</v>
      </c>
      <c r="BD578" s="8" t="s">
        <v>98</v>
      </c>
      <c r="BE578" s="4" t="s">
        <v>98</v>
      </c>
      <c r="BF578" s="8" t="s">
        <v>98</v>
      </c>
      <c r="BG578" s="7" t="s">
        <v>98</v>
      </c>
      <c r="BH578" s="7" t="s">
        <v>98</v>
      </c>
      <c r="BI578" s="7"/>
      <c r="BJ578" s="4">
        <v>4</v>
      </c>
      <c r="BK578" s="8">
        <v>333.24</v>
      </c>
      <c r="BL578" s="2" t="s">
        <v>3172</v>
      </c>
      <c r="BM578" s="7"/>
      <c r="BN578" s="7"/>
      <c r="BO578" s="4"/>
      <c r="BP578" s="8"/>
      <c r="BQ578" s="4">
        <v>3</v>
      </c>
      <c r="BR578" s="8">
        <v>268.53</v>
      </c>
      <c r="BS578" s="7">
        <v>-1</v>
      </c>
      <c r="BT578" s="7">
        <v>-1</v>
      </c>
      <c r="BU578" s="2" t="s">
        <v>107</v>
      </c>
      <c r="BV578" s="2" t="s">
        <v>1355</v>
      </c>
      <c r="BW578" s="2" t="s">
        <v>1356</v>
      </c>
      <c r="BX578" s="2" t="s">
        <v>3173</v>
      </c>
      <c r="BY578" s="2" t="s">
        <v>110</v>
      </c>
      <c r="BZ578" s="2" t="s">
        <v>98</v>
      </c>
    </row>
    <row r="579">
      <c r="A579" s="2" t="s">
        <v>3174</v>
      </c>
      <c r="B579" s="2" t="s">
        <v>1345</v>
      </c>
      <c r="C579" s="2" t="s">
        <v>88</v>
      </c>
      <c r="D579" s="2" t="s">
        <v>3068</v>
      </c>
      <c r="E579" s="2" t="s">
        <v>3069</v>
      </c>
      <c r="F579" s="2" t="s">
        <v>3164</v>
      </c>
      <c r="G579" s="2" t="s">
        <v>3165</v>
      </c>
      <c r="H579" s="2" t="s">
        <v>3166</v>
      </c>
      <c r="I579" s="2" t="s">
        <v>3073</v>
      </c>
      <c r="J579" s="2" t="s">
        <v>93</v>
      </c>
      <c r="K579" s="2" t="s">
        <v>133</v>
      </c>
      <c r="L579" s="3">
        <v>85.5</v>
      </c>
      <c r="M579" s="3">
        <v>89.78</v>
      </c>
      <c r="N579" s="3">
        <v>179</v>
      </c>
      <c r="O579" s="2" t="s">
        <v>155</v>
      </c>
      <c r="P579" s="2" t="s">
        <v>115</v>
      </c>
      <c r="Q579" s="2" t="s">
        <v>97</v>
      </c>
      <c r="R579" s="2" t="s">
        <v>98</v>
      </c>
      <c r="S579" s="2" t="s">
        <v>3175</v>
      </c>
      <c r="T579" s="2" t="s">
        <v>98</v>
      </c>
      <c r="U579" s="2" t="s">
        <v>98</v>
      </c>
      <c r="V579" s="2" t="s">
        <v>1360</v>
      </c>
      <c r="W579" s="2" t="s">
        <v>102</v>
      </c>
      <c r="X579" s="2" t="s">
        <v>98</v>
      </c>
      <c r="Y579" s="2" t="s">
        <v>366</v>
      </c>
      <c r="Z579" s="4"/>
      <c r="AA579" s="4">
        <f>=ROUNDDOWN({0},0)</f>
      </c>
      <c r="AB579" s="5">
        <v>1</v>
      </c>
      <c r="AC579" s="2" t="s">
        <v>98</v>
      </c>
      <c r="AD579" s="4"/>
      <c r="AE579" s="4"/>
      <c r="AF579" s="6">
        <v>75</v>
      </c>
      <c r="AG579" s="6">
        <v>66</v>
      </c>
      <c r="AH579" s="7">
        <v>0</v>
      </c>
      <c r="AI579" s="4"/>
      <c r="AJ579" s="4">
        <f>=ROUNDDOWN({0},0)</f>
      </c>
      <c r="AK579" s="5"/>
      <c r="AL579" s="2" t="s">
        <v>98</v>
      </c>
      <c r="AM579" s="4"/>
      <c r="AN579" s="4"/>
      <c r="AO579" s="7">
        <v>0</v>
      </c>
      <c r="AP579" s="4"/>
      <c r="AQ579" s="8"/>
      <c r="AR579" s="4">
        <v>1</v>
      </c>
      <c r="AS579" s="8">
        <v>89.51</v>
      </c>
      <c r="AT579" s="7">
        <v>-1</v>
      </c>
      <c r="AU579" s="7">
        <v>-1</v>
      </c>
      <c r="AV579" s="4"/>
      <c r="AW579" s="8"/>
      <c r="AX579" s="4">
        <v>1</v>
      </c>
      <c r="AY579" s="8">
        <v>89.51</v>
      </c>
      <c r="AZ579" s="7">
        <v>-1</v>
      </c>
      <c r="BA579" s="7">
        <v>-1</v>
      </c>
      <c r="BB579" s="7"/>
      <c r="BC579" s="4" t="s">
        <v>98</v>
      </c>
      <c r="BD579" s="8" t="s">
        <v>98</v>
      </c>
      <c r="BE579" s="4" t="s">
        <v>98</v>
      </c>
      <c r="BF579" s="8" t="s">
        <v>98</v>
      </c>
      <c r="BG579" s="7" t="s">
        <v>98</v>
      </c>
      <c r="BH579" s="7" t="s">
        <v>98</v>
      </c>
      <c r="BI579" s="7"/>
      <c r="BJ579" s="4"/>
      <c r="BK579" s="8"/>
      <c r="BL579" s="2" t="s">
        <v>1445</v>
      </c>
      <c r="BM579" s="7"/>
      <c r="BN579" s="7"/>
      <c r="BO579" s="4"/>
      <c r="BP579" s="8"/>
      <c r="BQ579" s="4">
        <v>1</v>
      </c>
      <c r="BR579" s="8">
        <v>89.51</v>
      </c>
      <c r="BS579" s="7">
        <v>-1</v>
      </c>
      <c r="BT579" s="7">
        <v>-1</v>
      </c>
      <c r="BU579" s="2" t="s">
        <v>107</v>
      </c>
      <c r="BV579" s="2" t="s">
        <v>1355</v>
      </c>
      <c r="BW579" s="2" t="s">
        <v>1356</v>
      </c>
      <c r="BX579" s="2" t="s">
        <v>3176</v>
      </c>
      <c r="BY579" s="2" t="s">
        <v>110</v>
      </c>
      <c r="BZ579" s="2" t="s">
        <v>98</v>
      </c>
    </row>
    <row r="580">
      <c r="A580" s="2" t="s">
        <v>3177</v>
      </c>
      <c r="B580" s="2" t="s">
        <v>1345</v>
      </c>
      <c r="C580" s="2" t="s">
        <v>88</v>
      </c>
      <c r="D580" s="2" t="s">
        <v>3068</v>
      </c>
      <c r="E580" s="2" t="s">
        <v>3069</v>
      </c>
      <c r="F580" s="2" t="s">
        <v>3164</v>
      </c>
      <c r="G580" s="2" t="s">
        <v>3165</v>
      </c>
      <c r="H580" s="2" t="s">
        <v>3166</v>
      </c>
      <c r="I580" s="2" t="s">
        <v>3073</v>
      </c>
      <c r="J580" s="2" t="s">
        <v>93</v>
      </c>
      <c r="K580" s="2" t="s">
        <v>1915</v>
      </c>
      <c r="L580" s="3">
        <v>85.5</v>
      </c>
      <c r="M580" s="3">
        <v>89.78</v>
      </c>
      <c r="N580" s="3">
        <v>179</v>
      </c>
      <c r="O580" s="2" t="s">
        <v>95</v>
      </c>
      <c r="P580" s="2" t="s">
        <v>134</v>
      </c>
      <c r="Q580" s="2" t="s">
        <v>97</v>
      </c>
      <c r="R580" s="2" t="s">
        <v>98</v>
      </c>
      <c r="S580" s="2" t="s">
        <v>3178</v>
      </c>
      <c r="T580" s="2" t="s">
        <v>98</v>
      </c>
      <c r="U580" s="2" t="s">
        <v>98</v>
      </c>
      <c r="V580" s="2" t="s">
        <v>439</v>
      </c>
      <c r="W580" s="2" t="s">
        <v>103</v>
      </c>
      <c r="X580" s="2" t="s">
        <v>98</v>
      </c>
      <c r="Y580" s="2" t="s">
        <v>987</v>
      </c>
      <c r="Z580" s="4"/>
      <c r="AA580" s="4">
        <f>=ROUNDDOWN({0},0)</f>
      </c>
      <c r="AB580" s="5">
        <v>15.1</v>
      </c>
      <c r="AC580" s="2" t="s">
        <v>3078</v>
      </c>
      <c r="AD580" s="4">
        <v>60</v>
      </c>
      <c r="AE580" s="4">
        <v>460</v>
      </c>
      <c r="AF580" s="6">
        <v>76</v>
      </c>
      <c r="AG580" s="6">
        <v>67</v>
      </c>
      <c r="AH580" s="7">
        <v>0</v>
      </c>
      <c r="AI580" s="4"/>
      <c r="AJ580" s="4">
        <f>=ROUNDDOWN({0},0)</f>
      </c>
      <c r="AK580" s="5"/>
      <c r="AL580" s="2" t="s">
        <v>98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/>
      <c r="AW580" s="8"/>
      <c r="AX580" s="4"/>
      <c r="AY580" s="8"/>
      <c r="AZ580" s="7"/>
      <c r="BA580" s="7"/>
      <c r="BB580" s="7"/>
      <c r="BC580" s="4" t="s">
        <v>98</v>
      </c>
      <c r="BD580" s="8" t="s">
        <v>98</v>
      </c>
      <c r="BE580" s="4" t="s">
        <v>98</v>
      </c>
      <c r="BF580" s="8" t="s">
        <v>98</v>
      </c>
      <c r="BG580" s="7" t="s">
        <v>98</v>
      </c>
      <c r="BH580" s="7" t="s">
        <v>98</v>
      </c>
      <c r="BI580" s="7"/>
      <c r="BJ580" s="4"/>
      <c r="BK580" s="8"/>
      <c r="BL580" s="2" t="s">
        <v>3179</v>
      </c>
      <c r="BM580" s="7"/>
      <c r="BN580" s="7"/>
      <c r="BO580" s="4"/>
      <c r="BP580" s="8"/>
      <c r="BQ580" s="4"/>
      <c r="BR580" s="8"/>
      <c r="BS580" s="7"/>
      <c r="BT580" s="7"/>
      <c r="BU580" s="2" t="s">
        <v>107</v>
      </c>
      <c r="BV580" s="2" t="s">
        <v>1355</v>
      </c>
      <c r="BW580" s="2" t="s">
        <v>2455</v>
      </c>
      <c r="BX580" s="2" t="s">
        <v>3084</v>
      </c>
      <c r="BY580" s="2" t="s">
        <v>110</v>
      </c>
      <c r="BZ580" s="2" t="s">
        <v>98</v>
      </c>
    </row>
    <row r="581">
      <c r="A581" s="2" t="s">
        <v>3180</v>
      </c>
      <c r="B581" s="2" t="s">
        <v>1345</v>
      </c>
      <c r="C581" s="2" t="s">
        <v>88</v>
      </c>
      <c r="D581" s="2" t="s">
        <v>3068</v>
      </c>
      <c r="E581" s="2" t="s">
        <v>3069</v>
      </c>
      <c r="F581" s="2" t="s">
        <v>3164</v>
      </c>
      <c r="G581" s="2" t="s">
        <v>3165</v>
      </c>
      <c r="H581" s="2" t="s">
        <v>3166</v>
      </c>
      <c r="I581" s="2" t="s">
        <v>3073</v>
      </c>
      <c r="J581" s="2" t="s">
        <v>93</v>
      </c>
      <c r="K581" s="2" t="s">
        <v>616</v>
      </c>
      <c r="L581" s="3">
        <v>85.5</v>
      </c>
      <c r="M581" s="3">
        <v>89.78</v>
      </c>
      <c r="N581" s="3">
        <v>179</v>
      </c>
      <c r="O581" s="2" t="s">
        <v>95</v>
      </c>
      <c r="P581" s="2" t="s">
        <v>134</v>
      </c>
      <c r="Q581" s="2" t="s">
        <v>97</v>
      </c>
      <c r="R581" s="2" t="s">
        <v>98</v>
      </c>
      <c r="S581" s="2" t="s">
        <v>3181</v>
      </c>
      <c r="T581" s="2" t="s">
        <v>98</v>
      </c>
      <c r="U581" s="2" t="s">
        <v>98</v>
      </c>
      <c r="V581" s="2" t="s">
        <v>439</v>
      </c>
      <c r="W581" s="2" t="s">
        <v>102</v>
      </c>
      <c r="X581" s="2" t="s">
        <v>98</v>
      </c>
      <c r="Y581" s="2" t="s">
        <v>366</v>
      </c>
      <c r="Z581" s="4">
        <v>47</v>
      </c>
      <c r="AA581" s="4">
        <f>=ROUNDDOWN(5.875,0)</f>
      </c>
      <c r="AB581" s="5">
        <v>8</v>
      </c>
      <c r="AC581" s="2" t="s">
        <v>3182</v>
      </c>
      <c r="AD581" s="4">
        <v>120</v>
      </c>
      <c r="AE581" s="4">
        <v>168</v>
      </c>
      <c r="AF581" s="6">
        <v>76</v>
      </c>
      <c r="AG581" s="6">
        <v>67</v>
      </c>
      <c r="AH581" s="7">
        <v>1</v>
      </c>
      <c r="AI581" s="4"/>
      <c r="AJ581" s="4">
        <f>=ROUNDDOWN({0},0)</f>
      </c>
      <c r="AK581" s="5"/>
      <c r="AL581" s="2" t="s">
        <v>98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/>
      <c r="AW581" s="8"/>
      <c r="AX581" s="4"/>
      <c r="AY581" s="8"/>
      <c r="AZ581" s="7"/>
      <c r="BA581" s="7"/>
      <c r="BB581" s="7"/>
      <c r="BC581" s="4" t="s">
        <v>98</v>
      </c>
      <c r="BD581" s="8" t="s">
        <v>98</v>
      </c>
      <c r="BE581" s="4" t="s">
        <v>98</v>
      </c>
      <c r="BF581" s="8" t="s">
        <v>98</v>
      </c>
      <c r="BG581" s="7" t="s">
        <v>98</v>
      </c>
      <c r="BH581" s="7" t="s">
        <v>98</v>
      </c>
      <c r="BI581" s="7"/>
      <c r="BJ581" s="4">
        <v>4</v>
      </c>
      <c r="BK581" s="8">
        <v>374.73</v>
      </c>
      <c r="BL581" s="2" t="s">
        <v>3183</v>
      </c>
      <c r="BM581" s="7"/>
      <c r="BN581" s="7"/>
      <c r="BO581" s="4"/>
      <c r="BP581" s="8"/>
      <c r="BQ581" s="4"/>
      <c r="BR581" s="8"/>
      <c r="BS581" s="7"/>
      <c r="BT581" s="7"/>
      <c r="BU581" s="2" t="s">
        <v>107</v>
      </c>
      <c r="BV581" s="2" t="s">
        <v>1355</v>
      </c>
      <c r="BW581" s="2" t="s">
        <v>1356</v>
      </c>
      <c r="BX581" s="2" t="s">
        <v>3184</v>
      </c>
      <c r="BY581" s="2" t="s">
        <v>110</v>
      </c>
      <c r="BZ581" s="2" t="s">
        <v>98</v>
      </c>
    </row>
    <row r="582">
      <c r="A582" s="2" t="s">
        <v>3185</v>
      </c>
      <c r="B582" s="2" t="s">
        <v>1345</v>
      </c>
      <c r="C582" s="2" t="s">
        <v>88</v>
      </c>
      <c r="D582" s="2" t="s">
        <v>3068</v>
      </c>
      <c r="E582" s="2" t="s">
        <v>3186</v>
      </c>
      <c r="F582" s="2" t="s">
        <v>3187</v>
      </c>
      <c r="G582" s="2" t="s">
        <v>3188</v>
      </c>
      <c r="H582" s="2" t="s">
        <v>3189</v>
      </c>
      <c r="I582" s="2" t="s">
        <v>3190</v>
      </c>
      <c r="J582" s="2" t="s">
        <v>93</v>
      </c>
      <c r="K582" s="2" t="s">
        <v>1816</v>
      </c>
      <c r="L582" s="3">
        <v>118.8</v>
      </c>
      <c r="M582" s="3">
        <v>124.74</v>
      </c>
      <c r="N582" s="3">
        <v>249</v>
      </c>
      <c r="O582" s="2" t="s">
        <v>95</v>
      </c>
      <c r="P582" s="2" t="s">
        <v>142</v>
      </c>
      <c r="Q582" s="2" t="s">
        <v>97</v>
      </c>
      <c r="R582" s="2" t="s">
        <v>98</v>
      </c>
      <c r="S582" s="2" t="s">
        <v>98</v>
      </c>
      <c r="T582" s="2" t="s">
        <v>98</v>
      </c>
      <c r="U582" s="2" t="s">
        <v>117</v>
      </c>
      <c r="V582" s="2" t="s">
        <v>296</v>
      </c>
      <c r="W582" s="2" t="s">
        <v>297</v>
      </c>
      <c r="X582" s="2" t="s">
        <v>102</v>
      </c>
      <c r="Y582" s="2" t="s">
        <v>3191</v>
      </c>
      <c r="Z582" s="4">
        <v>8</v>
      </c>
      <c r="AA582" s="4">
        <f>=ROUNDDOWN(2.5,0)</f>
      </c>
      <c r="AB582" s="5">
        <v>3.2</v>
      </c>
      <c r="AC582" s="2" t="s">
        <v>323</v>
      </c>
      <c r="AD582" s="4">
        <v>210</v>
      </c>
      <c r="AE582" s="4">
        <v>210</v>
      </c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98</v>
      </c>
      <c r="AM582" s="4"/>
      <c r="AN582" s="4"/>
      <c r="AO582" s="7">
        <v>0</v>
      </c>
      <c r="AP582" s="4">
        <v>1</v>
      </c>
      <c r="AQ582" s="8">
        <v>130.98</v>
      </c>
      <c r="AR582" s="4"/>
      <c r="AS582" s="8"/>
      <c r="AT582" s="7"/>
      <c r="AU582" s="7"/>
      <c r="AV582" s="4">
        <v>1</v>
      </c>
      <c r="AW582" s="8">
        <v>130.98</v>
      </c>
      <c r="AX582" s="4"/>
      <c r="AY582" s="8"/>
      <c r="AZ582" s="7"/>
      <c r="BA582" s="7"/>
      <c r="BB582" s="7">
        <v>1</v>
      </c>
      <c r="BC582" s="4">
        <v>1</v>
      </c>
      <c r="BD582" s="8">
        <v>130.98</v>
      </c>
      <c r="BE582" s="4"/>
      <c r="BF582" s="8"/>
      <c r="BG582" s="7"/>
      <c r="BH582" s="7"/>
      <c r="BI582" s="7">
        <v>1</v>
      </c>
      <c r="BJ582" s="4">
        <v>4</v>
      </c>
      <c r="BK582" s="8">
        <v>536.38</v>
      </c>
      <c r="BL582" s="2" t="s">
        <v>2197</v>
      </c>
      <c r="BM582" s="7">
        <v>0.25</v>
      </c>
      <c r="BN582" s="7">
        <v>0.2442</v>
      </c>
      <c r="BO582" s="4">
        <v>1</v>
      </c>
      <c r="BP582" s="8">
        <v>130.98</v>
      </c>
      <c r="BQ582" s="4"/>
      <c r="BR582" s="8"/>
      <c r="BS582" s="7"/>
      <c r="BT582" s="7"/>
      <c r="BU582" s="2" t="s">
        <v>1376</v>
      </c>
      <c r="BV582" s="2" t="s">
        <v>95</v>
      </c>
      <c r="BW582" s="2" t="s">
        <v>98</v>
      </c>
      <c r="BX582" s="2" t="s">
        <v>98</v>
      </c>
      <c r="BY582" s="2" t="s">
        <v>110</v>
      </c>
      <c r="BZ582" s="2" t="s">
        <v>98</v>
      </c>
    </row>
    <row r="583">
      <c r="A583" s="2" t="s">
        <v>3192</v>
      </c>
      <c r="B583" s="2" t="s">
        <v>1345</v>
      </c>
      <c r="C583" s="2" t="s">
        <v>88</v>
      </c>
      <c r="D583" s="2" t="s">
        <v>3068</v>
      </c>
      <c r="E583" s="2" t="s">
        <v>3186</v>
      </c>
      <c r="F583" s="2" t="s">
        <v>3193</v>
      </c>
      <c r="G583" s="2" t="s">
        <v>3194</v>
      </c>
      <c r="H583" s="2" t="s">
        <v>3195</v>
      </c>
      <c r="I583" s="2" t="s">
        <v>3196</v>
      </c>
      <c r="J583" s="2" t="s">
        <v>93</v>
      </c>
      <c r="K583" s="2" t="s">
        <v>1262</v>
      </c>
      <c r="L583" s="3">
        <v>143</v>
      </c>
      <c r="M583" s="3">
        <v>150.15</v>
      </c>
      <c r="N583" s="3">
        <v>299</v>
      </c>
      <c r="O583" s="2" t="s">
        <v>155</v>
      </c>
      <c r="P583" s="2" t="s">
        <v>115</v>
      </c>
      <c r="Q583" s="2" t="s">
        <v>97</v>
      </c>
      <c r="R583" s="2" t="s">
        <v>98</v>
      </c>
      <c r="S583" s="2" t="s">
        <v>98</v>
      </c>
      <c r="T583" s="2" t="s">
        <v>98</v>
      </c>
      <c r="U583" s="2" t="s">
        <v>117</v>
      </c>
      <c r="V583" s="2" t="s">
        <v>296</v>
      </c>
      <c r="W583" s="2" t="s">
        <v>103</v>
      </c>
      <c r="X583" s="2" t="s">
        <v>98</v>
      </c>
      <c r="Y583" s="2" t="s">
        <v>3197</v>
      </c>
      <c r="Z583" s="4">
        <v>35</v>
      </c>
      <c r="AA583" s="4">
        <f>=ROUNDDOWN(35,0)</f>
      </c>
      <c r="AB583" s="5">
        <v>1</v>
      </c>
      <c r="AC583" s="2" t="s">
        <v>98</v>
      </c>
      <c r="AD583" s="4"/>
      <c r="AE583" s="4"/>
      <c r="AF583" s="6">
        <v>75</v>
      </c>
      <c r="AG583" s="6"/>
      <c r="AH583" s="7">
        <v>1</v>
      </c>
      <c r="AI583" s="4"/>
      <c r="AJ583" s="4">
        <f>=ROUNDDOWN({0},0)</f>
      </c>
      <c r="AK583" s="5"/>
      <c r="AL583" s="2" t="s">
        <v>98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/>
      <c r="BD583" s="8"/>
      <c r="BE583" s="4"/>
      <c r="BF583" s="8"/>
      <c r="BG583" s="7"/>
      <c r="BH583" s="7"/>
      <c r="BI583" s="7"/>
      <c r="BJ583" s="4">
        <v>1</v>
      </c>
      <c r="BK583" s="8">
        <v>162.16</v>
      </c>
      <c r="BL583" s="2" t="s">
        <v>1375</v>
      </c>
      <c r="BM583" s="7"/>
      <c r="BN583" s="7"/>
      <c r="BO583" s="4"/>
      <c r="BP583" s="8"/>
      <c r="BQ583" s="4"/>
      <c r="BR583" s="8"/>
      <c r="BS583" s="7"/>
      <c r="BT583" s="7"/>
      <c r="BU583" s="2" t="s">
        <v>1376</v>
      </c>
      <c r="BV583" s="2" t="s">
        <v>95</v>
      </c>
      <c r="BW583" s="2" t="s">
        <v>98</v>
      </c>
      <c r="BX583" s="2" t="s">
        <v>98</v>
      </c>
      <c r="BY583" s="2" t="s">
        <v>110</v>
      </c>
      <c r="BZ583" s="2" t="s">
        <v>98</v>
      </c>
    </row>
    <row r="584">
      <c r="A584" s="2" t="s">
        <v>3198</v>
      </c>
      <c r="B584" s="2" t="s">
        <v>1345</v>
      </c>
      <c r="C584" s="2" t="s">
        <v>88</v>
      </c>
      <c r="D584" s="2" t="s">
        <v>3068</v>
      </c>
      <c r="E584" s="2" t="s">
        <v>3186</v>
      </c>
      <c r="F584" s="2" t="s">
        <v>3199</v>
      </c>
      <c r="G584" s="2" t="s">
        <v>3200</v>
      </c>
      <c r="H584" s="2" t="s">
        <v>3201</v>
      </c>
      <c r="I584" s="2" t="s">
        <v>3202</v>
      </c>
      <c r="J584" s="2" t="s">
        <v>93</v>
      </c>
      <c r="K584" s="2" t="s">
        <v>1262</v>
      </c>
      <c r="L584" s="3">
        <v>156.75</v>
      </c>
      <c r="M584" s="3">
        <v>164.59</v>
      </c>
      <c r="N584" s="3">
        <v>329</v>
      </c>
      <c r="O584" s="2" t="s">
        <v>95</v>
      </c>
      <c r="P584" s="2" t="s">
        <v>134</v>
      </c>
      <c r="Q584" s="2" t="s">
        <v>97</v>
      </c>
      <c r="R584" s="2" t="s">
        <v>98</v>
      </c>
      <c r="S584" s="2" t="s">
        <v>98</v>
      </c>
      <c r="T584" s="2" t="s">
        <v>98</v>
      </c>
      <c r="U584" s="2" t="s">
        <v>117</v>
      </c>
      <c r="V584" s="2" t="s">
        <v>296</v>
      </c>
      <c r="W584" s="2" t="s">
        <v>103</v>
      </c>
      <c r="X584" s="2" t="s">
        <v>963</v>
      </c>
      <c r="Y584" s="2" t="s">
        <v>3191</v>
      </c>
      <c r="Z584" s="4">
        <v>88</v>
      </c>
      <c r="AA584" s="4">
        <f>=ROUNDDOWN(14.6666666666667,0)</f>
      </c>
      <c r="AB584" s="5">
        <v>6</v>
      </c>
      <c r="AC584" s="2" t="s">
        <v>1088</v>
      </c>
      <c r="AD584" s="4">
        <v>60</v>
      </c>
      <c r="AE584" s="4">
        <v>90</v>
      </c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98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/>
      <c r="BD584" s="8"/>
      <c r="BE584" s="4"/>
      <c r="BF584" s="8"/>
      <c r="BG584" s="7"/>
      <c r="BH584" s="7"/>
      <c r="BI584" s="7"/>
      <c r="BJ584" s="4"/>
      <c r="BK584" s="8"/>
      <c r="BL584" s="2" t="s">
        <v>98</v>
      </c>
      <c r="BM584" s="7"/>
      <c r="BN584" s="7"/>
      <c r="BO584" s="4"/>
      <c r="BP584" s="8"/>
      <c r="BQ584" s="4"/>
      <c r="BR584" s="8"/>
      <c r="BS584" s="7"/>
      <c r="BT584" s="7"/>
      <c r="BU584" s="2" t="s">
        <v>1376</v>
      </c>
      <c r="BV584" s="2" t="s">
        <v>95</v>
      </c>
      <c r="BW584" s="2" t="s">
        <v>98</v>
      </c>
      <c r="BX584" s="2" t="s">
        <v>98</v>
      </c>
      <c r="BY584" s="2" t="s">
        <v>110</v>
      </c>
      <c r="BZ584" s="2" t="s">
        <v>98</v>
      </c>
    </row>
    <row r="585">
      <c r="A585" s="2" t="s">
        <v>3203</v>
      </c>
      <c r="B585" s="2" t="s">
        <v>1345</v>
      </c>
      <c r="C585" s="2" t="s">
        <v>88</v>
      </c>
      <c r="D585" s="2" t="s">
        <v>3068</v>
      </c>
      <c r="E585" s="2" t="s">
        <v>3186</v>
      </c>
      <c r="F585" s="2" t="s">
        <v>3204</v>
      </c>
      <c r="G585" s="2" t="s">
        <v>3205</v>
      </c>
      <c r="H585" s="2" t="s">
        <v>3206</v>
      </c>
      <c r="I585" s="2" t="s">
        <v>3207</v>
      </c>
      <c r="J585" s="2" t="s">
        <v>93</v>
      </c>
      <c r="K585" s="2" t="s">
        <v>3208</v>
      </c>
      <c r="L585" s="3">
        <v>165</v>
      </c>
      <c r="M585" s="3">
        <v>173.25</v>
      </c>
      <c r="N585" s="3">
        <v>349</v>
      </c>
      <c r="O585" s="2" t="s">
        <v>95</v>
      </c>
      <c r="P585" s="2" t="s">
        <v>134</v>
      </c>
      <c r="Q585" s="2" t="s">
        <v>97</v>
      </c>
      <c r="R585" s="2" t="s">
        <v>98</v>
      </c>
      <c r="S585" s="2" t="s">
        <v>98</v>
      </c>
      <c r="T585" s="2" t="s">
        <v>98</v>
      </c>
      <c r="U585" s="2" t="s">
        <v>117</v>
      </c>
      <c r="V585" s="2" t="s">
        <v>439</v>
      </c>
      <c r="W585" s="2" t="s">
        <v>103</v>
      </c>
      <c r="X585" s="2" t="s">
        <v>204</v>
      </c>
      <c r="Y585" s="2" t="s">
        <v>3209</v>
      </c>
      <c r="Z585" s="4">
        <v>1</v>
      </c>
      <c r="AA585" s="4">
        <f>=ROUNDDOWN(0.333333333333333,0)</f>
      </c>
      <c r="AB585" s="5">
        <v>3</v>
      </c>
      <c r="AC585" s="2" t="s">
        <v>1562</v>
      </c>
      <c r="AD585" s="4">
        <v>110</v>
      </c>
      <c r="AE585" s="4">
        <v>110</v>
      </c>
      <c r="AF585" s="6">
        <v>65</v>
      </c>
      <c r="AG585" s="6"/>
      <c r="AH585" s="7">
        <v>0</v>
      </c>
      <c r="AI585" s="4"/>
      <c r="AJ585" s="4">
        <f>=ROUNDDOWN({0},0)</f>
      </c>
      <c r="AK585" s="5"/>
      <c r="AL585" s="2" t="s">
        <v>98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/>
      <c r="BD585" s="8"/>
      <c r="BE585" s="4"/>
      <c r="BF585" s="8"/>
      <c r="BG585" s="7"/>
      <c r="BH585" s="7"/>
      <c r="BI585" s="7"/>
      <c r="BJ585" s="4"/>
      <c r="BK585" s="8"/>
      <c r="BL585" s="2" t="s">
        <v>98</v>
      </c>
      <c r="BM585" s="7"/>
      <c r="BN585" s="7"/>
      <c r="BO585" s="4"/>
      <c r="BP585" s="8"/>
      <c r="BQ585" s="4"/>
      <c r="BR585" s="8"/>
      <c r="BS585" s="7"/>
      <c r="BT585" s="7"/>
      <c r="BU585" s="2" t="s">
        <v>1376</v>
      </c>
      <c r="BV585" s="2" t="s">
        <v>95</v>
      </c>
      <c r="BW585" s="2" t="s">
        <v>98</v>
      </c>
      <c r="BX585" s="2" t="s">
        <v>98</v>
      </c>
      <c r="BY585" s="2" t="s">
        <v>110</v>
      </c>
      <c r="BZ585" s="2" t="s">
        <v>98</v>
      </c>
    </row>
    <row r="586">
      <c r="A586" s="2" t="s">
        <v>3210</v>
      </c>
      <c r="B586" s="2" t="s">
        <v>1345</v>
      </c>
      <c r="C586" s="2" t="s">
        <v>88</v>
      </c>
      <c r="D586" s="2" t="s">
        <v>3068</v>
      </c>
      <c r="E586" s="2" t="s">
        <v>3186</v>
      </c>
      <c r="F586" s="2" t="s">
        <v>3070</v>
      </c>
      <c r="G586" s="2" t="s">
        <v>3071</v>
      </c>
      <c r="H586" s="2" t="s">
        <v>3072</v>
      </c>
      <c r="I586" s="2" t="s">
        <v>3073</v>
      </c>
      <c r="J586" s="2" t="s">
        <v>93</v>
      </c>
      <c r="K586" s="2" t="s">
        <v>127</v>
      </c>
      <c r="L586" s="3">
        <v>114</v>
      </c>
      <c r="M586" s="3">
        <v>119.7</v>
      </c>
      <c r="N586" s="3">
        <v>239</v>
      </c>
      <c r="O586" s="2" t="s">
        <v>95</v>
      </c>
      <c r="P586" s="2" t="s">
        <v>134</v>
      </c>
      <c r="Q586" s="2" t="s">
        <v>97</v>
      </c>
      <c r="R586" s="2" t="s">
        <v>98</v>
      </c>
      <c r="S586" s="2" t="s">
        <v>98</v>
      </c>
      <c r="T586" s="2" t="s">
        <v>98</v>
      </c>
      <c r="U586" s="2" t="s">
        <v>98</v>
      </c>
      <c r="V586" s="2" t="s">
        <v>439</v>
      </c>
      <c r="W586" s="2" t="s">
        <v>103</v>
      </c>
      <c r="X586" s="2" t="s">
        <v>98</v>
      </c>
      <c r="Y586" s="2" t="s">
        <v>2434</v>
      </c>
      <c r="Z586" s="4">
        <v>58</v>
      </c>
      <c r="AA586" s="4">
        <f>=ROUNDDOWN(4.14285714285714,0)</f>
      </c>
      <c r="AB586" s="5">
        <v>14</v>
      </c>
      <c r="AC586" s="2" t="s">
        <v>1757</v>
      </c>
      <c r="AD586" s="4">
        <v>40</v>
      </c>
      <c r="AE586" s="4">
        <v>320</v>
      </c>
      <c r="AF586" s="6">
        <v>76</v>
      </c>
      <c r="AG586" s="6">
        <v>67</v>
      </c>
      <c r="AH586" s="7">
        <v>1</v>
      </c>
      <c r="AI586" s="4"/>
      <c r="AJ586" s="4">
        <f>=ROUNDDOWN({0},0)</f>
      </c>
      <c r="AK586" s="5"/>
      <c r="AL586" s="2" t="s">
        <v>98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/>
      <c r="AW586" s="8"/>
      <c r="AX586" s="4"/>
      <c r="AY586" s="8"/>
      <c r="AZ586" s="7"/>
      <c r="BA586" s="7"/>
      <c r="BB586" s="7"/>
      <c r="BC586" s="4"/>
      <c r="BD586" s="8"/>
      <c r="BE586" s="4"/>
      <c r="BF586" s="8"/>
      <c r="BG586" s="7"/>
      <c r="BH586" s="7"/>
      <c r="BI586" s="7"/>
      <c r="BJ586" s="4">
        <v>7</v>
      </c>
      <c r="BK586" s="8">
        <v>850.49</v>
      </c>
      <c r="BL586" s="2" t="s">
        <v>3211</v>
      </c>
      <c r="BM586" s="7"/>
      <c r="BN586" s="7"/>
      <c r="BO586" s="4"/>
      <c r="BP586" s="8"/>
      <c r="BQ586" s="4"/>
      <c r="BR586" s="8"/>
      <c r="BS586" s="7"/>
      <c r="BT586" s="7"/>
      <c r="BU586" s="2" t="s">
        <v>1376</v>
      </c>
      <c r="BV586" s="2" t="s">
        <v>95</v>
      </c>
      <c r="BW586" s="2" t="s">
        <v>98</v>
      </c>
      <c r="BX586" s="2" t="s">
        <v>98</v>
      </c>
      <c r="BY586" s="2" t="s">
        <v>110</v>
      </c>
      <c r="BZ586" s="2" t="s">
        <v>98</v>
      </c>
    </row>
    <row r="587">
      <c r="A587" s="2" t="s">
        <v>3212</v>
      </c>
      <c r="B587" s="2" t="s">
        <v>1345</v>
      </c>
      <c r="C587" s="2" t="s">
        <v>88</v>
      </c>
      <c r="D587" s="2" t="s">
        <v>3213</v>
      </c>
      <c r="E587" s="2" t="s">
        <v>3213</v>
      </c>
      <c r="F587" s="2" t="s">
        <v>3214</v>
      </c>
      <c r="G587" s="2" t="s">
        <v>3215</v>
      </c>
      <c r="H587" s="2" t="s">
        <v>3216</v>
      </c>
      <c r="I587" s="2" t="s">
        <v>3217</v>
      </c>
      <c r="J587" s="2" t="s">
        <v>93</v>
      </c>
      <c r="K587" s="2" t="s">
        <v>616</v>
      </c>
      <c r="L587" s="3">
        <v>173.25</v>
      </c>
      <c r="M587" s="3">
        <v>181.91</v>
      </c>
      <c r="N587" s="3">
        <v>369</v>
      </c>
      <c r="O587" s="2" t="s">
        <v>95</v>
      </c>
      <c r="P587" s="2" t="s">
        <v>134</v>
      </c>
      <c r="Q587" s="2" t="s">
        <v>97</v>
      </c>
      <c r="R587" s="2" t="s">
        <v>98</v>
      </c>
      <c r="S587" s="2" t="s">
        <v>98</v>
      </c>
      <c r="T587" s="2" t="s">
        <v>98</v>
      </c>
      <c r="U587" s="2" t="s">
        <v>98</v>
      </c>
      <c r="V587" s="2" t="s">
        <v>439</v>
      </c>
      <c r="W587" s="2" t="s">
        <v>314</v>
      </c>
      <c r="X587" s="2" t="s">
        <v>98</v>
      </c>
      <c r="Y587" s="2" t="s">
        <v>3218</v>
      </c>
      <c r="Z587" s="4">
        <v>127</v>
      </c>
      <c r="AA587" s="4">
        <f>=ROUNDDOWN(21.1666666666667,0)</f>
      </c>
      <c r="AB587" s="5">
        <v>6</v>
      </c>
      <c r="AC587" s="2" t="s">
        <v>214</v>
      </c>
      <c r="AD587" s="4">
        <v>80</v>
      </c>
      <c r="AE587" s="4">
        <v>80</v>
      </c>
      <c r="AF587" s="6">
        <v>65</v>
      </c>
      <c r="AG587" s="6">
        <v>48</v>
      </c>
      <c r="AH587" s="7">
        <v>1</v>
      </c>
      <c r="AI587" s="4"/>
      <c r="AJ587" s="4">
        <f>=ROUNDDOWN({0},0)</f>
      </c>
      <c r="AK587" s="5"/>
      <c r="AL587" s="2" t="s">
        <v>98</v>
      </c>
      <c r="AM587" s="4"/>
      <c r="AN587" s="4"/>
      <c r="AO587" s="7">
        <v>0</v>
      </c>
      <c r="AP587" s="4">
        <v>1</v>
      </c>
      <c r="AQ587" s="8">
        <v>155.82</v>
      </c>
      <c r="AR587" s="4"/>
      <c r="AS587" s="8"/>
      <c r="AT587" s="7"/>
      <c r="AU587" s="7"/>
      <c r="AV587" s="4">
        <v>1</v>
      </c>
      <c r="AW587" s="8">
        <v>155.82</v>
      </c>
      <c r="AX587" s="4"/>
      <c r="AY587" s="8"/>
      <c r="AZ587" s="7"/>
      <c r="BA587" s="7"/>
      <c r="BB587" s="7">
        <v>1</v>
      </c>
      <c r="BC587" s="4">
        <v>1</v>
      </c>
      <c r="BD587" s="8">
        <v>155.82</v>
      </c>
      <c r="BE587" s="4">
        <v>2</v>
      </c>
      <c r="BF587" s="8">
        <v>337.64</v>
      </c>
      <c r="BG587" s="7">
        <v>-0.5</v>
      </c>
      <c r="BH587" s="7">
        <v>-0.5385</v>
      </c>
      <c r="BI587" s="7">
        <v>1</v>
      </c>
      <c r="BJ587" s="4">
        <v>8</v>
      </c>
      <c r="BK587" s="8">
        <v>1500.12</v>
      </c>
      <c r="BL587" s="2" t="s">
        <v>3219</v>
      </c>
      <c r="BM587" s="7">
        <v>0.125</v>
      </c>
      <c r="BN587" s="7">
        <v>0.1039</v>
      </c>
      <c r="BO587" s="4">
        <v>1</v>
      </c>
      <c r="BP587" s="8">
        <v>155.82</v>
      </c>
      <c r="BQ587" s="4"/>
      <c r="BR587" s="8"/>
      <c r="BS587" s="7"/>
      <c r="BT587" s="7"/>
      <c r="BU587" s="2" t="s">
        <v>1376</v>
      </c>
      <c r="BV587" s="2" t="s">
        <v>1355</v>
      </c>
      <c r="BW587" s="2" t="s">
        <v>98</v>
      </c>
      <c r="BX587" s="2" t="s">
        <v>98</v>
      </c>
      <c r="BY587" s="2" t="s">
        <v>110</v>
      </c>
      <c r="BZ587" s="2" t="s">
        <v>98</v>
      </c>
    </row>
    <row r="588">
      <c r="A588" s="2" t="s">
        <v>3220</v>
      </c>
      <c r="B588" s="2" t="s">
        <v>1345</v>
      </c>
      <c r="C588" s="2" t="s">
        <v>88</v>
      </c>
      <c r="D588" s="2" t="s">
        <v>3213</v>
      </c>
      <c r="E588" s="2" t="s">
        <v>3213</v>
      </c>
      <c r="F588" s="2" t="s">
        <v>3214</v>
      </c>
      <c r="G588" s="2" t="s">
        <v>3215</v>
      </c>
      <c r="H588" s="2" t="s">
        <v>3216</v>
      </c>
      <c r="I588" s="2" t="s">
        <v>3217</v>
      </c>
      <c r="J588" s="2" t="s">
        <v>93</v>
      </c>
      <c r="K588" s="2" t="s">
        <v>1052</v>
      </c>
      <c r="L588" s="3">
        <v>173.25</v>
      </c>
      <c r="M588" s="3">
        <v>181.91</v>
      </c>
      <c r="N588" s="3">
        <v>369</v>
      </c>
      <c r="O588" s="2" t="s">
        <v>95</v>
      </c>
      <c r="P588" s="2" t="s">
        <v>134</v>
      </c>
      <c r="Q588" s="2" t="s">
        <v>97</v>
      </c>
      <c r="R588" s="2" t="s">
        <v>98</v>
      </c>
      <c r="S588" s="2" t="s">
        <v>3221</v>
      </c>
      <c r="T588" s="2" t="s">
        <v>98</v>
      </c>
      <c r="U588" s="2" t="s">
        <v>98</v>
      </c>
      <c r="V588" s="2" t="s">
        <v>439</v>
      </c>
      <c r="W588" s="2" t="s">
        <v>314</v>
      </c>
      <c r="X588" s="2" t="s">
        <v>98</v>
      </c>
      <c r="Y588" s="2" t="s">
        <v>366</v>
      </c>
      <c r="Z588" s="4">
        <v>177</v>
      </c>
      <c r="AA588" s="4">
        <f>=ROUNDDOWN(21.5853658536585,0)</f>
      </c>
      <c r="AB588" s="5">
        <v>8.2</v>
      </c>
      <c r="AC588" s="2" t="s">
        <v>214</v>
      </c>
      <c r="AD588" s="4">
        <v>133</v>
      </c>
      <c r="AE588" s="4">
        <v>133</v>
      </c>
      <c r="AF588" s="6">
        <v>65</v>
      </c>
      <c r="AG588" s="6">
        <v>48</v>
      </c>
      <c r="AH588" s="7">
        <v>1</v>
      </c>
      <c r="AI588" s="4"/>
      <c r="AJ588" s="4">
        <f>=ROUNDDOWN({0},0)</f>
      </c>
      <c r="AK588" s="5"/>
      <c r="AL588" s="2" t="s">
        <v>98</v>
      </c>
      <c r="AM588" s="4"/>
      <c r="AN588" s="4"/>
      <c r="AO588" s="7">
        <v>0</v>
      </c>
      <c r="AP588" s="4"/>
      <c r="AQ588" s="8"/>
      <c r="AR588" s="4">
        <v>2</v>
      </c>
      <c r="AS588" s="8">
        <v>337.64</v>
      </c>
      <c r="AT588" s="7">
        <v>-1</v>
      </c>
      <c r="AU588" s="7">
        <v>-1</v>
      </c>
      <c r="AV588" s="4"/>
      <c r="AW588" s="8"/>
      <c r="AX588" s="4">
        <v>2</v>
      </c>
      <c r="AY588" s="8">
        <v>337.64</v>
      </c>
      <c r="AZ588" s="7">
        <v>-1</v>
      </c>
      <c r="BA588" s="7">
        <v>-1</v>
      </c>
      <c r="BB588" s="7"/>
      <c r="BC588" s="4" t="s">
        <v>98</v>
      </c>
      <c r="BD588" s="8" t="s">
        <v>98</v>
      </c>
      <c r="BE588" s="4" t="s">
        <v>98</v>
      </c>
      <c r="BF588" s="8" t="s">
        <v>98</v>
      </c>
      <c r="BG588" s="7" t="s">
        <v>98</v>
      </c>
      <c r="BH588" s="7" t="s">
        <v>98</v>
      </c>
      <c r="BI588" s="7"/>
      <c r="BJ588" s="4">
        <v>4</v>
      </c>
      <c r="BK588" s="8">
        <v>738.8</v>
      </c>
      <c r="BL588" s="2" t="s">
        <v>3222</v>
      </c>
      <c r="BM588" s="7"/>
      <c r="BN588" s="7"/>
      <c r="BO588" s="4"/>
      <c r="BP588" s="8"/>
      <c r="BQ588" s="4">
        <v>2</v>
      </c>
      <c r="BR588" s="8">
        <v>337.64</v>
      </c>
      <c r="BS588" s="7">
        <v>-1</v>
      </c>
      <c r="BT588" s="7">
        <v>-1</v>
      </c>
      <c r="BU588" s="2" t="s">
        <v>107</v>
      </c>
      <c r="BV588" s="2" t="s">
        <v>1355</v>
      </c>
      <c r="BW588" s="2" t="s">
        <v>1356</v>
      </c>
      <c r="BX588" s="2" t="s">
        <v>1484</v>
      </c>
      <c r="BY588" s="2" t="s">
        <v>110</v>
      </c>
      <c r="BZ588" s="2" t="s">
        <v>98</v>
      </c>
    </row>
    <row r="589">
      <c r="A589" s="2" t="s">
        <v>3223</v>
      </c>
      <c r="B589" s="2" t="s">
        <v>1345</v>
      </c>
      <c r="C589" s="2" t="s">
        <v>88</v>
      </c>
      <c r="D589" s="2" t="s">
        <v>3213</v>
      </c>
      <c r="E589" s="2" t="s">
        <v>3213</v>
      </c>
      <c r="F589" s="2" t="s">
        <v>3214</v>
      </c>
      <c r="G589" s="2" t="s">
        <v>3215</v>
      </c>
      <c r="H589" s="2" t="s">
        <v>3216</v>
      </c>
      <c r="I589" s="2" t="s">
        <v>3217</v>
      </c>
      <c r="J589" s="2" t="s">
        <v>93</v>
      </c>
      <c r="K589" s="2" t="s">
        <v>1419</v>
      </c>
      <c r="L589" s="3">
        <v>173.25</v>
      </c>
      <c r="M589" s="3">
        <v>181.91</v>
      </c>
      <c r="N589" s="3">
        <v>369</v>
      </c>
      <c r="O589" s="2" t="s">
        <v>155</v>
      </c>
      <c r="P589" s="2" t="s">
        <v>115</v>
      </c>
      <c r="Q589" s="2" t="s">
        <v>97</v>
      </c>
      <c r="R589" s="2" t="s">
        <v>98</v>
      </c>
      <c r="S589" s="2" t="s">
        <v>98</v>
      </c>
      <c r="T589" s="2" t="s">
        <v>98</v>
      </c>
      <c r="U589" s="2" t="s">
        <v>98</v>
      </c>
      <c r="V589" s="2" t="s">
        <v>439</v>
      </c>
      <c r="W589" s="2" t="s">
        <v>314</v>
      </c>
      <c r="X589" s="2" t="s">
        <v>98</v>
      </c>
      <c r="Y589" s="2" t="s">
        <v>3224</v>
      </c>
      <c r="Z589" s="4">
        <v>399</v>
      </c>
      <c r="AA589" s="4">
        <f>=ROUNDDOWN(285,0)</f>
      </c>
      <c r="AB589" s="5">
        <v>1.4</v>
      </c>
      <c r="AC589" s="2" t="s">
        <v>98</v>
      </c>
      <c r="AD589" s="4"/>
      <c r="AE589" s="4"/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98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 t="s">
        <v>98</v>
      </c>
      <c r="BD589" s="8" t="s">
        <v>98</v>
      </c>
      <c r="BE589" s="4" t="s">
        <v>98</v>
      </c>
      <c r="BF589" s="8" t="s">
        <v>98</v>
      </c>
      <c r="BG589" s="7" t="s">
        <v>98</v>
      </c>
      <c r="BH589" s="7" t="s">
        <v>98</v>
      </c>
      <c r="BI589" s="7"/>
      <c r="BJ589" s="4"/>
      <c r="BK589" s="8"/>
      <c r="BL589" s="2" t="s">
        <v>2239</v>
      </c>
      <c r="BM589" s="7"/>
      <c r="BN589" s="7"/>
      <c r="BO589" s="4"/>
      <c r="BP589" s="8"/>
      <c r="BQ589" s="4"/>
      <c r="BR589" s="8"/>
      <c r="BS589" s="7"/>
      <c r="BT589" s="7"/>
      <c r="BU589" s="2" t="s">
        <v>1376</v>
      </c>
      <c r="BV589" s="2" t="s">
        <v>95</v>
      </c>
      <c r="BW589" s="2" t="s">
        <v>98</v>
      </c>
      <c r="BX589" s="2" t="s">
        <v>98</v>
      </c>
      <c r="BY589" s="2" t="s">
        <v>110</v>
      </c>
      <c r="BZ589" s="2" t="s">
        <v>98</v>
      </c>
    </row>
    <row r="590">
      <c r="A590" s="2" t="s">
        <v>3225</v>
      </c>
      <c r="B590" s="2" t="s">
        <v>1345</v>
      </c>
      <c r="C590" s="2" t="s">
        <v>88</v>
      </c>
      <c r="D590" s="2" t="s">
        <v>3213</v>
      </c>
      <c r="E590" s="2" t="s">
        <v>3213</v>
      </c>
      <c r="F590" s="2" t="s">
        <v>3226</v>
      </c>
      <c r="G590" s="2" t="s">
        <v>1765</v>
      </c>
      <c r="H590" s="2" t="s">
        <v>3227</v>
      </c>
      <c r="I590" s="2" t="s">
        <v>3228</v>
      </c>
      <c r="J590" s="2" t="s">
        <v>93</v>
      </c>
      <c r="K590" s="2" t="s">
        <v>1423</v>
      </c>
      <c r="L590" s="3">
        <v>125.4</v>
      </c>
      <c r="M590" s="3">
        <v>131.67</v>
      </c>
      <c r="N590" s="3">
        <v>269</v>
      </c>
      <c r="O590" s="2" t="s">
        <v>95</v>
      </c>
      <c r="P590" s="2" t="s">
        <v>134</v>
      </c>
      <c r="Q590" s="2" t="s">
        <v>97</v>
      </c>
      <c r="R590" s="2" t="s">
        <v>98</v>
      </c>
      <c r="S590" s="2" t="s">
        <v>3229</v>
      </c>
      <c r="T590" s="2" t="s">
        <v>98</v>
      </c>
      <c r="U590" s="2" t="s">
        <v>98</v>
      </c>
      <c r="V590" s="2" t="s">
        <v>439</v>
      </c>
      <c r="W590" s="2" t="s">
        <v>103</v>
      </c>
      <c r="X590" s="2" t="s">
        <v>98</v>
      </c>
      <c r="Y590" s="2" t="s">
        <v>366</v>
      </c>
      <c r="Z590" s="4">
        <v>28</v>
      </c>
      <c r="AA590" s="4">
        <f>=ROUNDDOWN(3.04347826086957,0)</f>
      </c>
      <c r="AB590" s="5">
        <v>9.2</v>
      </c>
      <c r="AC590" s="2" t="s">
        <v>3078</v>
      </c>
      <c r="AD590" s="4">
        <v>61</v>
      </c>
      <c r="AE590" s="4">
        <v>324</v>
      </c>
      <c r="AF590" s="6">
        <v>76</v>
      </c>
      <c r="AG590" s="6">
        <v>67</v>
      </c>
      <c r="AH590" s="7">
        <v>1</v>
      </c>
      <c r="AI590" s="4"/>
      <c r="AJ590" s="4">
        <f>=ROUNDDOWN({0},0)</f>
      </c>
      <c r="AK590" s="5"/>
      <c r="AL590" s="2" t="s">
        <v>98</v>
      </c>
      <c r="AM590" s="4"/>
      <c r="AN590" s="4"/>
      <c r="AO590" s="7">
        <v>0</v>
      </c>
      <c r="AP590" s="4">
        <v>1</v>
      </c>
      <c r="AQ590" s="8">
        <v>117.19</v>
      </c>
      <c r="AR590" s="4">
        <v>2</v>
      </c>
      <c r="AS590" s="8">
        <v>254.76</v>
      </c>
      <c r="AT590" s="7">
        <v>-0.5</v>
      </c>
      <c r="AU590" s="7">
        <v>-0.54</v>
      </c>
      <c r="AV590" s="4">
        <v>1</v>
      </c>
      <c r="AW590" s="8">
        <v>117.19</v>
      </c>
      <c r="AX590" s="4">
        <v>2</v>
      </c>
      <c r="AY590" s="8">
        <v>254.76</v>
      </c>
      <c r="AZ590" s="7">
        <v>-0.5</v>
      </c>
      <c r="BA590" s="7">
        <v>-0.54</v>
      </c>
      <c r="BB590" s="7">
        <v>1</v>
      </c>
      <c r="BC590" s="4">
        <v>1</v>
      </c>
      <c r="BD590" s="8">
        <v>117.19</v>
      </c>
      <c r="BE590" s="4">
        <v>2</v>
      </c>
      <c r="BF590" s="8">
        <v>254.76</v>
      </c>
      <c r="BG590" s="7">
        <v>-0.5</v>
      </c>
      <c r="BH590" s="7">
        <v>-0.54</v>
      </c>
      <c r="BI590" s="7">
        <v>1</v>
      </c>
      <c r="BJ590" s="4">
        <v>9</v>
      </c>
      <c r="BK590" s="8">
        <v>1111.42</v>
      </c>
      <c r="BL590" s="2" t="s">
        <v>3230</v>
      </c>
      <c r="BM590" s="7">
        <v>0.1111</v>
      </c>
      <c r="BN590" s="7">
        <v>0.1054</v>
      </c>
      <c r="BO590" s="4">
        <v>1</v>
      </c>
      <c r="BP590" s="8">
        <v>117.19</v>
      </c>
      <c r="BQ590" s="4">
        <v>2</v>
      </c>
      <c r="BR590" s="8">
        <v>254.76</v>
      </c>
      <c r="BS590" s="7">
        <v>-0.5</v>
      </c>
      <c r="BT590" s="7">
        <v>-0.54</v>
      </c>
      <c r="BU590" s="2" t="s">
        <v>107</v>
      </c>
      <c r="BV590" s="2" t="s">
        <v>1355</v>
      </c>
      <c r="BW590" s="2" t="s">
        <v>3231</v>
      </c>
      <c r="BX590" s="2" t="s">
        <v>3232</v>
      </c>
      <c r="BY590" s="2" t="s">
        <v>110</v>
      </c>
      <c r="BZ590" s="2" t="s">
        <v>98</v>
      </c>
    </row>
    <row r="591">
      <c r="A591" s="2" t="s">
        <v>3233</v>
      </c>
      <c r="B591" s="2" t="s">
        <v>1345</v>
      </c>
      <c r="C591" s="2" t="s">
        <v>88</v>
      </c>
      <c r="D591" s="2" t="s">
        <v>3213</v>
      </c>
      <c r="E591" s="2" t="s">
        <v>3213</v>
      </c>
      <c r="F591" s="2" t="s">
        <v>3226</v>
      </c>
      <c r="G591" s="2" t="s">
        <v>1765</v>
      </c>
      <c r="H591" s="2" t="s">
        <v>3227</v>
      </c>
      <c r="I591" s="2" t="s">
        <v>3228</v>
      </c>
      <c r="J591" s="2" t="s">
        <v>93</v>
      </c>
      <c r="K591" s="2" t="s">
        <v>277</v>
      </c>
      <c r="L591" s="3">
        <v>125.4</v>
      </c>
      <c r="M591" s="3">
        <v>131.67</v>
      </c>
      <c r="N591" s="3">
        <v>269</v>
      </c>
      <c r="O591" s="2" t="s">
        <v>95</v>
      </c>
      <c r="P591" s="2" t="s">
        <v>134</v>
      </c>
      <c r="Q591" s="2" t="s">
        <v>97</v>
      </c>
      <c r="R591" s="2" t="s">
        <v>98</v>
      </c>
      <c r="S591" s="2" t="s">
        <v>98</v>
      </c>
      <c r="T591" s="2" t="s">
        <v>98</v>
      </c>
      <c r="U591" s="2" t="s">
        <v>117</v>
      </c>
      <c r="V591" s="2" t="s">
        <v>439</v>
      </c>
      <c r="W591" s="2" t="s">
        <v>103</v>
      </c>
      <c r="X591" s="2" t="s">
        <v>98</v>
      </c>
      <c r="Y591" s="2" t="s">
        <v>3234</v>
      </c>
      <c r="Z591" s="4"/>
      <c r="AA591" s="4">
        <f>=ROUNDDOWN({0},0)</f>
      </c>
      <c r="AB591" s="5">
        <v>12</v>
      </c>
      <c r="AC591" s="2" t="s">
        <v>3168</v>
      </c>
      <c r="AD591" s="4">
        <v>100</v>
      </c>
      <c r="AE591" s="4">
        <v>326</v>
      </c>
      <c r="AF591" s="6">
        <v>76</v>
      </c>
      <c r="AG591" s="6">
        <v>67</v>
      </c>
      <c r="AH591" s="7">
        <v>0</v>
      </c>
      <c r="AI591" s="4"/>
      <c r="AJ591" s="4">
        <f>=ROUNDDOWN({0},0)</f>
      </c>
      <c r="AK591" s="5"/>
      <c r="AL591" s="2" t="s">
        <v>98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/>
      <c r="AW591" s="8"/>
      <c r="AX591" s="4"/>
      <c r="AY591" s="8"/>
      <c r="AZ591" s="7"/>
      <c r="BA591" s="7"/>
      <c r="BB591" s="7"/>
      <c r="BC591" s="4" t="s">
        <v>98</v>
      </c>
      <c r="BD591" s="8" t="s">
        <v>98</v>
      </c>
      <c r="BE591" s="4" t="s">
        <v>98</v>
      </c>
      <c r="BF591" s="8" t="s">
        <v>98</v>
      </c>
      <c r="BG591" s="7" t="s">
        <v>98</v>
      </c>
      <c r="BH591" s="7" t="s">
        <v>98</v>
      </c>
      <c r="BI591" s="7"/>
      <c r="BJ591" s="4"/>
      <c r="BK591" s="8"/>
      <c r="BL591" s="2" t="s">
        <v>651</v>
      </c>
      <c r="BM591" s="7"/>
      <c r="BN591" s="7"/>
      <c r="BO591" s="4"/>
      <c r="BP591" s="8"/>
      <c r="BQ591" s="4"/>
      <c r="BR591" s="8"/>
      <c r="BS591" s="7"/>
      <c r="BT591" s="7"/>
      <c r="BU591" s="2" t="s">
        <v>1376</v>
      </c>
      <c r="BV591" s="2" t="s">
        <v>95</v>
      </c>
      <c r="BW591" s="2" t="s">
        <v>98</v>
      </c>
      <c r="BX591" s="2" t="s">
        <v>98</v>
      </c>
      <c r="BY591" s="2" t="s">
        <v>110</v>
      </c>
      <c r="BZ591" s="2" t="s">
        <v>98</v>
      </c>
    </row>
    <row r="592">
      <c r="A592" s="2" t="s">
        <v>3235</v>
      </c>
      <c r="B592" s="2" t="s">
        <v>1345</v>
      </c>
      <c r="C592" s="2" t="s">
        <v>88</v>
      </c>
      <c r="D592" s="2" t="s">
        <v>3213</v>
      </c>
      <c r="E592" s="2" t="s">
        <v>3213</v>
      </c>
      <c r="F592" s="2" t="s">
        <v>3226</v>
      </c>
      <c r="G592" s="2" t="s">
        <v>1765</v>
      </c>
      <c r="H592" s="2" t="s">
        <v>3227</v>
      </c>
      <c r="I592" s="2" t="s">
        <v>3228</v>
      </c>
      <c r="J592" s="2" t="s">
        <v>93</v>
      </c>
      <c r="K592" s="2" t="s">
        <v>1419</v>
      </c>
      <c r="L592" s="3">
        <v>125.4</v>
      </c>
      <c r="M592" s="3">
        <v>131.67</v>
      </c>
      <c r="N592" s="3">
        <v>269</v>
      </c>
      <c r="O592" s="2" t="s">
        <v>95</v>
      </c>
      <c r="P592" s="2" t="s">
        <v>134</v>
      </c>
      <c r="Q592" s="2" t="s">
        <v>97</v>
      </c>
      <c r="R592" s="2" t="s">
        <v>98</v>
      </c>
      <c r="S592" s="2" t="s">
        <v>3236</v>
      </c>
      <c r="T592" s="2" t="s">
        <v>98</v>
      </c>
      <c r="U592" s="2" t="s">
        <v>98</v>
      </c>
      <c r="V592" s="2" t="s">
        <v>439</v>
      </c>
      <c r="W592" s="2" t="s">
        <v>103</v>
      </c>
      <c r="X592" s="2" t="s">
        <v>98</v>
      </c>
      <c r="Y592" s="2" t="s">
        <v>366</v>
      </c>
      <c r="Z592" s="4">
        <v>112</v>
      </c>
      <c r="AA592" s="4">
        <f>=ROUNDDOWN(14.5454545454545,0)</f>
      </c>
      <c r="AB592" s="5">
        <v>7.7</v>
      </c>
      <c r="AC592" s="2" t="s">
        <v>1457</v>
      </c>
      <c r="AD592" s="4">
        <v>200</v>
      </c>
      <c r="AE592" s="4">
        <v>310</v>
      </c>
      <c r="AF592" s="6">
        <v>76</v>
      </c>
      <c r="AG592" s="6">
        <v>67</v>
      </c>
      <c r="AH592" s="7">
        <v>1</v>
      </c>
      <c r="AI592" s="4"/>
      <c r="AJ592" s="4">
        <f>=ROUNDDOWN({0},0)</f>
      </c>
      <c r="AK592" s="5"/>
      <c r="AL592" s="2" t="s">
        <v>98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/>
      <c r="AW592" s="8"/>
      <c r="AX592" s="4"/>
      <c r="AY592" s="8"/>
      <c r="AZ592" s="7"/>
      <c r="BA592" s="7"/>
      <c r="BB592" s="7"/>
      <c r="BC592" s="4" t="s">
        <v>98</v>
      </c>
      <c r="BD592" s="8" t="s">
        <v>98</v>
      </c>
      <c r="BE592" s="4" t="s">
        <v>98</v>
      </c>
      <c r="BF592" s="8" t="s">
        <v>98</v>
      </c>
      <c r="BG592" s="7" t="s">
        <v>98</v>
      </c>
      <c r="BH592" s="7" t="s">
        <v>98</v>
      </c>
      <c r="BI592" s="7"/>
      <c r="BJ592" s="4">
        <v>2</v>
      </c>
      <c r="BK592" s="8">
        <v>219.17</v>
      </c>
      <c r="BL592" s="2" t="s">
        <v>3237</v>
      </c>
      <c r="BM592" s="7"/>
      <c r="BN592" s="7"/>
      <c r="BO592" s="4"/>
      <c r="BP592" s="8"/>
      <c r="BQ592" s="4"/>
      <c r="BR592" s="8"/>
      <c r="BS592" s="7"/>
      <c r="BT592" s="7"/>
      <c r="BU592" s="2" t="s">
        <v>107</v>
      </c>
      <c r="BV592" s="2" t="s">
        <v>1355</v>
      </c>
      <c r="BW592" s="2" t="s">
        <v>3231</v>
      </c>
      <c r="BX592" s="2" t="s">
        <v>3238</v>
      </c>
      <c r="BY592" s="2" t="s">
        <v>110</v>
      </c>
      <c r="BZ592" s="2" t="s">
        <v>98</v>
      </c>
    </row>
    <row r="593">
      <c r="A593" s="2" t="s">
        <v>3239</v>
      </c>
      <c r="B593" s="2" t="s">
        <v>1345</v>
      </c>
      <c r="C593" s="2" t="s">
        <v>88</v>
      </c>
      <c r="D593" s="2" t="s">
        <v>3213</v>
      </c>
      <c r="E593" s="2" t="s">
        <v>3213</v>
      </c>
      <c r="F593" s="2" t="s">
        <v>3240</v>
      </c>
      <c r="G593" s="2" t="s">
        <v>3241</v>
      </c>
      <c r="H593" s="2" t="s">
        <v>3242</v>
      </c>
      <c r="I593" s="2" t="s">
        <v>3243</v>
      </c>
      <c r="J593" s="2" t="s">
        <v>93</v>
      </c>
      <c r="K593" s="2" t="s">
        <v>236</v>
      </c>
      <c r="L593" s="3">
        <v>173.25</v>
      </c>
      <c r="M593" s="3">
        <v>181.91</v>
      </c>
      <c r="N593" s="3">
        <v>369</v>
      </c>
      <c r="O593" s="2" t="s">
        <v>95</v>
      </c>
      <c r="P593" s="2" t="s">
        <v>115</v>
      </c>
      <c r="Q593" s="2" t="s">
        <v>97</v>
      </c>
      <c r="R593" s="2" t="s">
        <v>98</v>
      </c>
      <c r="S593" s="2" t="s">
        <v>3244</v>
      </c>
      <c r="T593" s="2" t="s">
        <v>98</v>
      </c>
      <c r="U593" s="2" t="s">
        <v>98</v>
      </c>
      <c r="V593" s="2" t="s">
        <v>339</v>
      </c>
      <c r="W593" s="2" t="s">
        <v>314</v>
      </c>
      <c r="X593" s="2" t="s">
        <v>98</v>
      </c>
      <c r="Y593" s="2" t="s">
        <v>366</v>
      </c>
      <c r="Z593" s="4">
        <v>21</v>
      </c>
      <c r="AA593" s="4">
        <f>=ROUNDDOWN(21,0)</f>
      </c>
      <c r="AB593" s="5">
        <v>1</v>
      </c>
      <c r="AC593" s="2" t="s">
        <v>98</v>
      </c>
      <c r="AD593" s="4"/>
      <c r="AE593" s="4"/>
      <c r="AF593" s="6">
        <v>65</v>
      </c>
      <c r="AG593" s="6"/>
      <c r="AH593" s="7">
        <v>1</v>
      </c>
      <c r="AI593" s="4"/>
      <c r="AJ593" s="4">
        <f>=ROUNDDOWN({0},0)</f>
      </c>
      <c r="AK593" s="5"/>
      <c r="AL593" s="2" t="s">
        <v>98</v>
      </c>
      <c r="AM593" s="4"/>
      <c r="AN593" s="4"/>
      <c r="AO593" s="7">
        <v>0</v>
      </c>
      <c r="AP593" s="4"/>
      <c r="AQ593" s="8"/>
      <c r="AR593" s="4">
        <v>2</v>
      </c>
      <c r="AS593" s="8">
        <v>327.94</v>
      </c>
      <c r="AT593" s="7">
        <v>-1</v>
      </c>
      <c r="AU593" s="7">
        <v>-1</v>
      </c>
      <c r="AV593" s="4"/>
      <c r="AW593" s="8"/>
      <c r="AX593" s="4">
        <v>2</v>
      </c>
      <c r="AY593" s="8">
        <v>327.94</v>
      </c>
      <c r="AZ593" s="7">
        <v>-1</v>
      </c>
      <c r="BA593" s="7">
        <v>-1</v>
      </c>
      <c r="BB593" s="7"/>
      <c r="BC593" s="4"/>
      <c r="BD593" s="8"/>
      <c r="BE593" s="4">
        <v>2</v>
      </c>
      <c r="BF593" s="8">
        <v>327.94</v>
      </c>
      <c r="BG593" s="7">
        <v>-1</v>
      </c>
      <c r="BH593" s="7">
        <v>-1</v>
      </c>
      <c r="BI593" s="7"/>
      <c r="BJ593" s="4"/>
      <c r="BK593" s="8"/>
      <c r="BL593" s="2" t="s">
        <v>1445</v>
      </c>
      <c r="BM593" s="7"/>
      <c r="BN593" s="7"/>
      <c r="BO593" s="4"/>
      <c r="BP593" s="8"/>
      <c r="BQ593" s="4">
        <v>2</v>
      </c>
      <c r="BR593" s="8">
        <v>327.94</v>
      </c>
      <c r="BS593" s="7">
        <v>-1</v>
      </c>
      <c r="BT593" s="7">
        <v>-1</v>
      </c>
      <c r="BU593" s="2" t="s">
        <v>107</v>
      </c>
      <c r="BV593" s="2" t="s">
        <v>1355</v>
      </c>
      <c r="BW593" s="2" t="s">
        <v>3231</v>
      </c>
      <c r="BX593" s="2" t="s">
        <v>3245</v>
      </c>
      <c r="BY593" s="2" t="s">
        <v>110</v>
      </c>
      <c r="BZ593" s="2" t="s">
        <v>98</v>
      </c>
    </row>
    <row r="594">
      <c r="A594" s="2" t="s">
        <v>3246</v>
      </c>
      <c r="B594" s="2" t="s">
        <v>1345</v>
      </c>
      <c r="C594" s="2" t="s">
        <v>88</v>
      </c>
      <c r="D594" s="2" t="s">
        <v>3213</v>
      </c>
      <c r="E594" s="2" t="s">
        <v>3213</v>
      </c>
      <c r="F594" s="2" t="s">
        <v>2857</v>
      </c>
      <c r="G594" s="2" t="s">
        <v>3247</v>
      </c>
      <c r="H594" s="2" t="s">
        <v>3248</v>
      </c>
      <c r="I594" s="2" t="s">
        <v>3249</v>
      </c>
      <c r="J594" s="2" t="s">
        <v>93</v>
      </c>
      <c r="K594" s="2" t="s">
        <v>277</v>
      </c>
      <c r="L594" s="3">
        <v>60</v>
      </c>
      <c r="M594" s="3">
        <v>63</v>
      </c>
      <c r="N594" s="3">
        <v>129</v>
      </c>
      <c r="O594" s="2" t="s">
        <v>155</v>
      </c>
      <c r="P594" s="2" t="s">
        <v>115</v>
      </c>
      <c r="Q594" s="2" t="s">
        <v>97</v>
      </c>
      <c r="R594" s="2" t="s">
        <v>98</v>
      </c>
      <c r="S594" s="2" t="s">
        <v>3250</v>
      </c>
      <c r="T594" s="2" t="s">
        <v>98</v>
      </c>
      <c r="U594" s="2" t="s">
        <v>98</v>
      </c>
      <c r="V594" s="2" t="s">
        <v>439</v>
      </c>
      <c r="W594" s="2" t="s">
        <v>963</v>
      </c>
      <c r="X594" s="2" t="s">
        <v>98</v>
      </c>
      <c r="Y594" s="2" t="s">
        <v>366</v>
      </c>
      <c r="Z594" s="4">
        <v>4</v>
      </c>
      <c r="AA594" s="4">
        <f>=ROUNDDOWN(3.07692307692308,0)</f>
      </c>
      <c r="AB594" s="5">
        <v>1.3</v>
      </c>
      <c r="AC594" s="2" t="s">
        <v>98</v>
      </c>
      <c r="AD594" s="4"/>
      <c r="AE594" s="4"/>
      <c r="AF594" s="6">
        <v>65</v>
      </c>
      <c r="AG594" s="6">
        <v>48</v>
      </c>
      <c r="AH594" s="7">
        <v>1</v>
      </c>
      <c r="AI594" s="4"/>
      <c r="AJ594" s="4">
        <f>=ROUNDDOWN({0},0)</f>
      </c>
      <c r="AK594" s="5"/>
      <c r="AL594" s="2" t="s">
        <v>98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/>
      <c r="AW594" s="8"/>
      <c r="AX594" s="4"/>
      <c r="AY594" s="8"/>
      <c r="AZ594" s="7"/>
      <c r="BA594" s="7"/>
      <c r="BB594" s="7"/>
      <c r="BC594" s="4"/>
      <c r="BD594" s="8"/>
      <c r="BE594" s="4"/>
      <c r="BF594" s="8"/>
      <c r="BG594" s="7"/>
      <c r="BH594" s="7"/>
      <c r="BI594" s="7"/>
      <c r="BJ594" s="4">
        <v>1</v>
      </c>
      <c r="BK594" s="8">
        <v>35.97</v>
      </c>
      <c r="BL594" s="2" t="s">
        <v>895</v>
      </c>
      <c r="BM594" s="7"/>
      <c r="BN594" s="7"/>
      <c r="BO594" s="4"/>
      <c r="BP594" s="8"/>
      <c r="BQ594" s="4"/>
      <c r="BR594" s="8"/>
      <c r="BS594" s="7"/>
      <c r="BT594" s="7"/>
      <c r="BU594" s="2" t="s">
        <v>107</v>
      </c>
      <c r="BV594" s="2" t="s">
        <v>1355</v>
      </c>
      <c r="BW594" s="2" t="s">
        <v>2232</v>
      </c>
      <c r="BX594" s="2" t="s">
        <v>3251</v>
      </c>
      <c r="BY594" s="2" t="s">
        <v>110</v>
      </c>
      <c r="BZ594" s="2" t="s">
        <v>98</v>
      </c>
    </row>
    <row r="595">
      <c r="A595" s="2" t="s">
        <v>3252</v>
      </c>
      <c r="B595" s="2" t="s">
        <v>1345</v>
      </c>
      <c r="C595" s="2" t="s">
        <v>88</v>
      </c>
      <c r="D595" s="2" t="s">
        <v>3213</v>
      </c>
      <c r="E595" s="2" t="s">
        <v>3213</v>
      </c>
      <c r="F595" s="2" t="s">
        <v>3253</v>
      </c>
      <c r="G595" s="2" t="s">
        <v>3254</v>
      </c>
      <c r="H595" s="2" t="s">
        <v>1950</v>
      </c>
      <c r="I595" s="2" t="s">
        <v>3255</v>
      </c>
      <c r="J595" s="2" t="s">
        <v>93</v>
      </c>
      <c r="K595" s="2" t="s">
        <v>277</v>
      </c>
      <c r="L595" s="3">
        <v>153</v>
      </c>
      <c r="M595" s="3">
        <v>160.65</v>
      </c>
      <c r="N595" s="3">
        <v>319</v>
      </c>
      <c r="O595" s="2" t="s">
        <v>95</v>
      </c>
      <c r="P595" s="2" t="s">
        <v>134</v>
      </c>
      <c r="Q595" s="2" t="s">
        <v>97</v>
      </c>
      <c r="R595" s="2" t="s">
        <v>98</v>
      </c>
      <c r="S595" s="2" t="s">
        <v>3256</v>
      </c>
      <c r="T595" s="2" t="s">
        <v>98</v>
      </c>
      <c r="U595" s="2" t="s">
        <v>98</v>
      </c>
      <c r="V595" s="2" t="s">
        <v>439</v>
      </c>
      <c r="W595" s="2" t="s">
        <v>314</v>
      </c>
      <c r="X595" s="2" t="s">
        <v>98</v>
      </c>
      <c r="Y595" s="2" t="s">
        <v>366</v>
      </c>
      <c r="Z595" s="4">
        <v>33</v>
      </c>
      <c r="AA595" s="4">
        <f>=ROUNDDOWN(4.34210526315789,0)</f>
      </c>
      <c r="AB595" s="5">
        <v>7.6</v>
      </c>
      <c r="AC595" s="2" t="s">
        <v>323</v>
      </c>
      <c r="AD595" s="4">
        <v>90</v>
      </c>
      <c r="AE595" s="4">
        <v>148</v>
      </c>
      <c r="AF595" s="6">
        <v>65</v>
      </c>
      <c r="AG595" s="6">
        <v>48</v>
      </c>
      <c r="AH595" s="7">
        <v>1</v>
      </c>
      <c r="AI595" s="4"/>
      <c r="AJ595" s="4">
        <f>=ROUNDDOWN({0},0)</f>
      </c>
      <c r="AK595" s="5"/>
      <c r="AL595" s="2" t="s">
        <v>1729</v>
      </c>
      <c r="AM595" s="4">
        <v>50</v>
      </c>
      <c r="AN595" s="4">
        <v>260</v>
      </c>
      <c r="AO595" s="7">
        <v>0</v>
      </c>
      <c r="AP595" s="4"/>
      <c r="AQ595" s="8"/>
      <c r="AR595" s="4">
        <v>2</v>
      </c>
      <c r="AS595" s="8">
        <v>325</v>
      </c>
      <c r="AT595" s="7">
        <v>-1</v>
      </c>
      <c r="AU595" s="7">
        <v>-1</v>
      </c>
      <c r="AV595" s="4"/>
      <c r="AW595" s="8"/>
      <c r="AX595" s="4">
        <v>2</v>
      </c>
      <c r="AY595" s="8">
        <v>325</v>
      </c>
      <c r="AZ595" s="7">
        <v>-1</v>
      </c>
      <c r="BA595" s="7">
        <v>-1</v>
      </c>
      <c r="BB595" s="7"/>
      <c r="BC595" s="4" t="s">
        <v>98</v>
      </c>
      <c r="BD595" s="8" t="s">
        <v>98</v>
      </c>
      <c r="BE595" s="4">
        <v>2</v>
      </c>
      <c r="BF595" s="8">
        <v>325</v>
      </c>
      <c r="BG595" s="7" t="s">
        <v>98</v>
      </c>
      <c r="BH595" s="7" t="s">
        <v>98</v>
      </c>
      <c r="BI595" s="7"/>
      <c r="BJ595" s="4">
        <v>10</v>
      </c>
      <c r="BK595" s="8">
        <v>1555.59</v>
      </c>
      <c r="BL595" s="2" t="s">
        <v>2231</v>
      </c>
      <c r="BM595" s="7"/>
      <c r="BN595" s="7"/>
      <c r="BO595" s="4"/>
      <c r="BP595" s="8"/>
      <c r="BQ595" s="4">
        <v>2</v>
      </c>
      <c r="BR595" s="8">
        <v>325</v>
      </c>
      <c r="BS595" s="7">
        <v>-1</v>
      </c>
      <c r="BT595" s="7">
        <v>-1</v>
      </c>
      <c r="BU595" s="2" t="s">
        <v>107</v>
      </c>
      <c r="BV595" s="2" t="s">
        <v>1355</v>
      </c>
      <c r="BW595" s="2" t="s">
        <v>250</v>
      </c>
      <c r="BX595" s="2" t="s">
        <v>823</v>
      </c>
      <c r="BY595" s="2" t="s">
        <v>110</v>
      </c>
      <c r="BZ595" s="2" t="s">
        <v>98</v>
      </c>
    </row>
    <row r="596">
      <c r="A596" s="2" t="s">
        <v>3257</v>
      </c>
      <c r="B596" s="2" t="s">
        <v>1345</v>
      </c>
      <c r="C596" s="2" t="s">
        <v>88</v>
      </c>
      <c r="D596" s="2" t="s">
        <v>3213</v>
      </c>
      <c r="E596" s="2" t="s">
        <v>3213</v>
      </c>
      <c r="F596" s="2" t="s">
        <v>3253</v>
      </c>
      <c r="G596" s="2" t="s">
        <v>3254</v>
      </c>
      <c r="H596" s="2" t="s">
        <v>1950</v>
      </c>
      <c r="I596" s="2" t="s">
        <v>3255</v>
      </c>
      <c r="J596" s="2" t="s">
        <v>93</v>
      </c>
      <c r="K596" s="2" t="s">
        <v>1439</v>
      </c>
      <c r="L596" s="3">
        <v>153</v>
      </c>
      <c r="M596" s="3">
        <v>160.65</v>
      </c>
      <c r="N596" s="3">
        <v>319</v>
      </c>
      <c r="O596" s="2" t="s">
        <v>95</v>
      </c>
      <c r="P596" s="2" t="s">
        <v>96</v>
      </c>
      <c r="Q596" s="2" t="s">
        <v>97</v>
      </c>
      <c r="R596" s="2" t="s">
        <v>98</v>
      </c>
      <c r="S596" s="2" t="s">
        <v>98</v>
      </c>
      <c r="T596" s="2" t="s">
        <v>98</v>
      </c>
      <c r="U596" s="2" t="s">
        <v>117</v>
      </c>
      <c r="V596" s="2" t="s">
        <v>439</v>
      </c>
      <c r="W596" s="2" t="s">
        <v>314</v>
      </c>
      <c r="X596" s="2" t="s">
        <v>98</v>
      </c>
      <c r="Y596" s="2" t="s">
        <v>3258</v>
      </c>
      <c r="Z596" s="4">
        <v>18</v>
      </c>
      <c r="AA596" s="4">
        <f>=ROUNDDOWN(4.61538461538462,0)</f>
      </c>
      <c r="AB596" s="5">
        <v>3.9</v>
      </c>
      <c r="AC596" s="2" t="s">
        <v>1729</v>
      </c>
      <c r="AD596" s="4">
        <v>62</v>
      </c>
      <c r="AE596" s="4">
        <v>134</v>
      </c>
      <c r="AF596" s="6">
        <v>65</v>
      </c>
      <c r="AG596" s="6">
        <v>48</v>
      </c>
      <c r="AH596" s="7">
        <v>1</v>
      </c>
      <c r="AI596" s="4"/>
      <c r="AJ596" s="4">
        <f>=ROUNDDOWN({0},0)</f>
      </c>
      <c r="AK596" s="5"/>
      <c r="AL596" s="2" t="s">
        <v>1729</v>
      </c>
      <c r="AM596" s="4">
        <v>50</v>
      </c>
      <c r="AN596" s="4">
        <v>265</v>
      </c>
      <c r="AO596" s="7">
        <v>0</v>
      </c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 t="s">
        <v>98</v>
      </c>
      <c r="BD596" s="8" t="s">
        <v>98</v>
      </c>
      <c r="BE596" s="4" t="s">
        <v>98</v>
      </c>
      <c r="BF596" s="8" t="s">
        <v>98</v>
      </c>
      <c r="BG596" s="7" t="s">
        <v>98</v>
      </c>
      <c r="BH596" s="7" t="s">
        <v>98</v>
      </c>
      <c r="BI596" s="7"/>
      <c r="BJ596" s="4">
        <v>20</v>
      </c>
      <c r="BK596" s="8">
        <v>3160.44</v>
      </c>
      <c r="BL596" s="2" t="s">
        <v>3259</v>
      </c>
      <c r="BM596" s="7"/>
      <c r="BN596" s="7"/>
      <c r="BO596" s="4"/>
      <c r="BP596" s="8"/>
      <c r="BQ596" s="4"/>
      <c r="BR596" s="8"/>
      <c r="BS596" s="7"/>
      <c r="BT596" s="7"/>
      <c r="BU596" s="2" t="s">
        <v>107</v>
      </c>
      <c r="BV596" s="2" t="s">
        <v>1355</v>
      </c>
      <c r="BW596" s="2" t="s">
        <v>707</v>
      </c>
      <c r="BX596" s="2" t="s">
        <v>98</v>
      </c>
      <c r="BY596" s="2" t="s">
        <v>110</v>
      </c>
      <c r="BZ596" s="2" t="s">
        <v>98</v>
      </c>
    </row>
    <row r="597">
      <c r="A597" s="2" t="s">
        <v>3260</v>
      </c>
      <c r="B597" s="2" t="s">
        <v>1345</v>
      </c>
      <c r="C597" s="2" t="s">
        <v>88</v>
      </c>
      <c r="D597" s="2" t="s">
        <v>3213</v>
      </c>
      <c r="E597" s="2" t="s">
        <v>3213</v>
      </c>
      <c r="F597" s="2" t="s">
        <v>3261</v>
      </c>
      <c r="G597" s="2" t="s">
        <v>3262</v>
      </c>
      <c r="H597" s="2" t="s">
        <v>3263</v>
      </c>
      <c r="I597" s="2" t="s">
        <v>3264</v>
      </c>
      <c r="J597" s="2" t="s">
        <v>93</v>
      </c>
      <c r="K597" s="2" t="s">
        <v>133</v>
      </c>
      <c r="L597" s="3">
        <v>140.25</v>
      </c>
      <c r="M597" s="3">
        <v>147.26</v>
      </c>
      <c r="N597" s="3">
        <v>299</v>
      </c>
      <c r="O597" s="2" t="s">
        <v>95</v>
      </c>
      <c r="P597" s="2" t="s">
        <v>134</v>
      </c>
      <c r="Q597" s="2" t="s">
        <v>97</v>
      </c>
      <c r="R597" s="2" t="s">
        <v>98</v>
      </c>
      <c r="S597" s="2" t="s">
        <v>98</v>
      </c>
      <c r="T597" s="2" t="s">
        <v>98</v>
      </c>
      <c r="U597" s="2" t="s">
        <v>117</v>
      </c>
      <c r="V597" s="2" t="s">
        <v>439</v>
      </c>
      <c r="W597" s="2" t="s">
        <v>103</v>
      </c>
      <c r="X597" s="2" t="s">
        <v>102</v>
      </c>
      <c r="Y597" s="2" t="s">
        <v>2621</v>
      </c>
      <c r="Z597" s="4">
        <v>2</v>
      </c>
      <c r="AA597" s="4">
        <f>=ROUNDDOWN(0.338983050847458,0)</f>
      </c>
      <c r="AB597" s="5">
        <v>5.9</v>
      </c>
      <c r="AC597" s="2" t="s">
        <v>1396</v>
      </c>
      <c r="AD597" s="4">
        <v>96</v>
      </c>
      <c r="AE597" s="4">
        <v>96</v>
      </c>
      <c r="AF597" s="6">
        <v>65</v>
      </c>
      <c r="AG597" s="6"/>
      <c r="AH597" s="7">
        <v>0</v>
      </c>
      <c r="AI597" s="4"/>
      <c r="AJ597" s="4">
        <f>=ROUNDDOWN({0},0)</f>
      </c>
      <c r="AK597" s="5"/>
      <c r="AL597" s="2" t="s">
        <v>98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/>
      <c r="BD597" s="8"/>
      <c r="BE597" s="4"/>
      <c r="BF597" s="8"/>
      <c r="BG597" s="7"/>
      <c r="BH597" s="7"/>
      <c r="BI597" s="7"/>
      <c r="BJ597" s="4">
        <v>4</v>
      </c>
      <c r="BK597" s="8">
        <v>617.03</v>
      </c>
      <c r="BL597" s="2" t="s">
        <v>1379</v>
      </c>
      <c r="BM597" s="7"/>
      <c r="BN597" s="7"/>
      <c r="BO597" s="4"/>
      <c r="BP597" s="8"/>
      <c r="BQ597" s="4"/>
      <c r="BR597" s="8"/>
      <c r="BS597" s="7"/>
      <c r="BT597" s="7"/>
      <c r="BU597" s="2" t="s">
        <v>1376</v>
      </c>
      <c r="BV597" s="2" t="s">
        <v>95</v>
      </c>
      <c r="BW597" s="2" t="s">
        <v>98</v>
      </c>
      <c r="BX597" s="2" t="s">
        <v>98</v>
      </c>
      <c r="BY597" s="2" t="s">
        <v>110</v>
      </c>
      <c r="BZ597" s="2" t="s">
        <v>98</v>
      </c>
    </row>
    <row r="598">
      <c r="A598" s="2" t="s">
        <v>3265</v>
      </c>
      <c r="B598" s="2" t="s">
        <v>1345</v>
      </c>
      <c r="C598" s="2" t="s">
        <v>88</v>
      </c>
      <c r="D598" s="2" t="s">
        <v>3213</v>
      </c>
      <c r="E598" s="2" t="s">
        <v>3213</v>
      </c>
      <c r="F598" s="2" t="s">
        <v>3266</v>
      </c>
      <c r="G598" s="2" t="s">
        <v>1865</v>
      </c>
      <c r="H598" s="2" t="s">
        <v>3267</v>
      </c>
      <c r="I598" s="2" t="s">
        <v>3268</v>
      </c>
      <c r="J598" s="2" t="s">
        <v>93</v>
      </c>
      <c r="K598" s="2" t="s">
        <v>277</v>
      </c>
      <c r="L598" s="3">
        <v>95</v>
      </c>
      <c r="M598" s="3">
        <v>99.75</v>
      </c>
      <c r="N598" s="3">
        <v>199</v>
      </c>
      <c r="O598" s="2" t="s">
        <v>95</v>
      </c>
      <c r="P598" s="2" t="s">
        <v>134</v>
      </c>
      <c r="Q598" s="2" t="s">
        <v>97</v>
      </c>
      <c r="R598" s="2" t="s">
        <v>98</v>
      </c>
      <c r="S598" s="2" t="s">
        <v>3269</v>
      </c>
      <c r="T598" s="2" t="s">
        <v>98</v>
      </c>
      <c r="U598" s="2" t="s">
        <v>98</v>
      </c>
      <c r="V598" s="2" t="s">
        <v>439</v>
      </c>
      <c r="W598" s="2" t="s">
        <v>102</v>
      </c>
      <c r="X598" s="2" t="s">
        <v>98</v>
      </c>
      <c r="Y598" s="2" t="s">
        <v>366</v>
      </c>
      <c r="Z598" s="4">
        <v>163</v>
      </c>
      <c r="AA598" s="4">
        <f>=ROUNDDOWN(20.375,0)</f>
      </c>
      <c r="AB598" s="5">
        <v>8</v>
      </c>
      <c r="AC598" s="2" t="s">
        <v>177</v>
      </c>
      <c r="AD598" s="4">
        <v>32</v>
      </c>
      <c r="AE598" s="4">
        <v>112</v>
      </c>
      <c r="AF598" s="6">
        <v>65</v>
      </c>
      <c r="AG598" s="6">
        <v>48</v>
      </c>
      <c r="AH598" s="7">
        <v>1</v>
      </c>
      <c r="AI598" s="4"/>
      <c r="AJ598" s="4">
        <f>=ROUNDDOWN({0},0)</f>
      </c>
      <c r="AK598" s="5"/>
      <c r="AL598" s="2" t="s">
        <v>98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 t="s">
        <v>98</v>
      </c>
      <c r="BD598" s="8" t="s">
        <v>98</v>
      </c>
      <c r="BE598" s="4">
        <v>1</v>
      </c>
      <c r="BF598" s="8">
        <v>100.25</v>
      </c>
      <c r="BG598" s="7" t="s">
        <v>98</v>
      </c>
      <c r="BH598" s="7" t="s">
        <v>98</v>
      </c>
      <c r="BI598" s="7"/>
      <c r="BJ598" s="4">
        <v>5</v>
      </c>
      <c r="BK598" s="8">
        <v>489.39</v>
      </c>
      <c r="BL598" s="2" t="s">
        <v>3270</v>
      </c>
      <c r="BM598" s="7"/>
      <c r="BN598" s="7"/>
      <c r="BO598" s="4"/>
      <c r="BP598" s="8"/>
      <c r="BQ598" s="4"/>
      <c r="BR598" s="8"/>
      <c r="BS598" s="7"/>
      <c r="BT598" s="7"/>
      <c r="BU598" s="2" t="s">
        <v>107</v>
      </c>
      <c r="BV598" s="2" t="s">
        <v>1355</v>
      </c>
      <c r="BW598" s="2" t="s">
        <v>1356</v>
      </c>
      <c r="BX598" s="2" t="s">
        <v>1484</v>
      </c>
      <c r="BY598" s="2" t="s">
        <v>110</v>
      </c>
      <c r="BZ598" s="2" t="s">
        <v>98</v>
      </c>
    </row>
    <row r="599">
      <c r="A599" s="2" t="s">
        <v>3271</v>
      </c>
      <c r="B599" s="2" t="s">
        <v>1345</v>
      </c>
      <c r="C599" s="2" t="s">
        <v>88</v>
      </c>
      <c r="D599" s="2" t="s">
        <v>3213</v>
      </c>
      <c r="E599" s="2" t="s">
        <v>3213</v>
      </c>
      <c r="F599" s="2" t="s">
        <v>3266</v>
      </c>
      <c r="G599" s="2" t="s">
        <v>1865</v>
      </c>
      <c r="H599" s="2" t="s">
        <v>3267</v>
      </c>
      <c r="I599" s="2" t="s">
        <v>3268</v>
      </c>
      <c r="J599" s="2" t="s">
        <v>93</v>
      </c>
      <c r="K599" s="2" t="s">
        <v>1052</v>
      </c>
      <c r="L599" s="3">
        <v>95</v>
      </c>
      <c r="M599" s="3">
        <v>99.75</v>
      </c>
      <c r="N599" s="3">
        <v>199</v>
      </c>
      <c r="O599" s="2" t="s">
        <v>155</v>
      </c>
      <c r="P599" s="2" t="s">
        <v>115</v>
      </c>
      <c r="Q599" s="2" t="s">
        <v>97</v>
      </c>
      <c r="R599" s="2" t="s">
        <v>98</v>
      </c>
      <c r="S599" s="2" t="s">
        <v>3272</v>
      </c>
      <c r="T599" s="2" t="s">
        <v>98</v>
      </c>
      <c r="U599" s="2" t="s">
        <v>98</v>
      </c>
      <c r="V599" s="2" t="s">
        <v>439</v>
      </c>
      <c r="W599" s="2" t="s">
        <v>102</v>
      </c>
      <c r="X599" s="2" t="s">
        <v>98</v>
      </c>
      <c r="Y599" s="2" t="s">
        <v>366</v>
      </c>
      <c r="Z599" s="4">
        <v>41</v>
      </c>
      <c r="AA599" s="4">
        <f>=ROUNDDOWN(41,0)</f>
      </c>
      <c r="AB599" s="5">
        <v>1</v>
      </c>
      <c r="AC599" s="2" t="s">
        <v>98</v>
      </c>
      <c r="AD599" s="4"/>
      <c r="AE599" s="4"/>
      <c r="AF599" s="6">
        <v>65</v>
      </c>
      <c r="AG599" s="6">
        <v>48</v>
      </c>
      <c r="AH599" s="7">
        <v>1</v>
      </c>
      <c r="AI599" s="4"/>
      <c r="AJ599" s="4">
        <f>=ROUNDDOWN({0},0)</f>
      </c>
      <c r="AK599" s="5"/>
      <c r="AL599" s="2" t="s">
        <v>98</v>
      </c>
      <c r="AM599" s="4"/>
      <c r="AN599" s="4"/>
      <c r="AO599" s="7">
        <v>0</v>
      </c>
      <c r="AP599" s="4"/>
      <c r="AQ599" s="8"/>
      <c r="AR599" s="4">
        <v>1</v>
      </c>
      <c r="AS599" s="8">
        <v>100.25</v>
      </c>
      <c r="AT599" s="7">
        <v>-1</v>
      </c>
      <c r="AU599" s="7">
        <v>-1</v>
      </c>
      <c r="AV599" s="4"/>
      <c r="AW599" s="8"/>
      <c r="AX599" s="4">
        <v>1</v>
      </c>
      <c r="AY599" s="8">
        <v>100.25</v>
      </c>
      <c r="AZ599" s="7">
        <v>-1</v>
      </c>
      <c r="BA599" s="7">
        <v>-1</v>
      </c>
      <c r="BB599" s="7"/>
      <c r="BC599" s="4" t="s">
        <v>98</v>
      </c>
      <c r="BD599" s="8" t="s">
        <v>98</v>
      </c>
      <c r="BE599" s="4" t="s">
        <v>98</v>
      </c>
      <c r="BF599" s="8" t="s">
        <v>98</v>
      </c>
      <c r="BG599" s="7" t="s">
        <v>98</v>
      </c>
      <c r="BH599" s="7" t="s">
        <v>98</v>
      </c>
      <c r="BI599" s="7"/>
      <c r="BJ599" s="4">
        <v>1</v>
      </c>
      <c r="BK599" s="8">
        <v>92.87</v>
      </c>
      <c r="BL599" s="2" t="s">
        <v>1463</v>
      </c>
      <c r="BM599" s="7"/>
      <c r="BN599" s="7"/>
      <c r="BO599" s="4"/>
      <c r="BP599" s="8"/>
      <c r="BQ599" s="4">
        <v>1</v>
      </c>
      <c r="BR599" s="8">
        <v>100.25</v>
      </c>
      <c r="BS599" s="7">
        <v>-1</v>
      </c>
      <c r="BT599" s="7">
        <v>-1</v>
      </c>
      <c r="BU599" s="2" t="s">
        <v>107</v>
      </c>
      <c r="BV599" s="2" t="s">
        <v>1355</v>
      </c>
      <c r="BW599" s="2" t="s">
        <v>1356</v>
      </c>
      <c r="BX599" s="2" t="s">
        <v>1417</v>
      </c>
      <c r="BY599" s="2" t="s">
        <v>110</v>
      </c>
      <c r="BZ599" s="2" t="s">
        <v>98</v>
      </c>
    </row>
    <row r="600">
      <c r="A600" s="2" t="s">
        <v>3273</v>
      </c>
      <c r="B600" s="2" t="s">
        <v>1345</v>
      </c>
      <c r="C600" s="2" t="s">
        <v>88</v>
      </c>
      <c r="D600" s="2" t="s">
        <v>3213</v>
      </c>
      <c r="E600" s="2" t="s">
        <v>3213</v>
      </c>
      <c r="F600" s="2" t="s">
        <v>3266</v>
      </c>
      <c r="G600" s="2" t="s">
        <v>1865</v>
      </c>
      <c r="H600" s="2" t="s">
        <v>3267</v>
      </c>
      <c r="I600" s="2" t="s">
        <v>3268</v>
      </c>
      <c r="J600" s="2" t="s">
        <v>93</v>
      </c>
      <c r="K600" s="2" t="s">
        <v>133</v>
      </c>
      <c r="L600" s="3">
        <v>95</v>
      </c>
      <c r="M600" s="3">
        <v>99.75</v>
      </c>
      <c r="N600" s="3">
        <v>199</v>
      </c>
      <c r="O600" s="2" t="s">
        <v>95</v>
      </c>
      <c r="P600" s="2" t="s">
        <v>115</v>
      </c>
      <c r="Q600" s="2" t="s">
        <v>97</v>
      </c>
      <c r="R600" s="2" t="s">
        <v>98</v>
      </c>
      <c r="S600" s="2" t="s">
        <v>3274</v>
      </c>
      <c r="T600" s="2" t="s">
        <v>98</v>
      </c>
      <c r="U600" s="2" t="s">
        <v>117</v>
      </c>
      <c r="V600" s="2" t="s">
        <v>439</v>
      </c>
      <c r="W600" s="2" t="s">
        <v>119</v>
      </c>
      <c r="X600" s="2" t="s">
        <v>98</v>
      </c>
      <c r="Y600" s="2" t="s">
        <v>3275</v>
      </c>
      <c r="Z600" s="4">
        <v>16</v>
      </c>
      <c r="AA600" s="4">
        <f>=ROUNDDOWN(4.57142857142857,0)</f>
      </c>
      <c r="AB600" s="5">
        <v>3.5</v>
      </c>
      <c r="AC600" s="2" t="s">
        <v>98</v>
      </c>
      <c r="AD600" s="4"/>
      <c r="AE600" s="4"/>
      <c r="AF600" s="6">
        <v>65</v>
      </c>
      <c r="AG600" s="6">
        <v>48</v>
      </c>
      <c r="AH600" s="7">
        <v>1</v>
      </c>
      <c r="AI600" s="4"/>
      <c r="AJ600" s="4">
        <f>=ROUNDDOWN({0},0)</f>
      </c>
      <c r="AK600" s="5"/>
      <c r="AL600" s="2" t="s">
        <v>98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/>
      <c r="AW600" s="8"/>
      <c r="AX600" s="4"/>
      <c r="AY600" s="8"/>
      <c r="AZ600" s="7"/>
      <c r="BA600" s="7"/>
      <c r="BB600" s="7"/>
      <c r="BC600" s="4" t="s">
        <v>98</v>
      </c>
      <c r="BD600" s="8" t="s">
        <v>98</v>
      </c>
      <c r="BE600" s="4" t="s">
        <v>98</v>
      </c>
      <c r="BF600" s="8" t="s">
        <v>98</v>
      </c>
      <c r="BG600" s="7" t="s">
        <v>98</v>
      </c>
      <c r="BH600" s="7" t="s">
        <v>98</v>
      </c>
      <c r="BI600" s="7"/>
      <c r="BJ600" s="4">
        <v>4</v>
      </c>
      <c r="BK600" s="8">
        <v>429.93</v>
      </c>
      <c r="BL600" s="2" t="s">
        <v>3276</v>
      </c>
      <c r="BM600" s="7"/>
      <c r="BN600" s="7"/>
      <c r="BO600" s="4"/>
      <c r="BP600" s="8"/>
      <c r="BQ600" s="4"/>
      <c r="BR600" s="8"/>
      <c r="BS600" s="7"/>
      <c r="BT600" s="7"/>
      <c r="BU600" s="2" t="s">
        <v>107</v>
      </c>
      <c r="BV600" s="2" t="s">
        <v>1355</v>
      </c>
      <c r="BW600" s="2" t="s">
        <v>1843</v>
      </c>
      <c r="BX600" s="2" t="s">
        <v>98</v>
      </c>
      <c r="BY600" s="2" t="s">
        <v>110</v>
      </c>
      <c r="BZ600" s="2" t="s">
        <v>98</v>
      </c>
    </row>
    <row r="601">
      <c r="A601" s="2" t="s">
        <v>3277</v>
      </c>
      <c r="B601" s="2" t="s">
        <v>1345</v>
      </c>
      <c r="C601" s="2" t="s">
        <v>88</v>
      </c>
      <c r="D601" s="2" t="s">
        <v>3213</v>
      </c>
      <c r="E601" s="2" t="s">
        <v>3213</v>
      </c>
      <c r="F601" s="2" t="s">
        <v>3266</v>
      </c>
      <c r="G601" s="2" t="s">
        <v>1865</v>
      </c>
      <c r="H601" s="2" t="s">
        <v>3267</v>
      </c>
      <c r="I601" s="2" t="s">
        <v>3268</v>
      </c>
      <c r="J601" s="2" t="s">
        <v>93</v>
      </c>
      <c r="K601" s="2" t="s">
        <v>1727</v>
      </c>
      <c r="L601" s="3">
        <v>95</v>
      </c>
      <c r="M601" s="3">
        <v>99.75</v>
      </c>
      <c r="N601" s="3">
        <v>199</v>
      </c>
      <c r="O601" s="2" t="s">
        <v>95</v>
      </c>
      <c r="P601" s="2" t="s">
        <v>142</v>
      </c>
      <c r="Q601" s="2" t="s">
        <v>97</v>
      </c>
      <c r="R601" s="2" t="s">
        <v>98</v>
      </c>
      <c r="S601" s="2" t="s">
        <v>3278</v>
      </c>
      <c r="T601" s="2" t="s">
        <v>98</v>
      </c>
      <c r="U601" s="2" t="s">
        <v>98</v>
      </c>
      <c r="V601" s="2" t="s">
        <v>439</v>
      </c>
      <c r="W601" s="2" t="s">
        <v>119</v>
      </c>
      <c r="X601" s="2" t="s">
        <v>98</v>
      </c>
      <c r="Y601" s="2" t="s">
        <v>366</v>
      </c>
      <c r="Z601" s="4">
        <v>23</v>
      </c>
      <c r="AA601" s="4">
        <f>=ROUNDDOWN(5.75,0)</f>
      </c>
      <c r="AB601" s="5">
        <v>4</v>
      </c>
      <c r="AC601" s="2" t="s">
        <v>214</v>
      </c>
      <c r="AD601" s="4">
        <v>79</v>
      </c>
      <c r="AE601" s="4">
        <v>79</v>
      </c>
      <c r="AF601" s="6">
        <v>65</v>
      </c>
      <c r="AG601" s="6">
        <v>48</v>
      </c>
      <c r="AH601" s="7">
        <v>1</v>
      </c>
      <c r="AI601" s="4"/>
      <c r="AJ601" s="4">
        <f>=ROUNDDOWN({0},0)</f>
      </c>
      <c r="AK601" s="5"/>
      <c r="AL601" s="2" t="s">
        <v>98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/>
      <c r="AW601" s="8"/>
      <c r="AX601" s="4"/>
      <c r="AY601" s="8"/>
      <c r="AZ601" s="7"/>
      <c r="BA601" s="7"/>
      <c r="BB601" s="7"/>
      <c r="BC601" s="4" t="s">
        <v>98</v>
      </c>
      <c r="BD601" s="8" t="s">
        <v>98</v>
      </c>
      <c r="BE601" s="4" t="s">
        <v>98</v>
      </c>
      <c r="BF601" s="8" t="s">
        <v>98</v>
      </c>
      <c r="BG601" s="7" t="s">
        <v>98</v>
      </c>
      <c r="BH601" s="7" t="s">
        <v>98</v>
      </c>
      <c r="BI601" s="7"/>
      <c r="BJ601" s="4">
        <v>3</v>
      </c>
      <c r="BK601" s="8">
        <v>292.37</v>
      </c>
      <c r="BL601" s="2" t="s">
        <v>3279</v>
      </c>
      <c r="BM601" s="7"/>
      <c r="BN601" s="7"/>
      <c r="BO601" s="4"/>
      <c r="BP601" s="8"/>
      <c r="BQ601" s="4"/>
      <c r="BR601" s="8"/>
      <c r="BS601" s="7"/>
      <c r="BT601" s="7"/>
      <c r="BU601" s="2" t="s">
        <v>107</v>
      </c>
      <c r="BV601" s="2" t="s">
        <v>1355</v>
      </c>
      <c r="BW601" s="2" t="s">
        <v>497</v>
      </c>
      <c r="BX601" s="2" t="s">
        <v>3280</v>
      </c>
      <c r="BY601" s="2" t="s">
        <v>110</v>
      </c>
      <c r="BZ601" s="2" t="s">
        <v>98</v>
      </c>
    </row>
    <row r="602">
      <c r="A602" s="2" t="s">
        <v>3281</v>
      </c>
      <c r="B602" s="2" t="s">
        <v>1345</v>
      </c>
      <c r="C602" s="2" t="s">
        <v>88</v>
      </c>
      <c r="D602" s="2" t="s">
        <v>3213</v>
      </c>
      <c r="E602" s="2" t="s">
        <v>3213</v>
      </c>
      <c r="F602" s="2" t="s">
        <v>3266</v>
      </c>
      <c r="G602" s="2" t="s">
        <v>1865</v>
      </c>
      <c r="H602" s="2" t="s">
        <v>3267</v>
      </c>
      <c r="I602" s="2" t="s">
        <v>3268</v>
      </c>
      <c r="J602" s="2" t="s">
        <v>93</v>
      </c>
      <c r="K602" s="2" t="s">
        <v>1816</v>
      </c>
      <c r="L602" s="3">
        <v>95</v>
      </c>
      <c r="M602" s="3">
        <v>99.75</v>
      </c>
      <c r="N602" s="3">
        <v>199</v>
      </c>
      <c r="O602" s="2" t="s">
        <v>95</v>
      </c>
      <c r="P602" s="2" t="s">
        <v>142</v>
      </c>
      <c r="Q602" s="2" t="s">
        <v>97</v>
      </c>
      <c r="R602" s="2" t="s">
        <v>98</v>
      </c>
      <c r="S602" s="2" t="s">
        <v>3282</v>
      </c>
      <c r="T602" s="2" t="s">
        <v>98</v>
      </c>
      <c r="U602" s="2" t="s">
        <v>98</v>
      </c>
      <c r="V602" s="2" t="s">
        <v>439</v>
      </c>
      <c r="W602" s="2" t="s">
        <v>119</v>
      </c>
      <c r="X602" s="2" t="s">
        <v>98</v>
      </c>
      <c r="Y602" s="2" t="s">
        <v>366</v>
      </c>
      <c r="Z602" s="4">
        <v>98</v>
      </c>
      <c r="AA602" s="4">
        <f>=ROUNDDOWN(32.6666666666667,0)</f>
      </c>
      <c r="AB602" s="5">
        <v>3</v>
      </c>
      <c r="AC602" s="2" t="s">
        <v>98</v>
      </c>
      <c r="AD602" s="4"/>
      <c r="AE602" s="4"/>
      <c r="AF602" s="6">
        <v>65</v>
      </c>
      <c r="AG602" s="6">
        <v>48</v>
      </c>
      <c r="AH602" s="7">
        <v>1</v>
      </c>
      <c r="AI602" s="4"/>
      <c r="AJ602" s="4">
        <f>=ROUNDDOWN({0},0)</f>
      </c>
      <c r="AK602" s="5"/>
      <c r="AL602" s="2" t="s">
        <v>98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/>
      <c r="AW602" s="8"/>
      <c r="AX602" s="4"/>
      <c r="AY602" s="8"/>
      <c r="AZ602" s="7"/>
      <c r="BA602" s="7"/>
      <c r="BB602" s="7"/>
      <c r="BC602" s="4" t="s">
        <v>98</v>
      </c>
      <c r="BD602" s="8" t="s">
        <v>98</v>
      </c>
      <c r="BE602" s="4" t="s">
        <v>98</v>
      </c>
      <c r="BF602" s="8" t="s">
        <v>98</v>
      </c>
      <c r="BG602" s="7" t="s">
        <v>98</v>
      </c>
      <c r="BH602" s="7" t="s">
        <v>98</v>
      </c>
      <c r="BI602" s="7"/>
      <c r="BJ602" s="4">
        <v>1</v>
      </c>
      <c r="BK602" s="8">
        <v>83.58</v>
      </c>
      <c r="BL602" s="2" t="s">
        <v>1500</v>
      </c>
      <c r="BM602" s="7"/>
      <c r="BN602" s="7"/>
      <c r="BO602" s="4"/>
      <c r="BP602" s="8"/>
      <c r="BQ602" s="4"/>
      <c r="BR602" s="8"/>
      <c r="BS602" s="7"/>
      <c r="BT602" s="7"/>
      <c r="BU602" s="2" t="s">
        <v>107</v>
      </c>
      <c r="BV602" s="2" t="s">
        <v>1355</v>
      </c>
      <c r="BW602" s="2" t="s">
        <v>497</v>
      </c>
      <c r="BX602" s="2" t="s">
        <v>3283</v>
      </c>
      <c r="BY602" s="2" t="s">
        <v>110</v>
      </c>
      <c r="BZ602" s="2" t="s">
        <v>98</v>
      </c>
    </row>
    <row r="603">
      <c r="A603" s="2" t="s">
        <v>3284</v>
      </c>
      <c r="B603" s="2" t="s">
        <v>1345</v>
      </c>
      <c r="C603" s="2" t="s">
        <v>88</v>
      </c>
      <c r="D603" s="2" t="s">
        <v>3213</v>
      </c>
      <c r="E603" s="2" t="s">
        <v>3213</v>
      </c>
      <c r="F603" s="2" t="s">
        <v>3285</v>
      </c>
      <c r="G603" s="2" t="s">
        <v>3286</v>
      </c>
      <c r="H603" s="2" t="s">
        <v>3287</v>
      </c>
      <c r="I603" s="2" t="s">
        <v>3288</v>
      </c>
      <c r="J603" s="2" t="s">
        <v>93</v>
      </c>
      <c r="K603" s="2" t="s">
        <v>3289</v>
      </c>
      <c r="L603" s="3">
        <v>143</v>
      </c>
      <c r="M603" s="3">
        <v>150.15</v>
      </c>
      <c r="N603" s="3">
        <v>299</v>
      </c>
      <c r="O603" s="2" t="s">
        <v>155</v>
      </c>
      <c r="P603" s="2" t="s">
        <v>115</v>
      </c>
      <c r="Q603" s="2" t="s">
        <v>97</v>
      </c>
      <c r="R603" s="2" t="s">
        <v>98</v>
      </c>
      <c r="S603" s="2" t="s">
        <v>98</v>
      </c>
      <c r="T603" s="2" t="s">
        <v>98</v>
      </c>
      <c r="U603" s="2" t="s">
        <v>98</v>
      </c>
      <c r="V603" s="2" t="s">
        <v>296</v>
      </c>
      <c r="W603" s="2" t="s">
        <v>103</v>
      </c>
      <c r="X603" s="2" t="s">
        <v>98</v>
      </c>
      <c r="Y603" s="2" t="s">
        <v>3290</v>
      </c>
      <c r="Z603" s="4">
        <v>41</v>
      </c>
      <c r="AA603" s="4">
        <f>=ROUNDDOWN(45.5555555555556,0)</f>
      </c>
      <c r="AB603" s="5">
        <v>0.9</v>
      </c>
      <c r="AC603" s="2" t="s">
        <v>98</v>
      </c>
      <c r="AD603" s="4"/>
      <c r="AE603" s="4"/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98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/>
      <c r="BD603" s="8"/>
      <c r="BE603" s="4"/>
      <c r="BF603" s="8"/>
      <c r="BG603" s="7"/>
      <c r="BH603" s="7"/>
      <c r="BI603" s="7"/>
      <c r="BJ603" s="4"/>
      <c r="BK603" s="8"/>
      <c r="BL603" s="2" t="s">
        <v>3291</v>
      </c>
      <c r="BM603" s="7"/>
      <c r="BN603" s="7"/>
      <c r="BO603" s="4"/>
      <c r="BP603" s="8"/>
      <c r="BQ603" s="4"/>
      <c r="BR603" s="8"/>
      <c r="BS603" s="7"/>
      <c r="BT603" s="7"/>
      <c r="BU603" s="2" t="s">
        <v>1376</v>
      </c>
      <c r="BV603" s="2" t="s">
        <v>95</v>
      </c>
      <c r="BW603" s="2" t="s">
        <v>98</v>
      </c>
      <c r="BX603" s="2" t="s">
        <v>98</v>
      </c>
      <c r="BY603" s="2" t="s">
        <v>110</v>
      </c>
      <c r="BZ603" s="2" t="s">
        <v>98</v>
      </c>
    </row>
    <row r="604">
      <c r="A604" s="2" t="s">
        <v>3292</v>
      </c>
      <c r="B604" s="2" t="s">
        <v>1345</v>
      </c>
      <c r="C604" s="2" t="s">
        <v>88</v>
      </c>
      <c r="D604" s="2" t="s">
        <v>3213</v>
      </c>
      <c r="E604" s="2" t="s">
        <v>3213</v>
      </c>
      <c r="F604" s="2" t="s">
        <v>3293</v>
      </c>
      <c r="G604" s="2" t="s">
        <v>1578</v>
      </c>
      <c r="H604" s="2" t="s">
        <v>3294</v>
      </c>
      <c r="I604" s="2" t="s">
        <v>3295</v>
      </c>
      <c r="J604" s="2" t="s">
        <v>93</v>
      </c>
      <c r="K604" s="2" t="s">
        <v>277</v>
      </c>
      <c r="L604" s="3">
        <v>121.41</v>
      </c>
      <c r="M604" s="3">
        <v>127.48</v>
      </c>
      <c r="N604" s="3">
        <v>259</v>
      </c>
      <c r="O604" s="2" t="s">
        <v>95</v>
      </c>
      <c r="P604" s="2" t="s">
        <v>134</v>
      </c>
      <c r="Q604" s="2" t="s">
        <v>97</v>
      </c>
      <c r="R604" s="2" t="s">
        <v>98</v>
      </c>
      <c r="S604" s="2" t="s">
        <v>3296</v>
      </c>
      <c r="T604" s="2" t="s">
        <v>98</v>
      </c>
      <c r="U604" s="2" t="s">
        <v>98</v>
      </c>
      <c r="V604" s="2" t="s">
        <v>439</v>
      </c>
      <c r="W604" s="2" t="s">
        <v>103</v>
      </c>
      <c r="X604" s="2" t="s">
        <v>98</v>
      </c>
      <c r="Y604" s="2" t="s">
        <v>366</v>
      </c>
      <c r="Z604" s="4"/>
      <c r="AA604" s="4">
        <f>=ROUNDDOWN({0},0)</f>
      </c>
      <c r="AB604" s="5">
        <v>6</v>
      </c>
      <c r="AC604" s="2" t="s">
        <v>1374</v>
      </c>
      <c r="AD604" s="4">
        <v>96</v>
      </c>
      <c r="AE604" s="4">
        <v>196</v>
      </c>
      <c r="AF604" s="6">
        <v>74</v>
      </c>
      <c r="AG604" s="6">
        <v>60</v>
      </c>
      <c r="AH604" s="7">
        <v>0</v>
      </c>
      <c r="AI604" s="4"/>
      <c r="AJ604" s="4">
        <f>=ROUNDDOWN({0},0)</f>
      </c>
      <c r="AK604" s="5"/>
      <c r="AL604" s="2" t="s">
        <v>98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 t="s">
        <v>98</v>
      </c>
      <c r="BD604" s="8" t="s">
        <v>98</v>
      </c>
      <c r="BE604" s="4">
        <v>2</v>
      </c>
      <c r="BF604" s="8">
        <v>232.62</v>
      </c>
      <c r="BG604" s="7" t="s">
        <v>98</v>
      </c>
      <c r="BH604" s="7" t="s">
        <v>98</v>
      </c>
      <c r="BI604" s="7"/>
      <c r="BJ604" s="4"/>
      <c r="BK604" s="8"/>
      <c r="BL604" s="2" t="s">
        <v>1187</v>
      </c>
      <c r="BM604" s="7"/>
      <c r="BN604" s="7"/>
      <c r="BO604" s="4"/>
      <c r="BP604" s="8"/>
      <c r="BQ604" s="4"/>
      <c r="BR604" s="8"/>
      <c r="BS604" s="7"/>
      <c r="BT604" s="7"/>
      <c r="BU604" s="2" t="s">
        <v>107</v>
      </c>
      <c r="BV604" s="2" t="s">
        <v>1355</v>
      </c>
      <c r="BW604" s="2" t="s">
        <v>2455</v>
      </c>
      <c r="BX604" s="2" t="s">
        <v>3297</v>
      </c>
      <c r="BY604" s="2" t="s">
        <v>110</v>
      </c>
      <c r="BZ604" s="2" t="s">
        <v>98</v>
      </c>
    </row>
    <row r="605">
      <c r="A605" s="2" t="s">
        <v>3298</v>
      </c>
      <c r="B605" s="2" t="s">
        <v>1345</v>
      </c>
      <c r="C605" s="2" t="s">
        <v>88</v>
      </c>
      <c r="D605" s="2" t="s">
        <v>3213</v>
      </c>
      <c r="E605" s="2" t="s">
        <v>3213</v>
      </c>
      <c r="F605" s="2" t="s">
        <v>3293</v>
      </c>
      <c r="G605" s="2" t="s">
        <v>1578</v>
      </c>
      <c r="H605" s="2" t="s">
        <v>3294</v>
      </c>
      <c r="I605" s="2" t="s">
        <v>3295</v>
      </c>
      <c r="J605" s="2" t="s">
        <v>93</v>
      </c>
      <c r="K605" s="2" t="s">
        <v>2667</v>
      </c>
      <c r="L605" s="3">
        <v>121.41</v>
      </c>
      <c r="M605" s="3">
        <v>127.48</v>
      </c>
      <c r="N605" s="3">
        <v>259</v>
      </c>
      <c r="O605" s="2" t="s">
        <v>95</v>
      </c>
      <c r="P605" s="2" t="s">
        <v>134</v>
      </c>
      <c r="Q605" s="2" t="s">
        <v>97</v>
      </c>
      <c r="R605" s="2" t="s">
        <v>98</v>
      </c>
      <c r="S605" s="2" t="s">
        <v>3299</v>
      </c>
      <c r="T605" s="2" t="s">
        <v>98</v>
      </c>
      <c r="U605" s="2" t="s">
        <v>98</v>
      </c>
      <c r="V605" s="2" t="s">
        <v>439</v>
      </c>
      <c r="W605" s="2" t="s">
        <v>102</v>
      </c>
      <c r="X605" s="2" t="s">
        <v>98</v>
      </c>
      <c r="Y605" s="2" t="s">
        <v>366</v>
      </c>
      <c r="Z605" s="4"/>
      <c r="AA605" s="4">
        <f>=ROUNDDOWN({0},0)</f>
      </c>
      <c r="AB605" s="5">
        <v>5.9</v>
      </c>
      <c r="AC605" s="2" t="s">
        <v>3300</v>
      </c>
      <c r="AD605" s="4">
        <v>100</v>
      </c>
      <c r="AE605" s="4">
        <v>203</v>
      </c>
      <c r="AF605" s="6">
        <v>74</v>
      </c>
      <c r="AG605" s="6">
        <v>60</v>
      </c>
      <c r="AH605" s="7">
        <v>0</v>
      </c>
      <c r="AI605" s="4"/>
      <c r="AJ605" s="4">
        <f>=ROUNDDOWN({0},0)</f>
      </c>
      <c r="AK605" s="5"/>
      <c r="AL605" s="2" t="s">
        <v>98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/>
      <c r="AW605" s="8"/>
      <c r="AX605" s="4"/>
      <c r="AY605" s="8"/>
      <c r="AZ605" s="7"/>
      <c r="BA605" s="7"/>
      <c r="BB605" s="7"/>
      <c r="BC605" s="4" t="s">
        <v>98</v>
      </c>
      <c r="BD605" s="8" t="s">
        <v>98</v>
      </c>
      <c r="BE605" s="4" t="s">
        <v>98</v>
      </c>
      <c r="BF605" s="8" t="s">
        <v>98</v>
      </c>
      <c r="BG605" s="7" t="s">
        <v>98</v>
      </c>
      <c r="BH605" s="7" t="s">
        <v>98</v>
      </c>
      <c r="BI605" s="7"/>
      <c r="BJ605" s="4"/>
      <c r="BK605" s="8"/>
      <c r="BL605" s="2" t="s">
        <v>3301</v>
      </c>
      <c r="BM605" s="7"/>
      <c r="BN605" s="7"/>
      <c r="BO605" s="4"/>
      <c r="BP605" s="8"/>
      <c r="BQ605" s="4"/>
      <c r="BR605" s="8"/>
      <c r="BS605" s="7"/>
      <c r="BT605" s="7"/>
      <c r="BU605" s="2" t="s">
        <v>107</v>
      </c>
      <c r="BV605" s="2" t="s">
        <v>1355</v>
      </c>
      <c r="BW605" s="2" t="s">
        <v>2232</v>
      </c>
      <c r="BX605" s="2" t="s">
        <v>3302</v>
      </c>
      <c r="BY605" s="2" t="s">
        <v>110</v>
      </c>
      <c r="BZ605" s="2" t="s">
        <v>98</v>
      </c>
    </row>
    <row r="606">
      <c r="A606" s="2" t="s">
        <v>3303</v>
      </c>
      <c r="B606" s="2" t="s">
        <v>1345</v>
      </c>
      <c r="C606" s="2" t="s">
        <v>88</v>
      </c>
      <c r="D606" s="2" t="s">
        <v>3213</v>
      </c>
      <c r="E606" s="2" t="s">
        <v>3213</v>
      </c>
      <c r="F606" s="2" t="s">
        <v>3293</v>
      </c>
      <c r="G606" s="2" t="s">
        <v>1578</v>
      </c>
      <c r="H606" s="2" t="s">
        <v>3294</v>
      </c>
      <c r="I606" s="2" t="s">
        <v>3295</v>
      </c>
      <c r="J606" s="2" t="s">
        <v>93</v>
      </c>
      <c r="K606" s="2" t="s">
        <v>1838</v>
      </c>
      <c r="L606" s="3">
        <v>121.41</v>
      </c>
      <c r="M606" s="3">
        <v>127.48</v>
      </c>
      <c r="N606" s="3">
        <v>259</v>
      </c>
      <c r="O606" s="2" t="s">
        <v>95</v>
      </c>
      <c r="P606" s="2" t="s">
        <v>134</v>
      </c>
      <c r="Q606" s="2" t="s">
        <v>97</v>
      </c>
      <c r="R606" s="2" t="s">
        <v>98</v>
      </c>
      <c r="S606" s="2" t="s">
        <v>98</v>
      </c>
      <c r="T606" s="2" t="s">
        <v>98</v>
      </c>
      <c r="U606" s="2" t="s">
        <v>117</v>
      </c>
      <c r="V606" s="2" t="s">
        <v>439</v>
      </c>
      <c r="W606" s="2" t="s">
        <v>102</v>
      </c>
      <c r="X606" s="2" t="s">
        <v>98</v>
      </c>
      <c r="Y606" s="2" t="s">
        <v>3258</v>
      </c>
      <c r="Z606" s="4"/>
      <c r="AA606" s="4">
        <f>=ROUNDDOWN({0},0)</f>
      </c>
      <c r="AB606" s="5">
        <v>5.6</v>
      </c>
      <c r="AC606" s="2" t="s">
        <v>1374</v>
      </c>
      <c r="AD606" s="4">
        <v>90</v>
      </c>
      <c r="AE606" s="4">
        <v>190</v>
      </c>
      <c r="AF606" s="6">
        <v>74</v>
      </c>
      <c r="AG606" s="6">
        <v>60</v>
      </c>
      <c r="AH606" s="7">
        <v>0</v>
      </c>
      <c r="AI606" s="4"/>
      <c r="AJ606" s="4">
        <f>=ROUNDDOWN({0},0)</f>
      </c>
      <c r="AK606" s="5"/>
      <c r="AL606" s="2" t="s">
        <v>98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 t="s">
        <v>98</v>
      </c>
      <c r="BD606" s="8" t="s">
        <v>98</v>
      </c>
      <c r="BE606" s="4" t="s">
        <v>98</v>
      </c>
      <c r="BF606" s="8" t="s">
        <v>98</v>
      </c>
      <c r="BG606" s="7" t="s">
        <v>98</v>
      </c>
      <c r="BH606" s="7" t="s">
        <v>98</v>
      </c>
      <c r="BI606" s="7"/>
      <c r="BJ606" s="4"/>
      <c r="BK606" s="8"/>
      <c r="BL606" s="2" t="s">
        <v>3304</v>
      </c>
      <c r="BM606" s="7"/>
      <c r="BN606" s="7"/>
      <c r="BO606" s="4"/>
      <c r="BP606" s="8"/>
      <c r="BQ606" s="4"/>
      <c r="BR606" s="8"/>
      <c r="BS606" s="7"/>
      <c r="BT606" s="7"/>
      <c r="BU606" s="2" t="s">
        <v>107</v>
      </c>
      <c r="BV606" s="2" t="s">
        <v>1355</v>
      </c>
      <c r="BW606" s="2" t="s">
        <v>707</v>
      </c>
      <c r="BX606" s="2" t="s">
        <v>1478</v>
      </c>
      <c r="BY606" s="2" t="s">
        <v>110</v>
      </c>
      <c r="BZ606" s="2" t="s">
        <v>98</v>
      </c>
    </row>
    <row r="607">
      <c r="A607" s="2" t="s">
        <v>3305</v>
      </c>
      <c r="B607" s="2" t="s">
        <v>1345</v>
      </c>
      <c r="C607" s="2" t="s">
        <v>88</v>
      </c>
      <c r="D607" s="2" t="s">
        <v>3213</v>
      </c>
      <c r="E607" s="2" t="s">
        <v>3213</v>
      </c>
      <c r="F607" s="2" t="s">
        <v>3293</v>
      </c>
      <c r="G607" s="2" t="s">
        <v>1578</v>
      </c>
      <c r="H607" s="2" t="s">
        <v>3294</v>
      </c>
      <c r="I607" s="2" t="s">
        <v>3295</v>
      </c>
      <c r="J607" s="2" t="s">
        <v>93</v>
      </c>
      <c r="K607" s="2" t="s">
        <v>1371</v>
      </c>
      <c r="L607" s="3">
        <v>121.41</v>
      </c>
      <c r="M607" s="3">
        <v>127.48</v>
      </c>
      <c r="N607" s="3">
        <v>259</v>
      </c>
      <c r="O607" s="2" t="s">
        <v>95</v>
      </c>
      <c r="P607" s="2" t="s">
        <v>134</v>
      </c>
      <c r="Q607" s="2" t="s">
        <v>97</v>
      </c>
      <c r="R607" s="2" t="s">
        <v>98</v>
      </c>
      <c r="S607" s="2" t="s">
        <v>3306</v>
      </c>
      <c r="T607" s="2" t="s">
        <v>98</v>
      </c>
      <c r="U607" s="2" t="s">
        <v>98</v>
      </c>
      <c r="V607" s="2" t="s">
        <v>439</v>
      </c>
      <c r="W607" s="2" t="s">
        <v>102</v>
      </c>
      <c r="X607" s="2" t="s">
        <v>98</v>
      </c>
      <c r="Y607" s="2" t="s">
        <v>366</v>
      </c>
      <c r="Z607" s="4">
        <v>3</v>
      </c>
      <c r="AA607" s="4">
        <f>=ROUNDDOWN(0.135746606334842,0)</f>
      </c>
      <c r="AB607" s="5">
        <v>22.1</v>
      </c>
      <c r="AC607" s="2" t="s">
        <v>1374</v>
      </c>
      <c r="AD607" s="4">
        <v>79</v>
      </c>
      <c r="AE607" s="4">
        <v>508</v>
      </c>
      <c r="AF607" s="6">
        <v>74</v>
      </c>
      <c r="AG607" s="6">
        <v>60</v>
      </c>
      <c r="AH607" s="7">
        <v>0</v>
      </c>
      <c r="AI607" s="4"/>
      <c r="AJ607" s="4">
        <f>=ROUNDDOWN({0},0)</f>
      </c>
      <c r="AK607" s="5"/>
      <c r="AL607" s="2" t="s">
        <v>98</v>
      </c>
      <c r="AM607" s="4"/>
      <c r="AN607" s="4"/>
      <c r="AO607" s="7">
        <v>0</v>
      </c>
      <c r="AP607" s="4"/>
      <c r="AQ607" s="8"/>
      <c r="AR607" s="4">
        <v>2</v>
      </c>
      <c r="AS607" s="8">
        <v>232.62</v>
      </c>
      <c r="AT607" s="7">
        <v>-1</v>
      </c>
      <c r="AU607" s="7">
        <v>-1</v>
      </c>
      <c r="AV607" s="4"/>
      <c r="AW607" s="8"/>
      <c r="AX607" s="4">
        <v>2</v>
      </c>
      <c r="AY607" s="8">
        <v>232.62</v>
      </c>
      <c r="AZ607" s="7">
        <v>-1</v>
      </c>
      <c r="BA607" s="7">
        <v>-1</v>
      </c>
      <c r="BB607" s="7"/>
      <c r="BC607" s="4" t="s">
        <v>98</v>
      </c>
      <c r="BD607" s="8" t="s">
        <v>98</v>
      </c>
      <c r="BE607" s="4" t="s">
        <v>98</v>
      </c>
      <c r="BF607" s="8" t="s">
        <v>98</v>
      </c>
      <c r="BG607" s="7" t="s">
        <v>98</v>
      </c>
      <c r="BH607" s="7" t="s">
        <v>98</v>
      </c>
      <c r="BI607" s="7"/>
      <c r="BJ607" s="4"/>
      <c r="BK607" s="8"/>
      <c r="BL607" s="2" t="s">
        <v>3307</v>
      </c>
      <c r="BM607" s="7"/>
      <c r="BN607" s="7"/>
      <c r="BO607" s="4"/>
      <c r="BP607" s="8"/>
      <c r="BQ607" s="4">
        <v>2</v>
      </c>
      <c r="BR607" s="8">
        <v>232.62</v>
      </c>
      <c r="BS607" s="7">
        <v>-1</v>
      </c>
      <c r="BT607" s="7">
        <v>-1</v>
      </c>
      <c r="BU607" s="2" t="s">
        <v>107</v>
      </c>
      <c r="BV607" s="2" t="s">
        <v>1355</v>
      </c>
      <c r="BW607" s="2" t="s">
        <v>1356</v>
      </c>
      <c r="BX607" s="2" t="s">
        <v>3308</v>
      </c>
      <c r="BY607" s="2" t="s">
        <v>110</v>
      </c>
      <c r="BZ607" s="2" t="s">
        <v>98</v>
      </c>
    </row>
    <row r="608">
      <c r="A608" s="2" t="s">
        <v>3309</v>
      </c>
      <c r="B608" s="2" t="s">
        <v>1345</v>
      </c>
      <c r="C608" s="2" t="s">
        <v>88</v>
      </c>
      <c r="D608" s="2" t="s">
        <v>3213</v>
      </c>
      <c r="E608" s="2" t="s">
        <v>3213</v>
      </c>
      <c r="F608" s="2" t="s">
        <v>3310</v>
      </c>
      <c r="G608" s="2" t="s">
        <v>3311</v>
      </c>
      <c r="H608" s="2" t="s">
        <v>3312</v>
      </c>
      <c r="I608" s="2" t="s">
        <v>3313</v>
      </c>
      <c r="J608" s="2" t="s">
        <v>93</v>
      </c>
      <c r="K608" s="2" t="s">
        <v>3314</v>
      </c>
      <c r="L608" s="3">
        <v>183.83</v>
      </c>
      <c r="M608" s="3">
        <v>193.02</v>
      </c>
      <c r="N608" s="3">
        <v>389</v>
      </c>
      <c r="O608" s="2" t="s">
        <v>95</v>
      </c>
      <c r="P608" s="2" t="s">
        <v>134</v>
      </c>
      <c r="Q608" s="2" t="s">
        <v>97</v>
      </c>
      <c r="R608" s="2" t="s">
        <v>98</v>
      </c>
      <c r="S608" s="2" t="s">
        <v>3315</v>
      </c>
      <c r="T608" s="2" t="s">
        <v>98</v>
      </c>
      <c r="U608" s="2" t="s">
        <v>98</v>
      </c>
      <c r="V608" s="2" t="s">
        <v>439</v>
      </c>
      <c r="W608" s="2" t="s">
        <v>314</v>
      </c>
      <c r="X608" s="2" t="s">
        <v>98</v>
      </c>
      <c r="Y608" s="2" t="s">
        <v>3316</v>
      </c>
      <c r="Z608" s="4">
        <v>22</v>
      </c>
      <c r="AA608" s="4">
        <f>=ROUNDDOWN(5.5,0)</f>
      </c>
      <c r="AB608" s="5">
        <v>4</v>
      </c>
      <c r="AC608" s="2" t="s">
        <v>1525</v>
      </c>
      <c r="AD608" s="4">
        <v>100</v>
      </c>
      <c r="AE608" s="4">
        <v>100</v>
      </c>
      <c r="AF608" s="6">
        <v>65</v>
      </c>
      <c r="AG608" s="6">
        <v>48</v>
      </c>
      <c r="AH608" s="7">
        <v>1</v>
      </c>
      <c r="AI608" s="4"/>
      <c r="AJ608" s="4">
        <f>=ROUNDDOWN({0},0)</f>
      </c>
      <c r="AK608" s="5"/>
      <c r="AL608" s="2" t="s">
        <v>98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/>
      <c r="AW608" s="8"/>
      <c r="AX608" s="4"/>
      <c r="AY608" s="8"/>
      <c r="AZ608" s="7"/>
      <c r="BA608" s="7"/>
      <c r="BB608" s="7"/>
      <c r="BC608" s="4" t="s">
        <v>98</v>
      </c>
      <c r="BD608" s="8" t="s">
        <v>98</v>
      </c>
      <c r="BE608" s="4" t="s">
        <v>98</v>
      </c>
      <c r="BF608" s="8" t="s">
        <v>98</v>
      </c>
      <c r="BG608" s="7" t="s">
        <v>98</v>
      </c>
      <c r="BH608" s="7" t="s">
        <v>98</v>
      </c>
      <c r="BI608" s="7"/>
      <c r="BJ608" s="4">
        <v>4</v>
      </c>
      <c r="BK608" s="8">
        <v>753.95</v>
      </c>
      <c r="BL608" s="2" t="s">
        <v>1375</v>
      </c>
      <c r="BM608" s="7"/>
      <c r="BN608" s="7"/>
      <c r="BO608" s="4"/>
      <c r="BP608" s="8"/>
      <c r="BQ608" s="4"/>
      <c r="BR608" s="8"/>
      <c r="BS608" s="7"/>
      <c r="BT608" s="7"/>
      <c r="BU608" s="2" t="s">
        <v>107</v>
      </c>
      <c r="BV608" s="2" t="s">
        <v>1355</v>
      </c>
      <c r="BW608" s="2" t="s">
        <v>1436</v>
      </c>
      <c r="BX608" s="2" t="s">
        <v>3317</v>
      </c>
      <c r="BY608" s="2" t="s">
        <v>110</v>
      </c>
      <c r="BZ608" s="2" t="s">
        <v>98</v>
      </c>
    </row>
    <row r="609">
      <c r="A609" s="2" t="s">
        <v>3318</v>
      </c>
      <c r="B609" s="2" t="s">
        <v>1345</v>
      </c>
      <c r="C609" s="2" t="s">
        <v>88</v>
      </c>
      <c r="D609" s="2" t="s">
        <v>3213</v>
      </c>
      <c r="E609" s="2" t="s">
        <v>3213</v>
      </c>
      <c r="F609" s="2" t="s">
        <v>3310</v>
      </c>
      <c r="G609" s="2" t="s">
        <v>3311</v>
      </c>
      <c r="H609" s="2" t="s">
        <v>3312</v>
      </c>
      <c r="I609" s="2" t="s">
        <v>3313</v>
      </c>
      <c r="J609" s="2" t="s">
        <v>93</v>
      </c>
      <c r="K609" s="2" t="s">
        <v>3319</v>
      </c>
      <c r="L609" s="3">
        <v>183.83</v>
      </c>
      <c r="M609" s="3">
        <v>193.02</v>
      </c>
      <c r="N609" s="3">
        <v>389</v>
      </c>
      <c r="O609" s="2" t="s">
        <v>95</v>
      </c>
      <c r="P609" s="2" t="s">
        <v>142</v>
      </c>
      <c r="Q609" s="2" t="s">
        <v>97</v>
      </c>
      <c r="R609" s="2" t="s">
        <v>98</v>
      </c>
      <c r="S609" s="2" t="s">
        <v>3320</v>
      </c>
      <c r="T609" s="2" t="s">
        <v>98</v>
      </c>
      <c r="U609" s="2" t="s">
        <v>98</v>
      </c>
      <c r="V609" s="2" t="s">
        <v>439</v>
      </c>
      <c r="W609" s="2" t="s">
        <v>314</v>
      </c>
      <c r="X609" s="2" t="s">
        <v>98</v>
      </c>
      <c r="Y609" s="2" t="s">
        <v>3316</v>
      </c>
      <c r="Z609" s="4">
        <v>51</v>
      </c>
      <c r="AA609" s="4">
        <f>=ROUNDDOWN(12.75,0)</f>
      </c>
      <c r="AB609" s="5">
        <v>4</v>
      </c>
      <c r="AC609" s="2" t="s">
        <v>1470</v>
      </c>
      <c r="AD609" s="4">
        <v>100</v>
      </c>
      <c r="AE609" s="4">
        <v>100</v>
      </c>
      <c r="AF609" s="6">
        <v>65</v>
      </c>
      <c r="AG609" s="6">
        <v>48</v>
      </c>
      <c r="AH609" s="7">
        <v>1</v>
      </c>
      <c r="AI609" s="4"/>
      <c r="AJ609" s="4">
        <f>=ROUNDDOWN({0},0)</f>
      </c>
      <c r="AK609" s="5"/>
      <c r="AL609" s="2" t="s">
        <v>98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 t="s">
        <v>98</v>
      </c>
      <c r="BD609" s="8" t="s">
        <v>98</v>
      </c>
      <c r="BE609" s="4" t="s">
        <v>98</v>
      </c>
      <c r="BF609" s="8" t="s">
        <v>98</v>
      </c>
      <c r="BG609" s="7" t="s">
        <v>98</v>
      </c>
      <c r="BH609" s="7" t="s">
        <v>98</v>
      </c>
      <c r="BI609" s="7"/>
      <c r="BJ609" s="4">
        <v>3</v>
      </c>
      <c r="BK609" s="8">
        <v>572.12</v>
      </c>
      <c r="BL609" s="2" t="s">
        <v>3321</v>
      </c>
      <c r="BM609" s="7"/>
      <c r="BN609" s="7"/>
      <c r="BO609" s="4"/>
      <c r="BP609" s="8"/>
      <c r="BQ609" s="4"/>
      <c r="BR609" s="8"/>
      <c r="BS609" s="7"/>
      <c r="BT609" s="7"/>
      <c r="BU609" s="2" t="s">
        <v>107</v>
      </c>
      <c r="BV609" s="2" t="s">
        <v>1355</v>
      </c>
      <c r="BW609" s="2" t="s">
        <v>250</v>
      </c>
      <c r="BX609" s="2" t="s">
        <v>1173</v>
      </c>
      <c r="BY609" s="2" t="s">
        <v>110</v>
      </c>
      <c r="BZ609" s="2" t="s">
        <v>98</v>
      </c>
    </row>
    <row r="610">
      <c r="A610" s="2" t="s">
        <v>3322</v>
      </c>
      <c r="B610" s="2" t="s">
        <v>1345</v>
      </c>
      <c r="C610" s="2" t="s">
        <v>88</v>
      </c>
      <c r="D610" s="2" t="s">
        <v>3213</v>
      </c>
      <c r="E610" s="2" t="s">
        <v>3213</v>
      </c>
      <c r="F610" s="2" t="s">
        <v>3310</v>
      </c>
      <c r="G610" s="2" t="s">
        <v>3311</v>
      </c>
      <c r="H610" s="2" t="s">
        <v>3312</v>
      </c>
      <c r="I610" s="2" t="s">
        <v>3313</v>
      </c>
      <c r="J610" s="2" t="s">
        <v>93</v>
      </c>
      <c r="K610" s="2" t="s">
        <v>3323</v>
      </c>
      <c r="L610" s="3">
        <v>183.83</v>
      </c>
      <c r="M610" s="3">
        <v>193.02</v>
      </c>
      <c r="N610" s="3">
        <v>389</v>
      </c>
      <c r="O610" s="2" t="s">
        <v>155</v>
      </c>
      <c r="P610" s="2" t="s">
        <v>115</v>
      </c>
      <c r="Q610" s="2" t="s">
        <v>97</v>
      </c>
      <c r="R610" s="2" t="s">
        <v>98</v>
      </c>
      <c r="S610" s="2" t="s">
        <v>98</v>
      </c>
      <c r="T610" s="2" t="s">
        <v>98</v>
      </c>
      <c r="U610" s="2" t="s">
        <v>117</v>
      </c>
      <c r="V610" s="2" t="s">
        <v>439</v>
      </c>
      <c r="W610" s="2" t="s">
        <v>103</v>
      </c>
      <c r="X610" s="2" t="s">
        <v>102</v>
      </c>
      <c r="Y610" s="2" t="s">
        <v>3324</v>
      </c>
      <c r="Z610" s="4">
        <v>48</v>
      </c>
      <c r="AA610" s="4">
        <f>=ROUNDDOWN(96,0)</f>
      </c>
      <c r="AB610" s="5">
        <v>0.5</v>
      </c>
      <c r="AC610" s="2" t="s">
        <v>98</v>
      </c>
      <c r="AD610" s="4"/>
      <c r="AE610" s="4"/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98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/>
      <c r="AW610" s="8"/>
      <c r="AX610" s="4"/>
      <c r="AY610" s="8"/>
      <c r="AZ610" s="7"/>
      <c r="BA610" s="7"/>
      <c r="BB610" s="7"/>
      <c r="BC610" s="4" t="s">
        <v>98</v>
      </c>
      <c r="BD610" s="8" t="s">
        <v>98</v>
      </c>
      <c r="BE610" s="4" t="s">
        <v>98</v>
      </c>
      <c r="BF610" s="8" t="s">
        <v>98</v>
      </c>
      <c r="BG610" s="7" t="s">
        <v>98</v>
      </c>
      <c r="BH610" s="7" t="s">
        <v>98</v>
      </c>
      <c r="BI610" s="7"/>
      <c r="BJ610" s="4"/>
      <c r="BK610" s="8"/>
      <c r="BL610" s="2" t="s">
        <v>3325</v>
      </c>
      <c r="BM610" s="7"/>
      <c r="BN610" s="7"/>
      <c r="BO610" s="4"/>
      <c r="BP610" s="8"/>
      <c r="BQ610" s="4"/>
      <c r="BR610" s="8"/>
      <c r="BS610" s="7"/>
      <c r="BT610" s="7"/>
      <c r="BU610" s="2" t="s">
        <v>1376</v>
      </c>
      <c r="BV610" s="2" t="s">
        <v>95</v>
      </c>
      <c r="BW610" s="2" t="s">
        <v>98</v>
      </c>
      <c r="BX610" s="2" t="s">
        <v>98</v>
      </c>
      <c r="BY610" s="2" t="s">
        <v>110</v>
      </c>
      <c r="BZ610" s="2" t="s">
        <v>98</v>
      </c>
    </row>
    <row r="611">
      <c r="A611" s="2" t="s">
        <v>3326</v>
      </c>
      <c r="B611" s="2" t="s">
        <v>1345</v>
      </c>
      <c r="C611" s="2" t="s">
        <v>88</v>
      </c>
      <c r="D611" s="2" t="s">
        <v>3213</v>
      </c>
      <c r="E611" s="2" t="s">
        <v>3213</v>
      </c>
      <c r="F611" s="2" t="s">
        <v>3071</v>
      </c>
      <c r="G611" s="2" t="s">
        <v>2193</v>
      </c>
      <c r="H611" s="2" t="s">
        <v>3327</v>
      </c>
      <c r="I611" s="2" t="s">
        <v>3328</v>
      </c>
      <c r="J611" s="2" t="s">
        <v>93</v>
      </c>
      <c r="K611" s="2" t="s">
        <v>277</v>
      </c>
      <c r="L611" s="3">
        <v>95</v>
      </c>
      <c r="M611" s="3">
        <v>99.75</v>
      </c>
      <c r="N611" s="3">
        <v>199</v>
      </c>
      <c r="O611" s="2" t="s">
        <v>155</v>
      </c>
      <c r="P611" s="2" t="s">
        <v>115</v>
      </c>
      <c r="Q611" s="2" t="s">
        <v>97</v>
      </c>
      <c r="R611" s="2" t="s">
        <v>98</v>
      </c>
      <c r="S611" s="2" t="s">
        <v>3329</v>
      </c>
      <c r="T611" s="2" t="s">
        <v>98</v>
      </c>
      <c r="U611" s="2" t="s">
        <v>98</v>
      </c>
      <c r="V611" s="2" t="s">
        <v>439</v>
      </c>
      <c r="W611" s="2" t="s">
        <v>102</v>
      </c>
      <c r="X611" s="2" t="s">
        <v>98</v>
      </c>
      <c r="Y611" s="2" t="s">
        <v>366</v>
      </c>
      <c r="Z611" s="4">
        <v>47</v>
      </c>
      <c r="AA611" s="4">
        <f>=ROUNDDOWN(16.7857142857143,0)</f>
      </c>
      <c r="AB611" s="5">
        <v>2.8</v>
      </c>
      <c r="AC611" s="2" t="s">
        <v>98</v>
      </c>
      <c r="AD611" s="4"/>
      <c r="AE611" s="4"/>
      <c r="AF611" s="6">
        <v>67</v>
      </c>
      <c r="AG611" s="6"/>
      <c r="AH611" s="7">
        <v>1</v>
      </c>
      <c r="AI611" s="4"/>
      <c r="AJ611" s="4">
        <f>=ROUNDDOWN({0},0)</f>
      </c>
      <c r="AK611" s="5"/>
      <c r="AL611" s="2" t="s">
        <v>98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/>
      <c r="AW611" s="8"/>
      <c r="AX611" s="4"/>
      <c r="AY611" s="8"/>
      <c r="AZ611" s="7"/>
      <c r="BA611" s="7"/>
      <c r="BB611" s="7"/>
      <c r="BC611" s="4"/>
      <c r="BD611" s="8"/>
      <c r="BE611" s="4"/>
      <c r="BF611" s="8"/>
      <c r="BG611" s="7"/>
      <c r="BH611" s="7"/>
      <c r="BI611" s="7"/>
      <c r="BJ611" s="4">
        <v>1</v>
      </c>
      <c r="BK611" s="8">
        <v>94.39</v>
      </c>
      <c r="BL611" s="2" t="s">
        <v>2845</v>
      </c>
      <c r="BM611" s="7"/>
      <c r="BN611" s="7"/>
      <c r="BO611" s="4"/>
      <c r="BP611" s="8"/>
      <c r="BQ611" s="4"/>
      <c r="BR611" s="8"/>
      <c r="BS611" s="7"/>
      <c r="BT611" s="7"/>
      <c r="BU611" s="2" t="s">
        <v>107</v>
      </c>
      <c r="BV611" s="2" t="s">
        <v>1355</v>
      </c>
      <c r="BW611" s="2" t="s">
        <v>1495</v>
      </c>
      <c r="BX611" s="2" t="s">
        <v>3330</v>
      </c>
      <c r="BY611" s="2" t="s">
        <v>110</v>
      </c>
      <c r="BZ611" s="2" t="s">
        <v>98</v>
      </c>
    </row>
    <row r="612">
      <c r="A612" s="2" t="s">
        <v>3331</v>
      </c>
      <c r="B612" s="2" t="s">
        <v>1345</v>
      </c>
      <c r="C612" s="2" t="s">
        <v>88</v>
      </c>
      <c r="D612" s="2" t="s">
        <v>3213</v>
      </c>
      <c r="E612" s="2" t="s">
        <v>3213</v>
      </c>
      <c r="F612" s="2" t="s">
        <v>3332</v>
      </c>
      <c r="G612" s="2" t="s">
        <v>3333</v>
      </c>
      <c r="H612" s="2" t="s">
        <v>3334</v>
      </c>
      <c r="I612" s="2" t="s">
        <v>3335</v>
      </c>
      <c r="J612" s="2" t="s">
        <v>93</v>
      </c>
      <c r="K612" s="2" t="s">
        <v>559</v>
      </c>
      <c r="L612" s="3">
        <v>90</v>
      </c>
      <c r="M612" s="3">
        <v>94.5</v>
      </c>
      <c r="N612" s="3">
        <v>189</v>
      </c>
      <c r="O612" s="2" t="s">
        <v>95</v>
      </c>
      <c r="P612" s="2" t="s">
        <v>115</v>
      </c>
      <c r="Q612" s="2" t="s">
        <v>97</v>
      </c>
      <c r="R612" s="2" t="s">
        <v>98</v>
      </c>
      <c r="S612" s="2" t="s">
        <v>3336</v>
      </c>
      <c r="T612" s="2" t="s">
        <v>98</v>
      </c>
      <c r="U612" s="2" t="s">
        <v>98</v>
      </c>
      <c r="V612" s="2" t="s">
        <v>1360</v>
      </c>
      <c r="W612" s="2" t="s">
        <v>102</v>
      </c>
      <c r="X612" s="2" t="s">
        <v>98</v>
      </c>
      <c r="Y612" s="2" t="s">
        <v>366</v>
      </c>
      <c r="Z612" s="4"/>
      <c r="AA612" s="4">
        <f>=ROUNDDOWN({0},0)</f>
      </c>
      <c r="AB612" s="5">
        <v>1</v>
      </c>
      <c r="AC612" s="2" t="s">
        <v>98</v>
      </c>
      <c r="AD612" s="4"/>
      <c r="AE612" s="4"/>
      <c r="AF612" s="6">
        <v>67</v>
      </c>
      <c r="AG612" s="6"/>
      <c r="AH612" s="7">
        <v>0</v>
      </c>
      <c r="AI612" s="4"/>
      <c r="AJ612" s="4">
        <f>=ROUNDDOWN({0},0)</f>
      </c>
      <c r="AK612" s="5"/>
      <c r="AL612" s="2" t="s">
        <v>98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/>
      <c r="BD612" s="8"/>
      <c r="BE612" s="4"/>
      <c r="BF612" s="8"/>
      <c r="BG612" s="7"/>
      <c r="BH612" s="7"/>
      <c r="BI612" s="7"/>
      <c r="BJ612" s="4"/>
      <c r="BK612" s="8"/>
      <c r="BL612" s="2" t="s">
        <v>1368</v>
      </c>
      <c r="BM612" s="7"/>
      <c r="BN612" s="7"/>
      <c r="BO612" s="4"/>
      <c r="BP612" s="8"/>
      <c r="BQ612" s="4"/>
      <c r="BR612" s="8"/>
      <c r="BS612" s="7"/>
      <c r="BT612" s="7"/>
      <c r="BU612" s="2" t="s">
        <v>107</v>
      </c>
      <c r="BV612" s="2" t="s">
        <v>1355</v>
      </c>
      <c r="BW612" s="2" t="s">
        <v>1356</v>
      </c>
      <c r="BX612" s="2" t="s">
        <v>3337</v>
      </c>
      <c r="BY612" s="2" t="s">
        <v>110</v>
      </c>
      <c r="BZ612" s="2" t="s">
        <v>98</v>
      </c>
    </row>
    <row r="613">
      <c r="A613" s="2" t="s">
        <v>3338</v>
      </c>
      <c r="B613" s="2" t="s">
        <v>1345</v>
      </c>
      <c r="C613" s="2" t="s">
        <v>88</v>
      </c>
      <c r="D613" s="2" t="s">
        <v>3213</v>
      </c>
      <c r="E613" s="2" t="s">
        <v>3213</v>
      </c>
      <c r="F613" s="2" t="s">
        <v>3339</v>
      </c>
      <c r="G613" s="2" t="s">
        <v>1605</v>
      </c>
      <c r="H613" s="2" t="s">
        <v>3340</v>
      </c>
      <c r="I613" s="2" t="s">
        <v>3341</v>
      </c>
      <c r="J613" s="2" t="s">
        <v>93</v>
      </c>
      <c r="K613" s="2" t="s">
        <v>1052</v>
      </c>
      <c r="L613" s="3">
        <v>150</v>
      </c>
      <c r="M613" s="3">
        <v>157.5</v>
      </c>
      <c r="N613" s="3">
        <v>319</v>
      </c>
      <c r="O613" s="2" t="s">
        <v>155</v>
      </c>
      <c r="P613" s="2" t="s">
        <v>115</v>
      </c>
      <c r="Q613" s="2" t="s">
        <v>97</v>
      </c>
      <c r="R613" s="2" t="s">
        <v>98</v>
      </c>
      <c r="S613" s="2" t="s">
        <v>98</v>
      </c>
      <c r="T613" s="2" t="s">
        <v>98</v>
      </c>
      <c r="U613" s="2" t="s">
        <v>117</v>
      </c>
      <c r="V613" s="2" t="s">
        <v>439</v>
      </c>
      <c r="W613" s="2" t="s">
        <v>103</v>
      </c>
      <c r="X613" s="2" t="s">
        <v>98</v>
      </c>
      <c r="Y613" s="2" t="s">
        <v>3342</v>
      </c>
      <c r="Z613" s="4">
        <v>103</v>
      </c>
      <c r="AA613" s="4">
        <f>=ROUNDDOWN({0},0)</f>
      </c>
      <c r="AB613" s="5"/>
      <c r="AC613" s="2" t="s">
        <v>98</v>
      </c>
      <c r="AD613" s="4"/>
      <c r="AE613" s="4"/>
      <c r="AF613" s="6">
        <v>75</v>
      </c>
      <c r="AG613" s="6"/>
      <c r="AH613" s="7">
        <v>1</v>
      </c>
      <c r="AI613" s="4"/>
      <c r="AJ613" s="4">
        <f>=ROUNDDOWN({0},0)</f>
      </c>
      <c r="AK613" s="5"/>
      <c r="AL613" s="2" t="s">
        <v>98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/>
      <c r="AW613" s="8"/>
      <c r="AX613" s="4"/>
      <c r="AY613" s="8"/>
      <c r="AZ613" s="7"/>
      <c r="BA613" s="7"/>
      <c r="BB613" s="7"/>
      <c r="BC613" s="4"/>
      <c r="BD613" s="8"/>
      <c r="BE613" s="4"/>
      <c r="BF613" s="8"/>
      <c r="BG613" s="7"/>
      <c r="BH613" s="7"/>
      <c r="BI613" s="7"/>
      <c r="BJ613" s="4"/>
      <c r="BK613" s="8"/>
      <c r="BL613" s="2" t="s">
        <v>895</v>
      </c>
      <c r="BM613" s="7"/>
      <c r="BN613" s="7"/>
      <c r="BO613" s="4"/>
      <c r="BP613" s="8"/>
      <c r="BQ613" s="4"/>
      <c r="BR613" s="8"/>
      <c r="BS613" s="7"/>
      <c r="BT613" s="7"/>
      <c r="BU613" s="2" t="s">
        <v>1376</v>
      </c>
      <c r="BV613" s="2" t="s">
        <v>95</v>
      </c>
      <c r="BW613" s="2" t="s">
        <v>98</v>
      </c>
      <c r="BX613" s="2" t="s">
        <v>98</v>
      </c>
      <c r="BY613" s="2" t="s">
        <v>110</v>
      </c>
      <c r="BZ613" s="2" t="s">
        <v>98</v>
      </c>
    </row>
    <row r="614">
      <c r="A614" s="2" t="s">
        <v>3343</v>
      </c>
      <c r="B614" s="2" t="s">
        <v>1345</v>
      </c>
      <c r="C614" s="2" t="s">
        <v>88</v>
      </c>
      <c r="D614" s="2" t="s">
        <v>3213</v>
      </c>
      <c r="E614" s="2" t="s">
        <v>2729</v>
      </c>
      <c r="F614" s="2" t="s">
        <v>3144</v>
      </c>
      <c r="G614" s="2" t="s">
        <v>3145</v>
      </c>
      <c r="H614" s="2" t="s">
        <v>3146</v>
      </c>
      <c r="I614" s="2" t="s">
        <v>3344</v>
      </c>
      <c r="J614" s="2" t="s">
        <v>93</v>
      </c>
      <c r="K614" s="2" t="s">
        <v>967</v>
      </c>
      <c r="L614" s="3">
        <v>148.5</v>
      </c>
      <c r="M614" s="3">
        <v>155.92</v>
      </c>
      <c r="N614" s="3">
        <v>309</v>
      </c>
      <c r="O614" s="2" t="s">
        <v>95</v>
      </c>
      <c r="P614" s="2" t="s">
        <v>142</v>
      </c>
      <c r="Q614" s="2" t="s">
        <v>97</v>
      </c>
      <c r="R614" s="2" t="s">
        <v>98</v>
      </c>
      <c r="S614" s="2" t="s">
        <v>98</v>
      </c>
      <c r="T614" s="2" t="s">
        <v>98</v>
      </c>
      <c r="U614" s="2" t="s">
        <v>117</v>
      </c>
      <c r="V614" s="2" t="s">
        <v>296</v>
      </c>
      <c r="W614" s="2" t="s">
        <v>102</v>
      </c>
      <c r="X614" s="2" t="s">
        <v>98</v>
      </c>
      <c r="Y614" s="2" t="s">
        <v>3345</v>
      </c>
      <c r="Z614" s="4">
        <v>123</v>
      </c>
      <c r="AA614" s="4">
        <f>=ROUNDDOWN(41,0)</f>
      </c>
      <c r="AB614" s="5">
        <v>3</v>
      </c>
      <c r="AC614" s="2" t="s">
        <v>98</v>
      </c>
      <c r="AD614" s="4"/>
      <c r="AE614" s="4"/>
      <c r="AF614" s="6">
        <v>67</v>
      </c>
      <c r="AG614" s="6"/>
      <c r="AH614" s="7">
        <v>1</v>
      </c>
      <c r="AI614" s="4"/>
      <c r="AJ614" s="4">
        <f>=ROUNDDOWN({0},0)</f>
      </c>
      <c r="AK614" s="5"/>
      <c r="AL614" s="2" t="s">
        <v>98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/>
      <c r="AW614" s="8"/>
      <c r="AX614" s="4"/>
      <c r="AY614" s="8"/>
      <c r="AZ614" s="7"/>
      <c r="BA614" s="7"/>
      <c r="BB614" s="7"/>
      <c r="BC614" s="4"/>
      <c r="BD614" s="8"/>
      <c r="BE614" s="4"/>
      <c r="BF614" s="8"/>
      <c r="BG614" s="7"/>
      <c r="BH614" s="7"/>
      <c r="BI614" s="7"/>
      <c r="BJ614" s="4">
        <v>3</v>
      </c>
      <c r="BK614" s="8">
        <v>509.88</v>
      </c>
      <c r="BL614" s="2" t="s">
        <v>3346</v>
      </c>
      <c r="BM614" s="7"/>
      <c r="BN614" s="7"/>
      <c r="BO614" s="4"/>
      <c r="BP614" s="8"/>
      <c r="BQ614" s="4"/>
      <c r="BR614" s="8"/>
      <c r="BS614" s="7"/>
      <c r="BT614" s="7"/>
      <c r="BU614" s="2" t="s">
        <v>1376</v>
      </c>
      <c r="BV614" s="2" t="s">
        <v>95</v>
      </c>
      <c r="BW614" s="2" t="s">
        <v>98</v>
      </c>
      <c r="BX614" s="2" t="s">
        <v>98</v>
      </c>
      <c r="BY614" s="2" t="s">
        <v>110</v>
      </c>
      <c r="BZ614" s="2" t="s">
        <v>98</v>
      </c>
    </row>
    <row r="615">
      <c r="A615" s="2" t="s">
        <v>3347</v>
      </c>
      <c r="B615" s="2" t="s">
        <v>1345</v>
      </c>
      <c r="C615" s="2" t="s">
        <v>88</v>
      </c>
      <c r="D615" s="2" t="s">
        <v>3348</v>
      </c>
      <c r="E615" s="2" t="s">
        <v>3349</v>
      </c>
      <c r="F615" s="2" t="s">
        <v>2752</v>
      </c>
      <c r="G615" s="2" t="s">
        <v>2753</v>
      </c>
      <c r="H615" s="2" t="s">
        <v>2754</v>
      </c>
      <c r="I615" s="2" t="s">
        <v>3350</v>
      </c>
      <c r="J615" s="2" t="s">
        <v>93</v>
      </c>
      <c r="K615" s="2" t="s">
        <v>2763</v>
      </c>
      <c r="L615" s="3">
        <v>180</v>
      </c>
      <c r="M615" s="3">
        <v>189</v>
      </c>
      <c r="N615" s="3">
        <v>379</v>
      </c>
      <c r="O615" s="2" t="s">
        <v>95</v>
      </c>
      <c r="P615" s="2" t="s">
        <v>134</v>
      </c>
      <c r="Q615" s="2" t="s">
        <v>97</v>
      </c>
      <c r="R615" s="2" t="s">
        <v>98</v>
      </c>
      <c r="S615" s="2" t="s">
        <v>3351</v>
      </c>
      <c r="T615" s="2" t="s">
        <v>98</v>
      </c>
      <c r="U615" s="2" t="s">
        <v>98</v>
      </c>
      <c r="V615" s="2" t="s">
        <v>439</v>
      </c>
      <c r="W615" s="2" t="s">
        <v>963</v>
      </c>
      <c r="X615" s="2" t="s">
        <v>98</v>
      </c>
      <c r="Y615" s="2" t="s">
        <v>366</v>
      </c>
      <c r="Z615" s="4">
        <v>64</v>
      </c>
      <c r="AA615" s="4">
        <f>=ROUNDDOWN(5.76576576576577,0)</f>
      </c>
      <c r="AB615" s="5">
        <v>11.1</v>
      </c>
      <c r="AC615" s="2" t="s">
        <v>1353</v>
      </c>
      <c r="AD615" s="4">
        <v>70</v>
      </c>
      <c r="AE615" s="4">
        <v>220</v>
      </c>
      <c r="AF615" s="6">
        <v>74</v>
      </c>
      <c r="AG615" s="6">
        <v>60</v>
      </c>
      <c r="AH615" s="7">
        <v>1</v>
      </c>
      <c r="AI615" s="4"/>
      <c r="AJ615" s="4">
        <f>=ROUNDDOWN({0},0)</f>
      </c>
      <c r="AK615" s="5"/>
      <c r="AL615" s="2" t="s">
        <v>2760</v>
      </c>
      <c r="AM615" s="4">
        <v>50</v>
      </c>
      <c r="AN615" s="4">
        <v>50</v>
      </c>
      <c r="AO615" s="7">
        <v>0</v>
      </c>
      <c r="AP615" s="4">
        <v>1</v>
      </c>
      <c r="AQ615" s="8">
        <v>182.28</v>
      </c>
      <c r="AR615" s="4"/>
      <c r="AS615" s="8"/>
      <c r="AT615" s="7"/>
      <c r="AU615" s="7"/>
      <c r="AV615" s="4">
        <v>1</v>
      </c>
      <c r="AW615" s="8">
        <v>182.28</v>
      </c>
      <c r="AX615" s="4"/>
      <c r="AY615" s="8"/>
      <c r="AZ615" s="7"/>
      <c r="BA615" s="7"/>
      <c r="BB615" s="7">
        <v>1</v>
      </c>
      <c r="BC615" s="4">
        <v>1</v>
      </c>
      <c r="BD615" s="8">
        <v>182.28</v>
      </c>
      <c r="BE615" s="4" t="s">
        <v>98</v>
      </c>
      <c r="BF615" s="8" t="s">
        <v>98</v>
      </c>
      <c r="BG615" s="7" t="s">
        <v>98</v>
      </c>
      <c r="BH615" s="7" t="s">
        <v>98</v>
      </c>
      <c r="BI615" s="7">
        <v>1</v>
      </c>
      <c r="BJ615" s="4">
        <v>12</v>
      </c>
      <c r="BK615" s="8">
        <v>2098.92</v>
      </c>
      <c r="BL615" s="2" t="s">
        <v>2777</v>
      </c>
      <c r="BM615" s="7">
        <v>0.0833</v>
      </c>
      <c r="BN615" s="7">
        <v>0.0868</v>
      </c>
      <c r="BO615" s="4">
        <v>1</v>
      </c>
      <c r="BP615" s="8">
        <v>182.28</v>
      </c>
      <c r="BQ615" s="4"/>
      <c r="BR615" s="8"/>
      <c r="BS615" s="7"/>
      <c r="BT615" s="7"/>
      <c r="BU615" s="2" t="s">
        <v>107</v>
      </c>
      <c r="BV615" s="2" t="s">
        <v>1355</v>
      </c>
      <c r="BW615" s="2" t="s">
        <v>497</v>
      </c>
      <c r="BX615" s="2" t="s">
        <v>3352</v>
      </c>
      <c r="BY615" s="2" t="s">
        <v>110</v>
      </c>
      <c r="BZ615" s="2" t="s">
        <v>98</v>
      </c>
    </row>
    <row r="616">
      <c r="A616" s="2" t="s">
        <v>3353</v>
      </c>
      <c r="B616" s="2" t="s">
        <v>1345</v>
      </c>
      <c r="C616" s="2" t="s">
        <v>88</v>
      </c>
      <c r="D616" s="2" t="s">
        <v>3348</v>
      </c>
      <c r="E616" s="2" t="s">
        <v>3349</v>
      </c>
      <c r="F616" s="2" t="s">
        <v>2752</v>
      </c>
      <c r="G616" s="2" t="s">
        <v>2753</v>
      </c>
      <c r="H616" s="2" t="s">
        <v>2754</v>
      </c>
      <c r="I616" s="2" t="s">
        <v>3350</v>
      </c>
      <c r="J616" s="2" t="s">
        <v>93</v>
      </c>
      <c r="K616" s="2" t="s">
        <v>2758</v>
      </c>
      <c r="L616" s="3">
        <v>180</v>
      </c>
      <c r="M616" s="3">
        <v>189</v>
      </c>
      <c r="N616" s="3">
        <v>379</v>
      </c>
      <c r="O616" s="2" t="s">
        <v>95</v>
      </c>
      <c r="P616" s="2" t="s">
        <v>134</v>
      </c>
      <c r="Q616" s="2" t="s">
        <v>97</v>
      </c>
      <c r="R616" s="2" t="s">
        <v>98</v>
      </c>
      <c r="S616" s="2" t="s">
        <v>98</v>
      </c>
      <c r="T616" s="2" t="s">
        <v>98</v>
      </c>
      <c r="U616" s="2" t="s">
        <v>117</v>
      </c>
      <c r="V616" s="2" t="s">
        <v>439</v>
      </c>
      <c r="W616" s="2" t="s">
        <v>963</v>
      </c>
      <c r="X616" s="2" t="s">
        <v>102</v>
      </c>
      <c r="Y616" s="2" t="s">
        <v>2759</v>
      </c>
      <c r="Z616" s="4">
        <v>44</v>
      </c>
      <c r="AA616" s="4">
        <f>=ROUNDDOWN(4.88888888888889,0)</f>
      </c>
      <c r="AB616" s="5">
        <v>9</v>
      </c>
      <c r="AC616" s="2" t="s">
        <v>3354</v>
      </c>
      <c r="AD616" s="4">
        <v>150</v>
      </c>
      <c r="AE616" s="4">
        <v>330</v>
      </c>
      <c r="AF616" s="6">
        <v>74</v>
      </c>
      <c r="AG616" s="6">
        <v>60</v>
      </c>
      <c r="AH616" s="7">
        <v>1</v>
      </c>
      <c r="AI616" s="4"/>
      <c r="AJ616" s="4">
        <f>=ROUNDDOWN({0},0)</f>
      </c>
      <c r="AK616" s="5"/>
      <c r="AL616" s="2" t="s">
        <v>98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/>
      <c r="AW616" s="8"/>
      <c r="AX616" s="4"/>
      <c r="AY616" s="8"/>
      <c r="AZ616" s="7"/>
      <c r="BA616" s="7"/>
      <c r="BB616" s="7"/>
      <c r="BC616" s="4" t="s">
        <v>98</v>
      </c>
      <c r="BD616" s="8" t="s">
        <v>98</v>
      </c>
      <c r="BE616" s="4" t="s">
        <v>98</v>
      </c>
      <c r="BF616" s="8" t="s">
        <v>98</v>
      </c>
      <c r="BG616" s="7" t="s">
        <v>98</v>
      </c>
      <c r="BH616" s="7" t="s">
        <v>98</v>
      </c>
      <c r="BI616" s="7"/>
      <c r="BJ616" s="4">
        <v>5</v>
      </c>
      <c r="BK616" s="8">
        <v>888</v>
      </c>
      <c r="BL616" s="2" t="s">
        <v>3355</v>
      </c>
      <c r="BM616" s="7"/>
      <c r="BN616" s="7"/>
      <c r="BO616" s="4"/>
      <c r="BP616" s="8"/>
      <c r="BQ616" s="4"/>
      <c r="BR616" s="8"/>
      <c r="BS616" s="7"/>
      <c r="BT616" s="7"/>
      <c r="BU616" s="2" t="s">
        <v>1376</v>
      </c>
      <c r="BV616" s="2" t="s">
        <v>95</v>
      </c>
      <c r="BW616" s="2" t="s">
        <v>98</v>
      </c>
      <c r="BX616" s="2" t="s">
        <v>98</v>
      </c>
      <c r="BY616" s="2" t="s">
        <v>110</v>
      </c>
      <c r="BZ616" s="2" t="s">
        <v>98</v>
      </c>
    </row>
    <row r="617">
      <c r="A617" s="2" t="s">
        <v>3356</v>
      </c>
      <c r="B617" s="2" t="s">
        <v>1345</v>
      </c>
      <c r="C617" s="2" t="s">
        <v>88</v>
      </c>
      <c r="D617" s="2" t="s">
        <v>3348</v>
      </c>
      <c r="E617" s="2" t="s">
        <v>3349</v>
      </c>
      <c r="F617" s="2" t="s">
        <v>3357</v>
      </c>
      <c r="G617" s="2" t="s">
        <v>3358</v>
      </c>
      <c r="H617" s="2" t="s">
        <v>3359</v>
      </c>
      <c r="I617" s="2" t="s">
        <v>3360</v>
      </c>
      <c r="J617" s="2" t="s">
        <v>93</v>
      </c>
      <c r="K617" s="2" t="s">
        <v>133</v>
      </c>
      <c r="L617" s="3">
        <v>239</v>
      </c>
      <c r="M617" s="3">
        <v>250.95</v>
      </c>
      <c r="N617" s="3">
        <v>499</v>
      </c>
      <c r="O617" s="2" t="s">
        <v>155</v>
      </c>
      <c r="P617" s="2" t="s">
        <v>115</v>
      </c>
      <c r="Q617" s="2" t="s">
        <v>97</v>
      </c>
      <c r="R617" s="2" t="s">
        <v>98</v>
      </c>
      <c r="S617" s="2" t="s">
        <v>98</v>
      </c>
      <c r="T617" s="2" t="s">
        <v>98</v>
      </c>
      <c r="U617" s="2" t="s">
        <v>98</v>
      </c>
      <c r="V617" s="2" t="s">
        <v>296</v>
      </c>
      <c r="W617" s="2" t="s">
        <v>103</v>
      </c>
      <c r="X617" s="2" t="s">
        <v>968</v>
      </c>
      <c r="Y617" s="2" t="s">
        <v>3361</v>
      </c>
      <c r="Z617" s="4">
        <v>59</v>
      </c>
      <c r="AA617" s="4">
        <f>=ROUNDDOWN(118,0)</f>
      </c>
      <c r="AB617" s="5">
        <v>0.5</v>
      </c>
      <c r="AC617" s="2" t="s">
        <v>98</v>
      </c>
      <c r="AD617" s="4"/>
      <c r="AE617" s="4"/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98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/>
      <c r="AW617" s="8"/>
      <c r="AX617" s="4"/>
      <c r="AY617" s="8"/>
      <c r="AZ617" s="7"/>
      <c r="BA617" s="7"/>
      <c r="BB617" s="7"/>
      <c r="BC617" s="4"/>
      <c r="BD617" s="8"/>
      <c r="BE617" s="4"/>
      <c r="BF617" s="8"/>
      <c r="BG617" s="7"/>
      <c r="BH617" s="7"/>
      <c r="BI617" s="7"/>
      <c r="BJ617" s="4"/>
      <c r="BK617" s="8"/>
      <c r="BL617" s="2" t="s">
        <v>98</v>
      </c>
      <c r="BM617" s="7"/>
      <c r="BN617" s="7"/>
      <c r="BO617" s="4"/>
      <c r="BP617" s="8"/>
      <c r="BQ617" s="4"/>
      <c r="BR617" s="8"/>
      <c r="BS617" s="7"/>
      <c r="BT617" s="7"/>
      <c r="BU617" s="2" t="s">
        <v>1376</v>
      </c>
      <c r="BV617" s="2" t="s">
        <v>95</v>
      </c>
      <c r="BW617" s="2" t="s">
        <v>98</v>
      </c>
      <c r="BX617" s="2" t="s">
        <v>98</v>
      </c>
      <c r="BY617" s="2" t="s">
        <v>110</v>
      </c>
      <c r="BZ617" s="2" t="s">
        <v>98</v>
      </c>
    </row>
    <row r="618">
      <c r="A618" s="2" t="s">
        <v>3362</v>
      </c>
      <c r="B618" s="2" t="s">
        <v>1345</v>
      </c>
      <c r="C618" s="2" t="s">
        <v>88</v>
      </c>
      <c r="D618" s="2" t="s">
        <v>3348</v>
      </c>
      <c r="E618" s="2" t="s">
        <v>3349</v>
      </c>
      <c r="F618" s="2" t="s">
        <v>3363</v>
      </c>
      <c r="G618" s="2" t="s">
        <v>3364</v>
      </c>
      <c r="H618" s="2" t="s">
        <v>3365</v>
      </c>
      <c r="I618" s="2" t="s">
        <v>3366</v>
      </c>
      <c r="J618" s="2" t="s">
        <v>93</v>
      </c>
      <c r="K618" s="2" t="s">
        <v>3367</v>
      </c>
      <c r="L618" s="3">
        <v>225</v>
      </c>
      <c r="M618" s="3">
        <v>236.25</v>
      </c>
      <c r="N618" s="3">
        <v>469</v>
      </c>
      <c r="O618" s="2" t="s">
        <v>155</v>
      </c>
      <c r="P618" s="2" t="s">
        <v>115</v>
      </c>
      <c r="Q618" s="2" t="s">
        <v>97</v>
      </c>
      <c r="R618" s="2" t="s">
        <v>98</v>
      </c>
      <c r="S618" s="2" t="s">
        <v>98</v>
      </c>
      <c r="T618" s="2" t="s">
        <v>98</v>
      </c>
      <c r="U618" s="2" t="s">
        <v>117</v>
      </c>
      <c r="V618" s="2" t="s">
        <v>439</v>
      </c>
      <c r="W618" s="2" t="s">
        <v>968</v>
      </c>
      <c r="X618" s="2" t="s">
        <v>98</v>
      </c>
      <c r="Y618" s="2" t="s">
        <v>3368</v>
      </c>
      <c r="Z618" s="4">
        <v>16</v>
      </c>
      <c r="AA618" s="4">
        <f>=ROUNDDOWN(20,0)</f>
      </c>
      <c r="AB618" s="5">
        <v>0.8</v>
      </c>
      <c r="AC618" s="2" t="s">
        <v>98</v>
      </c>
      <c r="AD618" s="4"/>
      <c r="AE618" s="4"/>
      <c r="AF618" s="6">
        <v>74</v>
      </c>
      <c r="AG618" s="6"/>
      <c r="AH618" s="7">
        <v>1</v>
      </c>
      <c r="AI618" s="4"/>
      <c r="AJ618" s="4">
        <f>=ROUNDDOWN({0},0)</f>
      </c>
      <c r="AK618" s="5"/>
      <c r="AL618" s="2" t="s">
        <v>98</v>
      </c>
      <c r="AM618" s="4"/>
      <c r="AN618" s="4"/>
      <c r="AO618" s="7">
        <v>0</v>
      </c>
      <c r="AP618" s="4"/>
      <c r="AQ618" s="8"/>
      <c r="AR618" s="4"/>
      <c r="AS618" s="8"/>
      <c r="AT618" s="7"/>
      <c r="AU618" s="7"/>
      <c r="AV618" s="4"/>
      <c r="AW618" s="8"/>
      <c r="AX618" s="4"/>
      <c r="AY618" s="8"/>
      <c r="AZ618" s="7"/>
      <c r="BA618" s="7"/>
      <c r="BB618" s="7"/>
      <c r="BC618" s="4"/>
      <c r="BD618" s="8"/>
      <c r="BE618" s="4"/>
      <c r="BF618" s="8"/>
      <c r="BG618" s="7"/>
      <c r="BH618" s="7"/>
      <c r="BI618" s="7"/>
      <c r="BJ618" s="4"/>
      <c r="BK618" s="8"/>
      <c r="BL618" s="2" t="s">
        <v>98</v>
      </c>
      <c r="BM618" s="7"/>
      <c r="BN618" s="7"/>
      <c r="BO618" s="4"/>
      <c r="BP618" s="8"/>
      <c r="BQ618" s="4"/>
      <c r="BR618" s="8"/>
      <c r="BS618" s="7"/>
      <c r="BT618" s="7"/>
      <c r="BU618" s="2" t="s">
        <v>1376</v>
      </c>
      <c r="BV618" s="2" t="s">
        <v>1355</v>
      </c>
      <c r="BW618" s="2" t="s">
        <v>98</v>
      </c>
      <c r="BX618" s="2" t="s">
        <v>98</v>
      </c>
      <c r="BY618" s="2" t="s">
        <v>110</v>
      </c>
      <c r="BZ618" s="2" t="s">
        <v>98</v>
      </c>
    </row>
    <row r="619">
      <c r="A619" s="2" t="s">
        <v>3369</v>
      </c>
      <c r="B619" s="2" t="s">
        <v>1345</v>
      </c>
      <c r="C619" s="2" t="s">
        <v>88</v>
      </c>
      <c r="D619" s="2" t="s">
        <v>3370</v>
      </c>
      <c r="E619" s="2" t="s">
        <v>3370</v>
      </c>
      <c r="F619" s="2" t="s">
        <v>3371</v>
      </c>
      <c r="G619" s="2" t="s">
        <v>3372</v>
      </c>
      <c r="H619" s="2" t="s">
        <v>3373</v>
      </c>
      <c r="I619" s="2" t="s">
        <v>3374</v>
      </c>
      <c r="J619" s="2" t="s">
        <v>93</v>
      </c>
      <c r="K619" s="2" t="s">
        <v>1052</v>
      </c>
      <c r="L619" s="3">
        <v>430</v>
      </c>
      <c r="M619" s="3">
        <v>451.5</v>
      </c>
      <c r="N619" s="3">
        <v>899</v>
      </c>
      <c r="O619" s="2" t="s">
        <v>95</v>
      </c>
      <c r="P619" s="2" t="s">
        <v>295</v>
      </c>
      <c r="Q619" s="2" t="s">
        <v>97</v>
      </c>
      <c r="R619" s="2" t="s">
        <v>98</v>
      </c>
      <c r="S619" s="2" t="s">
        <v>98</v>
      </c>
      <c r="T619" s="2" t="s">
        <v>98</v>
      </c>
      <c r="U619" s="2" t="s">
        <v>117</v>
      </c>
      <c r="V619" s="2" t="s">
        <v>296</v>
      </c>
      <c r="W619" s="2" t="s">
        <v>103</v>
      </c>
      <c r="X619" s="2" t="s">
        <v>297</v>
      </c>
      <c r="Y619" s="2" t="s">
        <v>3375</v>
      </c>
      <c r="Z619" s="4">
        <v>130</v>
      </c>
      <c r="AA619" s="4">
        <f>=ROUNDDOWN(52,0)</f>
      </c>
      <c r="AB619" s="5">
        <v>2.5</v>
      </c>
      <c r="AC619" s="2" t="s">
        <v>98</v>
      </c>
      <c r="AD619" s="4"/>
      <c r="AE619" s="4"/>
      <c r="AF619" s="6">
        <v>74</v>
      </c>
      <c r="AG619" s="6"/>
      <c r="AH619" s="7">
        <v>1</v>
      </c>
      <c r="AI619" s="4"/>
      <c r="AJ619" s="4">
        <f>=ROUNDDOWN({0},0)</f>
      </c>
      <c r="AK619" s="5"/>
      <c r="AL619" s="2" t="s">
        <v>98</v>
      </c>
      <c r="AM619" s="4"/>
      <c r="AN619" s="4"/>
      <c r="AO619" s="7">
        <v>0</v>
      </c>
      <c r="AP619" s="4"/>
      <c r="AQ619" s="8"/>
      <c r="AR619" s="4"/>
      <c r="AS619" s="8"/>
      <c r="AT619" s="7"/>
      <c r="AU619" s="7"/>
      <c r="AV619" s="4"/>
      <c r="AW619" s="8"/>
      <c r="AX619" s="4"/>
      <c r="AY619" s="8"/>
      <c r="AZ619" s="7"/>
      <c r="BA619" s="7"/>
      <c r="BB619" s="7"/>
      <c r="BC619" s="4"/>
      <c r="BD619" s="8"/>
      <c r="BE619" s="4"/>
      <c r="BF619" s="8"/>
      <c r="BG619" s="7"/>
      <c r="BH619" s="7"/>
      <c r="BI619" s="7"/>
      <c r="BJ619" s="4">
        <v>1</v>
      </c>
      <c r="BK619" s="8">
        <v>465.05</v>
      </c>
      <c r="BL619" s="2" t="s">
        <v>895</v>
      </c>
      <c r="BM619" s="7"/>
      <c r="BN619" s="7"/>
      <c r="BO619" s="4"/>
      <c r="BP619" s="8"/>
      <c r="BQ619" s="4"/>
      <c r="BR619" s="8"/>
      <c r="BS619" s="7"/>
      <c r="BT619" s="7"/>
      <c r="BU619" s="2" t="s">
        <v>1376</v>
      </c>
      <c r="BV619" s="2" t="s">
        <v>95</v>
      </c>
      <c r="BW619" s="2" t="s">
        <v>98</v>
      </c>
      <c r="BX619" s="2" t="s">
        <v>98</v>
      </c>
      <c r="BY619" s="2" t="s">
        <v>110</v>
      </c>
      <c r="BZ619" s="2" t="s">
        <v>98</v>
      </c>
    </row>
    <row r="620">
      <c r="A620" s="2" t="s">
        <v>3376</v>
      </c>
      <c r="B620" s="2" t="s">
        <v>1345</v>
      </c>
      <c r="C620" s="2" t="s">
        <v>88</v>
      </c>
      <c r="D620" s="2" t="s">
        <v>3377</v>
      </c>
      <c r="E620" s="2" t="s">
        <v>3377</v>
      </c>
      <c r="F620" s="2" t="s">
        <v>3378</v>
      </c>
      <c r="G620" s="2" t="s">
        <v>3379</v>
      </c>
      <c r="H620" s="2" t="s">
        <v>3380</v>
      </c>
      <c r="I620" s="2" t="s">
        <v>3381</v>
      </c>
      <c r="J620" s="2" t="s">
        <v>93</v>
      </c>
      <c r="K620" s="2" t="s">
        <v>1439</v>
      </c>
      <c r="L620" s="3">
        <v>475</v>
      </c>
      <c r="M620" s="3">
        <v>498.75</v>
      </c>
      <c r="N620" s="3">
        <v>999</v>
      </c>
      <c r="O620" s="2" t="s">
        <v>95</v>
      </c>
      <c r="P620" s="2" t="s">
        <v>115</v>
      </c>
      <c r="Q620" s="2" t="s">
        <v>97</v>
      </c>
      <c r="R620" s="2" t="s">
        <v>98</v>
      </c>
      <c r="S620" s="2" t="s">
        <v>3382</v>
      </c>
      <c r="T620" s="2" t="s">
        <v>98</v>
      </c>
      <c r="U620" s="2" t="s">
        <v>98</v>
      </c>
      <c r="V620" s="2" t="s">
        <v>439</v>
      </c>
      <c r="W620" s="2" t="s">
        <v>103</v>
      </c>
      <c r="X620" s="2" t="s">
        <v>98</v>
      </c>
      <c r="Y620" s="2" t="s">
        <v>3383</v>
      </c>
      <c r="Z620" s="4">
        <v>93</v>
      </c>
      <c r="AA620" s="4">
        <f>=ROUNDDOWN(155,0)</f>
      </c>
      <c r="AB620" s="5">
        <v>0.6</v>
      </c>
      <c r="AC620" s="2" t="s">
        <v>98</v>
      </c>
      <c r="AD620" s="4"/>
      <c r="AE620" s="4"/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98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/>
      <c r="AW620" s="8"/>
      <c r="AX620" s="4"/>
      <c r="AY620" s="8"/>
      <c r="AZ620" s="7"/>
      <c r="BA620" s="7"/>
      <c r="BB620" s="7"/>
      <c r="BC620" s="4"/>
      <c r="BD620" s="8"/>
      <c r="BE620" s="4"/>
      <c r="BF620" s="8"/>
      <c r="BG620" s="7"/>
      <c r="BH620" s="7"/>
      <c r="BI620" s="7"/>
      <c r="BJ620" s="4"/>
      <c r="BK620" s="8"/>
      <c r="BL620" s="2" t="s">
        <v>98</v>
      </c>
      <c r="BM620" s="7"/>
      <c r="BN620" s="7"/>
      <c r="BO620" s="4"/>
      <c r="BP620" s="8"/>
      <c r="BQ620" s="4"/>
      <c r="BR620" s="8"/>
      <c r="BS620" s="7"/>
      <c r="BT620" s="7"/>
      <c r="BU620" s="2" t="s">
        <v>107</v>
      </c>
      <c r="BV620" s="2" t="s">
        <v>1355</v>
      </c>
      <c r="BW620" s="2" t="s">
        <v>1777</v>
      </c>
      <c r="BX620" s="2" t="s">
        <v>3384</v>
      </c>
      <c r="BY620" s="2" t="s">
        <v>110</v>
      </c>
      <c r="BZ620" s="2" t="s">
        <v>98</v>
      </c>
    </row>
    <row r="621">
      <c r="A621" s="2" t="s">
        <v>3385</v>
      </c>
      <c r="B621" s="2" t="s">
        <v>1345</v>
      </c>
      <c r="C621" s="2" t="s">
        <v>88</v>
      </c>
      <c r="D621" s="2" t="s">
        <v>3377</v>
      </c>
      <c r="E621" s="2" t="s">
        <v>3377</v>
      </c>
      <c r="F621" s="2" t="s">
        <v>1790</v>
      </c>
      <c r="G621" s="2" t="s">
        <v>3386</v>
      </c>
      <c r="H621" s="2" t="s">
        <v>3387</v>
      </c>
      <c r="I621" s="2" t="s">
        <v>3381</v>
      </c>
      <c r="J621" s="2" t="s">
        <v>93</v>
      </c>
      <c r="K621" s="2" t="s">
        <v>473</v>
      </c>
      <c r="L621" s="3">
        <v>475</v>
      </c>
      <c r="M621" s="3">
        <v>498.75</v>
      </c>
      <c r="N621" s="3">
        <v>999</v>
      </c>
      <c r="O621" s="2" t="s">
        <v>95</v>
      </c>
      <c r="P621" s="2" t="s">
        <v>115</v>
      </c>
      <c r="Q621" s="2" t="s">
        <v>97</v>
      </c>
      <c r="R621" s="2" t="s">
        <v>98</v>
      </c>
      <c r="S621" s="2" t="s">
        <v>3388</v>
      </c>
      <c r="T621" s="2" t="s">
        <v>98</v>
      </c>
      <c r="U621" s="2" t="s">
        <v>98</v>
      </c>
      <c r="V621" s="2" t="s">
        <v>439</v>
      </c>
      <c r="W621" s="2" t="s">
        <v>103</v>
      </c>
      <c r="X621" s="2" t="s">
        <v>98</v>
      </c>
      <c r="Y621" s="2" t="s">
        <v>3389</v>
      </c>
      <c r="Z621" s="4">
        <v>131</v>
      </c>
      <c r="AA621" s="4">
        <f>=ROUNDDOWN(131,0)</f>
      </c>
      <c r="AB621" s="5">
        <v>1</v>
      </c>
      <c r="AC621" s="2" t="s">
        <v>98</v>
      </c>
      <c r="AD621" s="4"/>
      <c r="AE621" s="4"/>
      <c r="AF621" s="6">
        <v>65</v>
      </c>
      <c r="AG621" s="6"/>
      <c r="AH621" s="7">
        <v>1</v>
      </c>
      <c r="AI621" s="4"/>
      <c r="AJ621" s="4">
        <f>=ROUNDDOWN({0},0)</f>
      </c>
      <c r="AK621" s="5"/>
      <c r="AL621" s="2" t="s">
        <v>98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/>
      <c r="AW621" s="8"/>
      <c r="AX621" s="4"/>
      <c r="AY621" s="8"/>
      <c r="AZ621" s="7"/>
      <c r="BA621" s="7"/>
      <c r="BB621" s="7"/>
      <c r="BC621" s="4"/>
      <c r="BD621" s="8"/>
      <c r="BE621" s="4"/>
      <c r="BF621" s="8"/>
      <c r="BG621" s="7"/>
      <c r="BH621" s="7"/>
      <c r="BI621" s="7"/>
      <c r="BJ621" s="4">
        <v>3</v>
      </c>
      <c r="BK621" s="8">
        <v>1547.26</v>
      </c>
      <c r="BL621" s="2" t="s">
        <v>1379</v>
      </c>
      <c r="BM621" s="7"/>
      <c r="BN621" s="7"/>
      <c r="BO621" s="4"/>
      <c r="BP621" s="8"/>
      <c r="BQ621" s="4"/>
      <c r="BR621" s="8"/>
      <c r="BS621" s="7"/>
      <c r="BT621" s="7"/>
      <c r="BU621" s="2" t="s">
        <v>107</v>
      </c>
      <c r="BV621" s="2" t="s">
        <v>1355</v>
      </c>
      <c r="BW621" s="2" t="s">
        <v>1777</v>
      </c>
      <c r="BX621" s="2" t="s">
        <v>3390</v>
      </c>
      <c r="BY621" s="2" t="s">
        <v>110</v>
      </c>
      <c r="BZ621" s="2" t="s">
        <v>98</v>
      </c>
    </row>
    <row r="622">
      <c r="A622" s="2" t="s">
        <v>3391</v>
      </c>
      <c r="B622" s="2" t="s">
        <v>1345</v>
      </c>
      <c r="C622" s="2" t="s">
        <v>88</v>
      </c>
      <c r="D622" s="2" t="s">
        <v>3377</v>
      </c>
      <c r="E622" s="2" t="s">
        <v>3377</v>
      </c>
      <c r="F622" s="2" t="s">
        <v>3392</v>
      </c>
      <c r="G622" s="2" t="s">
        <v>3393</v>
      </c>
      <c r="H622" s="2" t="s">
        <v>3394</v>
      </c>
      <c r="I622" s="2" t="s">
        <v>3395</v>
      </c>
      <c r="J622" s="2" t="s">
        <v>93</v>
      </c>
      <c r="K622" s="2" t="s">
        <v>1439</v>
      </c>
      <c r="L622" s="3">
        <v>475</v>
      </c>
      <c r="M622" s="3">
        <v>498.75</v>
      </c>
      <c r="N622" s="3">
        <v>999</v>
      </c>
      <c r="O622" s="2" t="s">
        <v>95</v>
      </c>
      <c r="P622" s="2" t="s">
        <v>115</v>
      </c>
      <c r="Q622" s="2" t="s">
        <v>97</v>
      </c>
      <c r="R622" s="2" t="s">
        <v>98</v>
      </c>
      <c r="S622" s="2" t="s">
        <v>98</v>
      </c>
      <c r="T622" s="2" t="s">
        <v>98</v>
      </c>
      <c r="U622" s="2" t="s">
        <v>117</v>
      </c>
      <c r="V622" s="2" t="s">
        <v>439</v>
      </c>
      <c r="W622" s="2" t="s">
        <v>103</v>
      </c>
      <c r="X622" s="2" t="s">
        <v>98</v>
      </c>
      <c r="Y622" s="2" t="s">
        <v>3396</v>
      </c>
      <c r="Z622" s="4">
        <v>259</v>
      </c>
      <c r="AA622" s="4">
        <f>=ROUNDDOWN(259,0)</f>
      </c>
      <c r="AB622" s="5">
        <v>1</v>
      </c>
      <c r="AC622" s="2" t="s">
        <v>98</v>
      </c>
      <c r="AD622" s="4"/>
      <c r="AE622" s="4"/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98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/>
      <c r="AW622" s="8"/>
      <c r="AX622" s="4"/>
      <c r="AY622" s="8"/>
      <c r="AZ622" s="7"/>
      <c r="BA622" s="7"/>
      <c r="BB622" s="7"/>
      <c r="BC622" s="4"/>
      <c r="BD622" s="8"/>
      <c r="BE622" s="4"/>
      <c r="BF622" s="8"/>
      <c r="BG622" s="7"/>
      <c r="BH622" s="7"/>
      <c r="BI622" s="7"/>
      <c r="BJ622" s="4"/>
      <c r="BK622" s="8"/>
      <c r="BL622" s="2" t="s">
        <v>98</v>
      </c>
      <c r="BM622" s="7"/>
      <c r="BN622" s="7"/>
      <c r="BO622" s="4"/>
      <c r="BP622" s="8"/>
      <c r="BQ622" s="4"/>
      <c r="BR622" s="8"/>
      <c r="BS622" s="7"/>
      <c r="BT622" s="7"/>
      <c r="BU622" s="2" t="s">
        <v>107</v>
      </c>
      <c r="BV622" s="2" t="s">
        <v>1355</v>
      </c>
      <c r="BW622" s="2" t="s">
        <v>707</v>
      </c>
      <c r="BX622" s="2" t="s">
        <v>98</v>
      </c>
      <c r="BY622" s="2" t="s">
        <v>110</v>
      </c>
      <c r="BZ622" s="2" t="s">
        <v>98</v>
      </c>
    </row>
    <row r="623">
      <c r="A623" s="2" t="s">
        <v>3397</v>
      </c>
      <c r="B623" s="2" t="s">
        <v>1345</v>
      </c>
      <c r="C623" s="2" t="s">
        <v>88</v>
      </c>
      <c r="D623" s="2" t="s">
        <v>3398</v>
      </c>
      <c r="E623" s="2" t="s">
        <v>3398</v>
      </c>
      <c r="F623" s="2" t="s">
        <v>3399</v>
      </c>
      <c r="G623" s="2" t="s">
        <v>3400</v>
      </c>
      <c r="H623" s="2" t="s">
        <v>3401</v>
      </c>
      <c r="I623" s="2" t="s">
        <v>3402</v>
      </c>
      <c r="J623" s="2" t="s">
        <v>93</v>
      </c>
      <c r="K623" s="2" t="s">
        <v>967</v>
      </c>
      <c r="L623" s="3">
        <v>270</v>
      </c>
      <c r="M623" s="3">
        <v>283.5</v>
      </c>
      <c r="N623" s="3">
        <v>569</v>
      </c>
      <c r="O623" s="2" t="s">
        <v>95</v>
      </c>
      <c r="P623" s="2" t="s">
        <v>142</v>
      </c>
      <c r="Q623" s="2" t="s">
        <v>97</v>
      </c>
      <c r="R623" s="2" t="s">
        <v>98</v>
      </c>
      <c r="S623" s="2" t="s">
        <v>3403</v>
      </c>
      <c r="T623" s="2" t="s">
        <v>98</v>
      </c>
      <c r="U623" s="2" t="s">
        <v>98</v>
      </c>
      <c r="V623" s="2" t="s">
        <v>296</v>
      </c>
      <c r="W623" s="2" t="s">
        <v>103</v>
      </c>
      <c r="X623" s="2" t="s">
        <v>98</v>
      </c>
      <c r="Y623" s="2" t="s">
        <v>3404</v>
      </c>
      <c r="Z623" s="4">
        <v>104</v>
      </c>
      <c r="AA623" s="4">
        <f>=ROUNDDOWN(34.6666666666667,0)</f>
      </c>
      <c r="AB623" s="5">
        <v>3</v>
      </c>
      <c r="AC623" s="2" t="s">
        <v>98</v>
      </c>
      <c r="AD623" s="4"/>
      <c r="AE623" s="4"/>
      <c r="AF623" s="6">
        <v>67</v>
      </c>
      <c r="AG623" s="6">
        <v>50</v>
      </c>
      <c r="AH623" s="7">
        <v>1</v>
      </c>
      <c r="AI623" s="4"/>
      <c r="AJ623" s="4">
        <f>=ROUNDDOWN({0},0)</f>
      </c>
      <c r="AK623" s="5"/>
      <c r="AL623" s="2" t="s">
        <v>98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/>
      <c r="AW623" s="8"/>
      <c r="AX623" s="4"/>
      <c r="AY623" s="8"/>
      <c r="AZ623" s="7"/>
      <c r="BA623" s="7"/>
      <c r="BB623" s="7"/>
      <c r="BC623" s="4"/>
      <c r="BD623" s="8"/>
      <c r="BE623" s="4"/>
      <c r="BF623" s="8"/>
      <c r="BG623" s="7"/>
      <c r="BH623" s="7"/>
      <c r="BI623" s="7"/>
      <c r="BJ623" s="4">
        <v>1</v>
      </c>
      <c r="BK623" s="8">
        <v>290.02</v>
      </c>
      <c r="BL623" s="2" t="s">
        <v>651</v>
      </c>
      <c r="BM623" s="7"/>
      <c r="BN623" s="7"/>
      <c r="BO623" s="4"/>
      <c r="BP623" s="8"/>
      <c r="BQ623" s="4"/>
      <c r="BR623" s="8"/>
      <c r="BS623" s="7"/>
      <c r="BT623" s="7"/>
      <c r="BU623" s="2" t="s">
        <v>107</v>
      </c>
      <c r="BV623" s="2" t="s">
        <v>1355</v>
      </c>
      <c r="BW623" s="2" t="s">
        <v>2097</v>
      </c>
      <c r="BX623" s="2" t="s">
        <v>98</v>
      </c>
      <c r="BY623" s="2" t="s">
        <v>110</v>
      </c>
      <c r="BZ623" s="2" t="s">
        <v>98</v>
      </c>
    </row>
    <row r="624">
      <c r="A624" s="2" t="s">
        <v>3405</v>
      </c>
      <c r="B624" s="2" t="s">
        <v>1345</v>
      </c>
      <c r="C624" s="2" t="s">
        <v>88</v>
      </c>
      <c r="D624" s="2" t="s">
        <v>3406</v>
      </c>
      <c r="E624" s="2" t="s">
        <v>3406</v>
      </c>
      <c r="F624" s="2" t="s">
        <v>3407</v>
      </c>
      <c r="G624" s="2" t="s">
        <v>3408</v>
      </c>
      <c r="H624" s="2" t="s">
        <v>3409</v>
      </c>
      <c r="I624" s="2" t="s">
        <v>3410</v>
      </c>
      <c r="J624" s="2" t="s">
        <v>93</v>
      </c>
      <c r="K624" s="2" t="s">
        <v>2977</v>
      </c>
      <c r="L624" s="3">
        <v>255.3</v>
      </c>
      <c r="M624" s="3">
        <v>268.06</v>
      </c>
      <c r="N624" s="3">
        <v>529</v>
      </c>
      <c r="O624" s="2" t="s">
        <v>155</v>
      </c>
      <c r="P624" s="2" t="s">
        <v>115</v>
      </c>
      <c r="Q624" s="2" t="s">
        <v>97</v>
      </c>
      <c r="R624" s="2" t="s">
        <v>98</v>
      </c>
      <c r="S624" s="2" t="s">
        <v>98</v>
      </c>
      <c r="T624" s="2" t="s">
        <v>98</v>
      </c>
      <c r="U624" s="2" t="s">
        <v>117</v>
      </c>
      <c r="V624" s="2" t="s">
        <v>439</v>
      </c>
      <c r="W624" s="2" t="s">
        <v>102</v>
      </c>
      <c r="X624" s="2" t="s">
        <v>98</v>
      </c>
      <c r="Y624" s="2" t="s">
        <v>2347</v>
      </c>
      <c r="Z624" s="4">
        <v>199</v>
      </c>
      <c r="AA624" s="4">
        <f>=ROUNDDOWN(199,0)</f>
      </c>
      <c r="AB624" s="5">
        <v>1</v>
      </c>
      <c r="AC624" s="2" t="s">
        <v>98</v>
      </c>
      <c r="AD624" s="4"/>
      <c r="AE624" s="4"/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98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/>
      <c r="BD624" s="8"/>
      <c r="BE624" s="4"/>
      <c r="BF624" s="8"/>
      <c r="BG624" s="7"/>
      <c r="BH624" s="7"/>
      <c r="BI624" s="7"/>
      <c r="BJ624" s="4"/>
      <c r="BK624" s="8"/>
      <c r="BL624" s="2" t="s">
        <v>895</v>
      </c>
      <c r="BM624" s="7"/>
      <c r="BN624" s="7"/>
      <c r="BO624" s="4"/>
      <c r="BP624" s="8"/>
      <c r="BQ624" s="4"/>
      <c r="BR624" s="8"/>
      <c r="BS624" s="7"/>
      <c r="BT624" s="7"/>
      <c r="BU624" s="2" t="s">
        <v>1376</v>
      </c>
      <c r="BV624" s="2" t="s">
        <v>1355</v>
      </c>
      <c r="BW624" s="2" t="s">
        <v>98</v>
      </c>
      <c r="BX624" s="2" t="s">
        <v>98</v>
      </c>
      <c r="BY624" s="2" t="s">
        <v>110</v>
      </c>
      <c r="BZ624" s="2" t="s">
        <v>98</v>
      </c>
    </row>
    <row r="625">
      <c r="A625" s="2" t="s">
        <v>3411</v>
      </c>
      <c r="B625" s="2" t="s">
        <v>1345</v>
      </c>
      <c r="C625" s="2" t="s">
        <v>88</v>
      </c>
      <c r="D625" s="2" t="s">
        <v>3406</v>
      </c>
      <c r="E625" s="2" t="s">
        <v>3406</v>
      </c>
      <c r="F625" s="2" t="s">
        <v>2310</v>
      </c>
      <c r="G625" s="2" t="s">
        <v>2311</v>
      </c>
      <c r="H625" s="2" t="s">
        <v>2312</v>
      </c>
      <c r="I625" s="2" t="s">
        <v>3412</v>
      </c>
      <c r="J625" s="2" t="s">
        <v>93</v>
      </c>
      <c r="K625" s="2" t="s">
        <v>133</v>
      </c>
      <c r="L625" s="3">
        <v>320.51</v>
      </c>
      <c r="M625" s="3">
        <v>336.54</v>
      </c>
      <c r="N625" s="3">
        <v>669</v>
      </c>
      <c r="O625" s="2" t="s">
        <v>155</v>
      </c>
      <c r="P625" s="2" t="s">
        <v>115</v>
      </c>
      <c r="Q625" s="2" t="s">
        <v>97</v>
      </c>
      <c r="R625" s="2" t="s">
        <v>98</v>
      </c>
      <c r="S625" s="2" t="s">
        <v>3413</v>
      </c>
      <c r="T625" s="2" t="s">
        <v>98</v>
      </c>
      <c r="U625" s="2" t="s">
        <v>117</v>
      </c>
      <c r="V625" s="2" t="s">
        <v>439</v>
      </c>
      <c r="W625" s="2" t="s">
        <v>968</v>
      </c>
      <c r="X625" s="2" t="s">
        <v>98</v>
      </c>
      <c r="Y625" s="2" t="s">
        <v>366</v>
      </c>
      <c r="Z625" s="4">
        <v>371</v>
      </c>
      <c r="AA625" s="4">
        <f>=ROUNDDOWN(309.166666666667,0)</f>
      </c>
      <c r="AB625" s="5">
        <v>1.2</v>
      </c>
      <c r="AC625" s="2" t="s">
        <v>98</v>
      </c>
      <c r="AD625" s="4"/>
      <c r="AE625" s="4"/>
      <c r="AF625" s="6">
        <v>65</v>
      </c>
      <c r="AG625" s="6">
        <v>48</v>
      </c>
      <c r="AH625" s="7">
        <v>1</v>
      </c>
      <c r="AI625" s="4"/>
      <c r="AJ625" s="4">
        <f>=ROUNDDOWN({0},0)</f>
      </c>
      <c r="AK625" s="5"/>
      <c r="AL625" s="2" t="s">
        <v>98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/>
      <c r="BD625" s="8"/>
      <c r="BE625" s="4"/>
      <c r="BF625" s="8"/>
      <c r="BG625" s="7"/>
      <c r="BH625" s="7"/>
      <c r="BI625" s="7"/>
      <c r="BJ625" s="4">
        <v>2</v>
      </c>
      <c r="BK625" s="8">
        <v>555.29</v>
      </c>
      <c r="BL625" s="2" t="s">
        <v>3414</v>
      </c>
      <c r="BM625" s="7"/>
      <c r="BN625" s="7"/>
      <c r="BO625" s="4"/>
      <c r="BP625" s="8"/>
      <c r="BQ625" s="4"/>
      <c r="BR625" s="8"/>
      <c r="BS625" s="7"/>
      <c r="BT625" s="7"/>
      <c r="BU625" s="2" t="s">
        <v>107</v>
      </c>
      <c r="BV625" s="2" t="s">
        <v>1355</v>
      </c>
      <c r="BW625" s="2" t="s">
        <v>1356</v>
      </c>
      <c r="BX625" s="2" t="s">
        <v>1653</v>
      </c>
      <c r="BY625" s="2" t="s">
        <v>110</v>
      </c>
      <c r="BZ625" s="2" t="s">
        <v>98</v>
      </c>
    </row>
    <row r="626">
      <c r="A626" s="2" t="s">
        <v>3415</v>
      </c>
      <c r="B626" s="2" t="s">
        <v>1345</v>
      </c>
      <c r="C626" s="2" t="s">
        <v>88</v>
      </c>
      <c r="D626" s="2" t="s">
        <v>3406</v>
      </c>
      <c r="E626" s="2" t="s">
        <v>3406</v>
      </c>
      <c r="F626" s="2" t="s">
        <v>3416</v>
      </c>
      <c r="G626" s="2" t="s">
        <v>3417</v>
      </c>
      <c r="H626" s="2" t="s">
        <v>2957</v>
      </c>
      <c r="I626" s="2" t="s">
        <v>3418</v>
      </c>
      <c r="J626" s="2" t="s">
        <v>93</v>
      </c>
      <c r="K626" s="2" t="s">
        <v>779</v>
      </c>
      <c r="L626" s="3">
        <v>208</v>
      </c>
      <c r="M626" s="3">
        <v>218.4</v>
      </c>
      <c r="N626" s="3">
        <v>439</v>
      </c>
      <c r="O626" s="2" t="s">
        <v>155</v>
      </c>
      <c r="P626" s="2" t="s">
        <v>115</v>
      </c>
      <c r="Q626" s="2" t="s">
        <v>97</v>
      </c>
      <c r="R626" s="2" t="s">
        <v>98</v>
      </c>
      <c r="S626" s="2" t="s">
        <v>98</v>
      </c>
      <c r="T626" s="2" t="s">
        <v>98</v>
      </c>
      <c r="U626" s="2" t="s">
        <v>117</v>
      </c>
      <c r="V626" s="2" t="s">
        <v>296</v>
      </c>
      <c r="W626" s="2" t="s">
        <v>119</v>
      </c>
      <c r="X626" s="2" t="s">
        <v>102</v>
      </c>
      <c r="Y626" s="2" t="s">
        <v>1849</v>
      </c>
      <c r="Z626" s="4">
        <v>204</v>
      </c>
      <c r="AA626" s="4">
        <f>=ROUNDDOWN(510,0)</f>
      </c>
      <c r="AB626" s="5">
        <v>0.4</v>
      </c>
      <c r="AC626" s="2" t="s">
        <v>98</v>
      </c>
      <c r="AD626" s="4"/>
      <c r="AE626" s="4"/>
      <c r="AF626" s="6">
        <v>74</v>
      </c>
      <c r="AG626" s="6"/>
      <c r="AH626" s="7">
        <v>1</v>
      </c>
      <c r="AI626" s="4"/>
      <c r="AJ626" s="4">
        <f>=ROUNDDOWN({0},0)</f>
      </c>
      <c r="AK626" s="5"/>
      <c r="AL626" s="2" t="s">
        <v>98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/>
      <c r="AW626" s="8"/>
      <c r="AX626" s="4"/>
      <c r="AY626" s="8"/>
      <c r="AZ626" s="7"/>
      <c r="BA626" s="7"/>
      <c r="BB626" s="7"/>
      <c r="BC626" s="4"/>
      <c r="BD626" s="8"/>
      <c r="BE626" s="4"/>
      <c r="BF626" s="8"/>
      <c r="BG626" s="7"/>
      <c r="BH626" s="7"/>
      <c r="BI626" s="7"/>
      <c r="BJ626" s="4">
        <v>1</v>
      </c>
      <c r="BK626" s="8">
        <v>224.95</v>
      </c>
      <c r="BL626" s="2" t="s">
        <v>895</v>
      </c>
      <c r="BM626" s="7"/>
      <c r="BN626" s="7"/>
      <c r="BO626" s="4"/>
      <c r="BP626" s="8"/>
      <c r="BQ626" s="4"/>
      <c r="BR626" s="8"/>
      <c r="BS626" s="7"/>
      <c r="BT626" s="7"/>
      <c r="BU626" s="2" t="s">
        <v>1376</v>
      </c>
      <c r="BV626" s="2" t="s">
        <v>95</v>
      </c>
      <c r="BW626" s="2" t="s">
        <v>98</v>
      </c>
      <c r="BX626" s="2" t="s">
        <v>98</v>
      </c>
      <c r="BY626" s="2" t="s">
        <v>110</v>
      </c>
      <c r="BZ626" s="2" t="s">
        <v>98</v>
      </c>
    </row>
    <row r="627">
      <c r="A627" s="2" t="s">
        <v>3419</v>
      </c>
      <c r="B627" s="2" t="s">
        <v>1345</v>
      </c>
      <c r="C627" s="2" t="s">
        <v>88</v>
      </c>
      <c r="D627" s="2" t="s">
        <v>3406</v>
      </c>
      <c r="E627" s="2" t="s">
        <v>3406</v>
      </c>
      <c r="F627" s="2" t="s">
        <v>2752</v>
      </c>
      <c r="G627" s="2" t="s">
        <v>2753</v>
      </c>
      <c r="H627" s="2" t="s">
        <v>2754</v>
      </c>
      <c r="I627" s="2" t="s">
        <v>3412</v>
      </c>
      <c r="J627" s="2" t="s">
        <v>93</v>
      </c>
      <c r="K627" s="2" t="s">
        <v>2763</v>
      </c>
      <c r="L627" s="3">
        <v>166.32</v>
      </c>
      <c r="M627" s="3">
        <v>174.64</v>
      </c>
      <c r="N627" s="3">
        <v>349</v>
      </c>
      <c r="O627" s="2" t="s">
        <v>95</v>
      </c>
      <c r="P627" s="2" t="s">
        <v>134</v>
      </c>
      <c r="Q627" s="2" t="s">
        <v>97</v>
      </c>
      <c r="R627" s="2" t="s">
        <v>98</v>
      </c>
      <c r="S627" s="2" t="s">
        <v>3420</v>
      </c>
      <c r="T627" s="2" t="s">
        <v>98</v>
      </c>
      <c r="U627" s="2" t="s">
        <v>98</v>
      </c>
      <c r="V627" s="2" t="s">
        <v>439</v>
      </c>
      <c r="W627" s="2" t="s">
        <v>963</v>
      </c>
      <c r="X627" s="2" t="s">
        <v>98</v>
      </c>
      <c r="Y627" s="2" t="s">
        <v>366</v>
      </c>
      <c r="Z627" s="4">
        <v>314</v>
      </c>
      <c r="AA627" s="4">
        <f>=ROUNDDOWN(47.5757575757576,0)</f>
      </c>
      <c r="AB627" s="5">
        <v>6.6</v>
      </c>
      <c r="AC627" s="2" t="s">
        <v>214</v>
      </c>
      <c r="AD627" s="4">
        <v>100</v>
      </c>
      <c r="AE627" s="4">
        <v>100</v>
      </c>
      <c r="AF627" s="6">
        <v>74</v>
      </c>
      <c r="AG627" s="6">
        <v>60</v>
      </c>
      <c r="AH627" s="7">
        <v>1</v>
      </c>
      <c r="AI627" s="4"/>
      <c r="AJ627" s="4">
        <f>=ROUNDDOWN({0},0)</f>
      </c>
      <c r="AK627" s="5"/>
      <c r="AL627" s="2" t="s">
        <v>98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/>
      <c r="AW627" s="8"/>
      <c r="AX627" s="4"/>
      <c r="AY627" s="8"/>
      <c r="AZ627" s="7"/>
      <c r="BA627" s="7"/>
      <c r="BB627" s="7"/>
      <c r="BC627" s="4"/>
      <c r="BD627" s="8"/>
      <c r="BE627" s="4"/>
      <c r="BF627" s="8"/>
      <c r="BG627" s="7"/>
      <c r="BH627" s="7"/>
      <c r="BI627" s="7"/>
      <c r="BJ627" s="4">
        <v>4</v>
      </c>
      <c r="BK627" s="8">
        <v>689.31</v>
      </c>
      <c r="BL627" s="2" t="s">
        <v>3421</v>
      </c>
      <c r="BM627" s="7"/>
      <c r="BN627" s="7"/>
      <c r="BO627" s="4"/>
      <c r="BP627" s="8"/>
      <c r="BQ627" s="4"/>
      <c r="BR627" s="8"/>
      <c r="BS627" s="7"/>
      <c r="BT627" s="7"/>
      <c r="BU627" s="2" t="s">
        <v>107</v>
      </c>
      <c r="BV627" s="2" t="s">
        <v>1355</v>
      </c>
      <c r="BW627" s="2" t="s">
        <v>2766</v>
      </c>
      <c r="BX627" s="2" t="s">
        <v>3422</v>
      </c>
      <c r="BY627" s="2" t="s">
        <v>110</v>
      </c>
      <c r="BZ627" s="2" t="s">
        <v>98</v>
      </c>
    </row>
    <row r="628">
      <c r="A628" s="2" t="s">
        <v>3423</v>
      </c>
      <c r="B628" s="2" t="s">
        <v>1345</v>
      </c>
      <c r="C628" s="2" t="s">
        <v>88</v>
      </c>
      <c r="D628" s="2" t="s">
        <v>3406</v>
      </c>
      <c r="E628" s="2" t="s">
        <v>3406</v>
      </c>
      <c r="F628" s="2" t="s">
        <v>3424</v>
      </c>
      <c r="G628" s="2" t="s">
        <v>2598</v>
      </c>
      <c r="H628" s="2" t="s">
        <v>3425</v>
      </c>
      <c r="I628" s="2" t="s">
        <v>3426</v>
      </c>
      <c r="J628" s="2" t="s">
        <v>93</v>
      </c>
      <c r="K628" s="2" t="s">
        <v>3427</v>
      </c>
      <c r="L628" s="3">
        <v>175</v>
      </c>
      <c r="M628" s="3">
        <v>183.75</v>
      </c>
      <c r="N628" s="3">
        <v>369</v>
      </c>
      <c r="O628" s="2" t="s">
        <v>155</v>
      </c>
      <c r="P628" s="2" t="s">
        <v>115</v>
      </c>
      <c r="Q628" s="2" t="s">
        <v>97</v>
      </c>
      <c r="R628" s="2" t="s">
        <v>98</v>
      </c>
      <c r="S628" s="2" t="s">
        <v>3428</v>
      </c>
      <c r="T628" s="2" t="s">
        <v>98</v>
      </c>
      <c r="U628" s="2" t="s">
        <v>98</v>
      </c>
      <c r="V628" s="2" t="s">
        <v>439</v>
      </c>
      <c r="W628" s="2" t="s">
        <v>314</v>
      </c>
      <c r="X628" s="2" t="s">
        <v>98</v>
      </c>
      <c r="Y628" s="2" t="s">
        <v>366</v>
      </c>
      <c r="Z628" s="4">
        <v>149</v>
      </c>
      <c r="AA628" s="4">
        <f>=ROUNDDOWN(49.6666666666667,0)</f>
      </c>
      <c r="AB628" s="5">
        <v>3</v>
      </c>
      <c r="AC628" s="2" t="s">
        <v>98</v>
      </c>
      <c r="AD628" s="4"/>
      <c r="AE628" s="4"/>
      <c r="AF628" s="6">
        <v>74</v>
      </c>
      <c r="AG628" s="6">
        <v>60</v>
      </c>
      <c r="AH628" s="7">
        <v>1</v>
      </c>
      <c r="AI628" s="4"/>
      <c r="AJ628" s="4">
        <f>=ROUNDDOWN({0},0)</f>
      </c>
      <c r="AK628" s="5"/>
      <c r="AL628" s="2" t="s">
        <v>98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/>
      <c r="AW628" s="8"/>
      <c r="AX628" s="4"/>
      <c r="AY628" s="8"/>
      <c r="AZ628" s="7"/>
      <c r="BA628" s="7"/>
      <c r="BB628" s="7"/>
      <c r="BC628" s="4" t="s">
        <v>98</v>
      </c>
      <c r="BD628" s="8" t="s">
        <v>98</v>
      </c>
      <c r="BE628" s="4" t="s">
        <v>98</v>
      </c>
      <c r="BF628" s="8" t="s">
        <v>98</v>
      </c>
      <c r="BG628" s="7" t="s">
        <v>98</v>
      </c>
      <c r="BH628" s="7" t="s">
        <v>98</v>
      </c>
      <c r="BI628" s="7"/>
      <c r="BJ628" s="4">
        <v>2</v>
      </c>
      <c r="BK628" s="8">
        <v>329.48</v>
      </c>
      <c r="BL628" s="2" t="s">
        <v>1379</v>
      </c>
      <c r="BM628" s="7"/>
      <c r="BN628" s="7"/>
      <c r="BO628" s="4"/>
      <c r="BP628" s="8"/>
      <c r="BQ628" s="4"/>
      <c r="BR628" s="8"/>
      <c r="BS628" s="7"/>
      <c r="BT628" s="7"/>
      <c r="BU628" s="2" t="s">
        <v>107</v>
      </c>
      <c r="BV628" s="2" t="s">
        <v>1355</v>
      </c>
      <c r="BW628" s="2" t="s">
        <v>250</v>
      </c>
      <c r="BX628" s="2" t="s">
        <v>1953</v>
      </c>
      <c r="BY628" s="2" t="s">
        <v>110</v>
      </c>
      <c r="BZ628" s="2" t="s">
        <v>98</v>
      </c>
    </row>
    <row r="629">
      <c r="A629" s="2" t="s">
        <v>3429</v>
      </c>
      <c r="B629" s="2" t="s">
        <v>1345</v>
      </c>
      <c r="C629" s="2" t="s">
        <v>88</v>
      </c>
      <c r="D629" s="2" t="s">
        <v>3406</v>
      </c>
      <c r="E629" s="2" t="s">
        <v>3406</v>
      </c>
      <c r="F629" s="2" t="s">
        <v>3424</v>
      </c>
      <c r="G629" s="2" t="s">
        <v>2598</v>
      </c>
      <c r="H629" s="2" t="s">
        <v>3425</v>
      </c>
      <c r="I629" s="2" t="s">
        <v>3426</v>
      </c>
      <c r="J629" s="2" t="s">
        <v>93</v>
      </c>
      <c r="K629" s="2" t="s">
        <v>3430</v>
      </c>
      <c r="L629" s="3">
        <v>175</v>
      </c>
      <c r="M629" s="3">
        <v>183.75</v>
      </c>
      <c r="N629" s="3">
        <v>369</v>
      </c>
      <c r="O629" s="2" t="s">
        <v>155</v>
      </c>
      <c r="P629" s="2" t="s">
        <v>115</v>
      </c>
      <c r="Q629" s="2" t="s">
        <v>97</v>
      </c>
      <c r="R629" s="2" t="s">
        <v>98</v>
      </c>
      <c r="S629" s="2" t="s">
        <v>3431</v>
      </c>
      <c r="T629" s="2" t="s">
        <v>98</v>
      </c>
      <c r="U629" s="2" t="s">
        <v>117</v>
      </c>
      <c r="V629" s="2" t="s">
        <v>439</v>
      </c>
      <c r="W629" s="2" t="s">
        <v>103</v>
      </c>
      <c r="X629" s="2" t="s">
        <v>98</v>
      </c>
      <c r="Y629" s="2" t="s">
        <v>789</v>
      </c>
      <c r="Z629" s="4">
        <v>179</v>
      </c>
      <c r="AA629" s="4">
        <f>=ROUNDDOWN(105.294117647059,0)</f>
      </c>
      <c r="AB629" s="5">
        <v>1.7</v>
      </c>
      <c r="AC629" s="2" t="s">
        <v>98</v>
      </c>
      <c r="AD629" s="4"/>
      <c r="AE629" s="4"/>
      <c r="AF629" s="6">
        <v>74</v>
      </c>
      <c r="AG629" s="6">
        <v>60</v>
      </c>
      <c r="AH629" s="7">
        <v>1</v>
      </c>
      <c r="AI629" s="4"/>
      <c r="AJ629" s="4">
        <f>=ROUNDDOWN({0},0)</f>
      </c>
      <c r="AK629" s="5"/>
      <c r="AL629" s="2" t="s">
        <v>98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/>
      <c r="AW629" s="8"/>
      <c r="AX629" s="4"/>
      <c r="AY629" s="8"/>
      <c r="AZ629" s="7"/>
      <c r="BA629" s="7"/>
      <c r="BB629" s="7"/>
      <c r="BC629" s="4" t="s">
        <v>98</v>
      </c>
      <c r="BD629" s="8" t="s">
        <v>98</v>
      </c>
      <c r="BE629" s="4" t="s">
        <v>98</v>
      </c>
      <c r="BF629" s="8" t="s">
        <v>98</v>
      </c>
      <c r="BG629" s="7" t="s">
        <v>98</v>
      </c>
      <c r="BH629" s="7" t="s">
        <v>98</v>
      </c>
      <c r="BI629" s="7"/>
      <c r="BJ629" s="4">
        <v>2</v>
      </c>
      <c r="BK629" s="8">
        <v>329.48</v>
      </c>
      <c r="BL629" s="2" t="s">
        <v>895</v>
      </c>
      <c r="BM629" s="7"/>
      <c r="BN629" s="7"/>
      <c r="BO629" s="4"/>
      <c r="BP629" s="8"/>
      <c r="BQ629" s="4"/>
      <c r="BR629" s="8"/>
      <c r="BS629" s="7"/>
      <c r="BT629" s="7"/>
      <c r="BU629" s="2" t="s">
        <v>107</v>
      </c>
      <c r="BV629" s="2" t="s">
        <v>1355</v>
      </c>
      <c r="BW629" s="2" t="s">
        <v>206</v>
      </c>
      <c r="BX629" s="2" t="s">
        <v>3432</v>
      </c>
      <c r="BY629" s="2" t="s">
        <v>110</v>
      </c>
      <c r="BZ629" s="2" t="s">
        <v>98</v>
      </c>
    </row>
    <row r="630">
      <c r="A630" s="2" t="s">
        <v>3433</v>
      </c>
      <c r="B630" s="2" t="s">
        <v>1345</v>
      </c>
      <c r="C630" s="2" t="s">
        <v>88</v>
      </c>
      <c r="D630" s="2" t="s">
        <v>3434</v>
      </c>
      <c r="E630" s="2" t="s">
        <v>3435</v>
      </c>
      <c r="F630" s="2" t="s">
        <v>2753</v>
      </c>
      <c r="G630" s="2" t="s">
        <v>3436</v>
      </c>
      <c r="H630" s="2" t="s">
        <v>3437</v>
      </c>
      <c r="I630" s="2" t="s">
        <v>3438</v>
      </c>
      <c r="J630" s="2" t="s">
        <v>93</v>
      </c>
      <c r="K630" s="2" t="s">
        <v>3439</v>
      </c>
      <c r="L630" s="3">
        <v>231.88</v>
      </c>
      <c r="M630" s="3">
        <v>243.47</v>
      </c>
      <c r="N630" s="3">
        <v>479</v>
      </c>
      <c r="O630" s="2" t="s">
        <v>155</v>
      </c>
      <c r="P630" s="2" t="s">
        <v>115</v>
      </c>
      <c r="Q630" s="2" t="s">
        <v>97</v>
      </c>
      <c r="R630" s="2" t="s">
        <v>98</v>
      </c>
      <c r="S630" s="2" t="s">
        <v>3440</v>
      </c>
      <c r="T630" s="2" t="s">
        <v>98</v>
      </c>
      <c r="U630" s="2" t="s">
        <v>98</v>
      </c>
      <c r="V630" s="2" t="s">
        <v>439</v>
      </c>
      <c r="W630" s="2" t="s">
        <v>103</v>
      </c>
      <c r="X630" s="2" t="s">
        <v>98</v>
      </c>
      <c r="Y630" s="2" t="s">
        <v>1435</v>
      </c>
      <c r="Z630" s="4">
        <v>105</v>
      </c>
      <c r="AA630" s="4">
        <f>=ROUNDDOWN(210,0)</f>
      </c>
      <c r="AB630" s="5">
        <v>0.5</v>
      </c>
      <c r="AC630" s="2" t="s">
        <v>98</v>
      </c>
      <c r="AD630" s="4"/>
      <c r="AE630" s="4"/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98</v>
      </c>
      <c r="AM630" s="4"/>
      <c r="AN630" s="4"/>
      <c r="AO630" s="7">
        <v>0</v>
      </c>
      <c r="AP630" s="4"/>
      <c r="AQ630" s="8"/>
      <c r="AR630" s="4">
        <v>1</v>
      </c>
      <c r="AS630" s="8">
        <v>225.8</v>
      </c>
      <c r="AT630" s="7">
        <v>-1</v>
      </c>
      <c r="AU630" s="7">
        <v>-1</v>
      </c>
      <c r="AV630" s="4"/>
      <c r="AW630" s="8"/>
      <c r="AX630" s="4">
        <v>1</v>
      </c>
      <c r="AY630" s="8">
        <v>225.8</v>
      </c>
      <c r="AZ630" s="7">
        <v>-1</v>
      </c>
      <c r="BA630" s="7">
        <v>-1</v>
      </c>
      <c r="BB630" s="7"/>
      <c r="BC630" s="4"/>
      <c r="BD630" s="8"/>
      <c r="BE630" s="4">
        <v>1</v>
      </c>
      <c r="BF630" s="8">
        <v>225.8</v>
      </c>
      <c r="BG630" s="7">
        <v>-1</v>
      </c>
      <c r="BH630" s="7">
        <v>-1</v>
      </c>
      <c r="BI630" s="7"/>
      <c r="BJ630" s="4"/>
      <c r="BK630" s="8"/>
      <c r="BL630" s="2" t="s">
        <v>1445</v>
      </c>
      <c r="BM630" s="7"/>
      <c r="BN630" s="7"/>
      <c r="BO630" s="4"/>
      <c r="BP630" s="8"/>
      <c r="BQ630" s="4">
        <v>1</v>
      </c>
      <c r="BR630" s="8">
        <v>225.8</v>
      </c>
      <c r="BS630" s="7">
        <v>-1</v>
      </c>
      <c r="BT630" s="7">
        <v>-1</v>
      </c>
      <c r="BU630" s="2" t="s">
        <v>107</v>
      </c>
      <c r="BV630" s="2" t="s">
        <v>1355</v>
      </c>
      <c r="BW630" s="2" t="s">
        <v>1436</v>
      </c>
      <c r="BX630" s="2" t="s">
        <v>3441</v>
      </c>
      <c r="BY630" s="2" t="s">
        <v>110</v>
      </c>
      <c r="BZ630" s="2" t="s">
        <v>98</v>
      </c>
    </row>
    <row r="631">
      <c r="A631" s="2" t="s">
        <v>3442</v>
      </c>
      <c r="B631" s="2" t="s">
        <v>1345</v>
      </c>
      <c r="C631" s="2" t="s">
        <v>88</v>
      </c>
      <c r="D631" s="2" t="s">
        <v>3434</v>
      </c>
      <c r="E631" s="2" t="s">
        <v>3435</v>
      </c>
      <c r="F631" s="2" t="s">
        <v>3443</v>
      </c>
      <c r="G631" s="2" t="s">
        <v>3444</v>
      </c>
      <c r="H631" s="2" t="s">
        <v>3445</v>
      </c>
      <c r="I631" s="2" t="s">
        <v>3446</v>
      </c>
      <c r="J631" s="2" t="s">
        <v>93</v>
      </c>
      <c r="K631" s="2" t="s">
        <v>1419</v>
      </c>
      <c r="L631" s="3">
        <v>260</v>
      </c>
      <c r="M631" s="3">
        <v>273</v>
      </c>
      <c r="N631" s="3">
        <v>549</v>
      </c>
      <c r="O631" s="2" t="s">
        <v>155</v>
      </c>
      <c r="P631" s="2" t="s">
        <v>115</v>
      </c>
      <c r="Q631" s="2" t="s">
        <v>97</v>
      </c>
      <c r="R631" s="2" t="s">
        <v>98</v>
      </c>
      <c r="S631" s="2" t="s">
        <v>98</v>
      </c>
      <c r="T631" s="2" t="s">
        <v>98</v>
      </c>
      <c r="U631" s="2" t="s">
        <v>117</v>
      </c>
      <c r="V631" s="2" t="s">
        <v>439</v>
      </c>
      <c r="W631" s="2" t="s">
        <v>103</v>
      </c>
      <c r="X631" s="2" t="s">
        <v>98</v>
      </c>
      <c r="Y631" s="2" t="s">
        <v>3447</v>
      </c>
      <c r="Z631" s="4">
        <v>30</v>
      </c>
      <c r="AA631" s="4">
        <f>=ROUNDDOWN(18.75,0)</f>
      </c>
      <c r="AB631" s="5">
        <v>1.6</v>
      </c>
      <c r="AC631" s="2" t="s">
        <v>98</v>
      </c>
      <c r="AD631" s="4"/>
      <c r="AE631" s="4"/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98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/>
      <c r="AW631" s="8"/>
      <c r="AX631" s="4"/>
      <c r="AY631" s="8"/>
      <c r="AZ631" s="7"/>
      <c r="BA631" s="7"/>
      <c r="BB631" s="7"/>
      <c r="BC631" s="4" t="s">
        <v>98</v>
      </c>
      <c r="BD631" s="8" t="s">
        <v>98</v>
      </c>
      <c r="BE631" s="4">
        <v>1</v>
      </c>
      <c r="BF631" s="8">
        <v>242.8</v>
      </c>
      <c r="BG631" s="7" t="s">
        <v>98</v>
      </c>
      <c r="BH631" s="7" t="s">
        <v>98</v>
      </c>
      <c r="BI631" s="7"/>
      <c r="BJ631" s="4">
        <v>1</v>
      </c>
      <c r="BK631" s="8">
        <v>286.65</v>
      </c>
      <c r="BL631" s="2" t="s">
        <v>1583</v>
      </c>
      <c r="BM631" s="7"/>
      <c r="BN631" s="7"/>
      <c r="BO631" s="4"/>
      <c r="BP631" s="8"/>
      <c r="BQ631" s="4"/>
      <c r="BR631" s="8"/>
      <c r="BS631" s="7"/>
      <c r="BT631" s="7"/>
      <c r="BU631" s="2" t="s">
        <v>1376</v>
      </c>
      <c r="BV631" s="2" t="s">
        <v>95</v>
      </c>
      <c r="BW631" s="2" t="s">
        <v>98</v>
      </c>
      <c r="BX631" s="2" t="s">
        <v>98</v>
      </c>
      <c r="BY631" s="2" t="s">
        <v>110</v>
      </c>
      <c r="BZ631" s="2" t="s">
        <v>98</v>
      </c>
    </row>
    <row r="632">
      <c r="A632" s="2" t="s">
        <v>3448</v>
      </c>
      <c r="B632" s="2" t="s">
        <v>1345</v>
      </c>
      <c r="C632" s="2" t="s">
        <v>88</v>
      </c>
      <c r="D632" s="2" t="s">
        <v>3434</v>
      </c>
      <c r="E632" s="2" t="s">
        <v>3435</v>
      </c>
      <c r="F632" s="2" t="s">
        <v>3443</v>
      </c>
      <c r="G632" s="2" t="s">
        <v>3444</v>
      </c>
      <c r="H632" s="2" t="s">
        <v>3445</v>
      </c>
      <c r="I632" s="2" t="s">
        <v>3446</v>
      </c>
      <c r="J632" s="2" t="s">
        <v>93</v>
      </c>
      <c r="K632" s="2" t="s">
        <v>1915</v>
      </c>
      <c r="L632" s="3">
        <v>260</v>
      </c>
      <c r="M632" s="3">
        <v>273</v>
      </c>
      <c r="N632" s="3">
        <v>549</v>
      </c>
      <c r="O632" s="2" t="s">
        <v>155</v>
      </c>
      <c r="P632" s="2" t="s">
        <v>115</v>
      </c>
      <c r="Q632" s="2" t="s">
        <v>97</v>
      </c>
      <c r="R632" s="2" t="s">
        <v>98</v>
      </c>
      <c r="S632" s="2" t="s">
        <v>3449</v>
      </c>
      <c r="T632" s="2" t="s">
        <v>98</v>
      </c>
      <c r="U632" s="2" t="s">
        <v>98</v>
      </c>
      <c r="V632" s="2" t="s">
        <v>439</v>
      </c>
      <c r="W632" s="2" t="s">
        <v>103</v>
      </c>
      <c r="X632" s="2" t="s">
        <v>98</v>
      </c>
      <c r="Y632" s="2" t="s">
        <v>3450</v>
      </c>
      <c r="Z632" s="4">
        <v>3</v>
      </c>
      <c r="AA632" s="4">
        <f>=ROUNDDOWN(0.37037037037037,0)</f>
      </c>
      <c r="AB632" s="5">
        <v>8.1</v>
      </c>
      <c r="AC632" s="2" t="s">
        <v>98</v>
      </c>
      <c r="AD632" s="4"/>
      <c r="AE632" s="4"/>
      <c r="AF632" s="6">
        <v>67</v>
      </c>
      <c r="AG632" s="6"/>
      <c r="AH632" s="7">
        <v>1</v>
      </c>
      <c r="AI632" s="4"/>
      <c r="AJ632" s="4">
        <f>=ROUNDDOWN({0},0)</f>
      </c>
      <c r="AK632" s="5"/>
      <c r="AL632" s="2" t="s">
        <v>98</v>
      </c>
      <c r="AM632" s="4"/>
      <c r="AN632" s="4"/>
      <c r="AO632" s="7">
        <v>0</v>
      </c>
      <c r="AP632" s="4"/>
      <c r="AQ632" s="8"/>
      <c r="AR632" s="4">
        <v>1</v>
      </c>
      <c r="AS632" s="8">
        <v>242.8</v>
      </c>
      <c r="AT632" s="7">
        <v>-1</v>
      </c>
      <c r="AU632" s="7">
        <v>-1</v>
      </c>
      <c r="AV632" s="4"/>
      <c r="AW632" s="8"/>
      <c r="AX632" s="4">
        <v>1</v>
      </c>
      <c r="AY632" s="8">
        <v>242.8</v>
      </c>
      <c r="AZ632" s="7">
        <v>-1</v>
      </c>
      <c r="BA632" s="7">
        <v>-1</v>
      </c>
      <c r="BB632" s="7"/>
      <c r="BC632" s="4" t="s">
        <v>98</v>
      </c>
      <c r="BD632" s="8" t="s">
        <v>98</v>
      </c>
      <c r="BE632" s="4" t="s">
        <v>98</v>
      </c>
      <c r="BF632" s="8" t="s">
        <v>98</v>
      </c>
      <c r="BG632" s="7" t="s">
        <v>98</v>
      </c>
      <c r="BH632" s="7" t="s">
        <v>98</v>
      </c>
      <c r="BI632" s="7"/>
      <c r="BJ632" s="4">
        <v>8</v>
      </c>
      <c r="BK632" s="8">
        <v>1474.04</v>
      </c>
      <c r="BL632" s="2" t="s">
        <v>1426</v>
      </c>
      <c r="BM632" s="7"/>
      <c r="BN632" s="7"/>
      <c r="BO632" s="4"/>
      <c r="BP632" s="8"/>
      <c r="BQ632" s="4">
        <v>1</v>
      </c>
      <c r="BR632" s="8">
        <v>242.8</v>
      </c>
      <c r="BS632" s="7">
        <v>-1</v>
      </c>
      <c r="BT632" s="7">
        <v>-1</v>
      </c>
      <c r="BU632" s="2" t="s">
        <v>107</v>
      </c>
      <c r="BV632" s="2" t="s">
        <v>1355</v>
      </c>
      <c r="BW632" s="2" t="s">
        <v>1436</v>
      </c>
      <c r="BX632" s="2" t="s">
        <v>916</v>
      </c>
      <c r="BY632" s="2" t="s">
        <v>110</v>
      </c>
      <c r="BZ632" s="2" t="s">
        <v>98</v>
      </c>
    </row>
    <row r="633">
      <c r="A633" s="2" t="s">
        <v>3451</v>
      </c>
      <c r="B633" s="2" t="s">
        <v>1345</v>
      </c>
      <c r="C633" s="2" t="s">
        <v>88</v>
      </c>
      <c r="D633" s="2" t="s">
        <v>3434</v>
      </c>
      <c r="E633" s="2" t="s">
        <v>3435</v>
      </c>
      <c r="F633" s="2" t="s">
        <v>3452</v>
      </c>
      <c r="G633" s="2" t="s">
        <v>3453</v>
      </c>
      <c r="H633" s="2" t="s">
        <v>3454</v>
      </c>
      <c r="I633" s="2" t="s">
        <v>3446</v>
      </c>
      <c r="J633" s="2" t="s">
        <v>93</v>
      </c>
      <c r="K633" s="2" t="s">
        <v>3455</v>
      </c>
      <c r="L633" s="3">
        <v>360</v>
      </c>
      <c r="M633" s="3">
        <v>378</v>
      </c>
      <c r="N633" s="3">
        <v>749</v>
      </c>
      <c r="O633" s="2" t="s">
        <v>95</v>
      </c>
      <c r="P633" s="2" t="s">
        <v>163</v>
      </c>
      <c r="Q633" s="2" t="s">
        <v>97</v>
      </c>
      <c r="R633" s="2" t="s">
        <v>98</v>
      </c>
      <c r="S633" s="2" t="s">
        <v>3456</v>
      </c>
      <c r="T633" s="2" t="s">
        <v>98</v>
      </c>
      <c r="U633" s="2" t="s">
        <v>117</v>
      </c>
      <c r="V633" s="2" t="s">
        <v>439</v>
      </c>
      <c r="W633" s="2" t="s">
        <v>204</v>
      </c>
      <c r="X633" s="2" t="s">
        <v>103</v>
      </c>
      <c r="Y633" s="2" t="s">
        <v>3457</v>
      </c>
      <c r="Z633" s="4">
        <v>241</v>
      </c>
      <c r="AA633" s="4">
        <f>=ROUNDDOWN(15.0625,0)</f>
      </c>
      <c r="AB633" s="5">
        <v>16</v>
      </c>
      <c r="AC633" s="2" t="s">
        <v>222</v>
      </c>
      <c r="AD633" s="4">
        <v>165</v>
      </c>
      <c r="AE633" s="4">
        <v>290</v>
      </c>
      <c r="AF633" s="6">
        <v>65</v>
      </c>
      <c r="AG633" s="6">
        <v>48</v>
      </c>
      <c r="AH633" s="7">
        <v>1</v>
      </c>
      <c r="AI633" s="4"/>
      <c r="AJ633" s="4">
        <f>=ROUNDDOWN({0},0)</f>
      </c>
      <c r="AK633" s="5"/>
      <c r="AL633" s="2" t="s">
        <v>98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/>
      <c r="BD633" s="8"/>
      <c r="BE633" s="4"/>
      <c r="BF633" s="8"/>
      <c r="BG633" s="7"/>
      <c r="BH633" s="7"/>
      <c r="BI633" s="7"/>
      <c r="BJ633" s="4">
        <v>5</v>
      </c>
      <c r="BK633" s="8">
        <v>1864.46</v>
      </c>
      <c r="BL633" s="2" t="s">
        <v>2320</v>
      </c>
      <c r="BM633" s="7"/>
      <c r="BN633" s="7"/>
      <c r="BO633" s="4"/>
      <c r="BP633" s="8"/>
      <c r="BQ633" s="4"/>
      <c r="BR633" s="8"/>
      <c r="BS633" s="7"/>
      <c r="BT633" s="7"/>
      <c r="BU633" s="2" t="s">
        <v>107</v>
      </c>
      <c r="BV633" s="2" t="s">
        <v>1355</v>
      </c>
      <c r="BW633" s="2" t="s">
        <v>1843</v>
      </c>
      <c r="BX633" s="2" t="s">
        <v>712</v>
      </c>
      <c r="BY633" s="2" t="s">
        <v>110</v>
      </c>
      <c r="BZ633" s="2" t="s">
        <v>98</v>
      </c>
    </row>
    <row r="634">
      <c r="A634" s="2" t="s">
        <v>3458</v>
      </c>
      <c r="B634" s="2" t="s">
        <v>1345</v>
      </c>
      <c r="C634" s="2" t="s">
        <v>88</v>
      </c>
      <c r="D634" s="2" t="s">
        <v>3459</v>
      </c>
      <c r="E634" s="2" t="s">
        <v>3459</v>
      </c>
      <c r="F634" s="2" t="s">
        <v>3460</v>
      </c>
      <c r="G634" s="2" t="s">
        <v>3461</v>
      </c>
      <c r="H634" s="2" t="s">
        <v>1805</v>
      </c>
      <c r="I634" s="2" t="s">
        <v>3462</v>
      </c>
      <c r="J634" s="2" t="s">
        <v>93</v>
      </c>
      <c r="K634" s="2" t="s">
        <v>1439</v>
      </c>
      <c r="L634" s="3">
        <v>171</v>
      </c>
      <c r="M634" s="3">
        <v>179.55</v>
      </c>
      <c r="N634" s="3">
        <v>359</v>
      </c>
      <c r="O634" s="2" t="s">
        <v>155</v>
      </c>
      <c r="P634" s="2" t="s">
        <v>115</v>
      </c>
      <c r="Q634" s="2" t="s">
        <v>97</v>
      </c>
      <c r="R634" s="2" t="s">
        <v>98</v>
      </c>
      <c r="S634" s="2" t="s">
        <v>98</v>
      </c>
      <c r="T634" s="2" t="s">
        <v>98</v>
      </c>
      <c r="U634" s="2" t="s">
        <v>117</v>
      </c>
      <c r="V634" s="2" t="s">
        <v>439</v>
      </c>
      <c r="W634" s="2" t="s">
        <v>103</v>
      </c>
      <c r="X634" s="2" t="s">
        <v>98</v>
      </c>
      <c r="Y634" s="2" t="s">
        <v>2116</v>
      </c>
      <c r="Z634" s="4">
        <v>1</v>
      </c>
      <c r="AA634" s="4">
        <f>=ROUNDDOWN({0},0)</f>
      </c>
      <c r="AB634" s="5"/>
      <c r="AC634" s="2" t="s">
        <v>98</v>
      </c>
      <c r="AD634" s="4"/>
      <c r="AE634" s="4"/>
      <c r="AF634" s="6">
        <v>67</v>
      </c>
      <c r="AG634" s="6">
        <v>50</v>
      </c>
      <c r="AH634" s="7">
        <v>1</v>
      </c>
      <c r="AI634" s="4"/>
      <c r="AJ634" s="4">
        <f>=ROUNDDOWN({0},0)</f>
      </c>
      <c r="AK634" s="5"/>
      <c r="AL634" s="2" t="s">
        <v>98</v>
      </c>
      <c r="AM634" s="4"/>
      <c r="AN634" s="4"/>
      <c r="AO634" s="7">
        <v>0</v>
      </c>
      <c r="AP634" s="4"/>
      <c r="AQ634" s="8"/>
      <c r="AR634" s="4">
        <v>1</v>
      </c>
      <c r="AS634" s="8">
        <v>176.85</v>
      </c>
      <c r="AT634" s="7">
        <v>-1</v>
      </c>
      <c r="AU634" s="7">
        <v>-1</v>
      </c>
      <c r="AV634" s="4"/>
      <c r="AW634" s="8"/>
      <c r="AX634" s="4">
        <v>1</v>
      </c>
      <c r="AY634" s="8">
        <v>176.85</v>
      </c>
      <c r="AZ634" s="7">
        <v>-1</v>
      </c>
      <c r="BA634" s="7">
        <v>-1</v>
      </c>
      <c r="BB634" s="7"/>
      <c r="BC634" s="4"/>
      <c r="BD634" s="8"/>
      <c r="BE634" s="4">
        <v>1</v>
      </c>
      <c r="BF634" s="8">
        <v>176.85</v>
      </c>
      <c r="BG634" s="7">
        <v>-1</v>
      </c>
      <c r="BH634" s="7">
        <v>-1</v>
      </c>
      <c r="BI634" s="7"/>
      <c r="BJ634" s="4"/>
      <c r="BK634" s="8"/>
      <c r="BL634" s="2" t="s">
        <v>2737</v>
      </c>
      <c r="BM634" s="7"/>
      <c r="BN634" s="7"/>
      <c r="BO634" s="4"/>
      <c r="BP634" s="8"/>
      <c r="BQ634" s="4">
        <v>1</v>
      </c>
      <c r="BR634" s="8">
        <v>176.85</v>
      </c>
      <c r="BS634" s="7">
        <v>-1</v>
      </c>
      <c r="BT634" s="7">
        <v>-1</v>
      </c>
      <c r="BU634" s="2" t="s">
        <v>107</v>
      </c>
      <c r="BV634" s="2" t="s">
        <v>1355</v>
      </c>
      <c r="BW634" s="2" t="s">
        <v>1512</v>
      </c>
      <c r="BX634" s="2" t="s">
        <v>3463</v>
      </c>
      <c r="BY634" s="2" t="s">
        <v>110</v>
      </c>
      <c r="BZ634" s="2" t="s">
        <v>98</v>
      </c>
    </row>
    <row r="635">
      <c r="A635" s="2" t="s">
        <v>3464</v>
      </c>
      <c r="B635" s="2" t="s">
        <v>1345</v>
      </c>
      <c r="C635" s="2" t="s">
        <v>952</v>
      </c>
      <c r="D635" s="2" t="s">
        <v>1346</v>
      </c>
      <c r="E635" s="2" t="s">
        <v>1347</v>
      </c>
      <c r="F635" s="2" t="s">
        <v>3465</v>
      </c>
      <c r="G635" s="2" t="s">
        <v>3465</v>
      </c>
      <c r="H635" s="2" t="s">
        <v>3465</v>
      </c>
      <c r="I635" s="2" t="s">
        <v>1432</v>
      </c>
      <c r="J635" s="2" t="s">
        <v>93</v>
      </c>
      <c r="K635" s="2" t="s">
        <v>3466</v>
      </c>
      <c r="L635" s="3">
        <v>172</v>
      </c>
      <c r="M635" s="3">
        <v>180.6</v>
      </c>
      <c r="N635" s="3">
        <v>359</v>
      </c>
      <c r="O635" s="2" t="s">
        <v>95</v>
      </c>
      <c r="P635" s="2" t="s">
        <v>163</v>
      </c>
      <c r="Q635" s="2" t="s">
        <v>97</v>
      </c>
      <c r="R635" s="2" t="s">
        <v>98</v>
      </c>
      <c r="S635" s="2" t="s">
        <v>98</v>
      </c>
      <c r="T635" s="2" t="s">
        <v>98</v>
      </c>
      <c r="U635" s="2" t="s">
        <v>117</v>
      </c>
      <c r="V635" s="2" t="s">
        <v>439</v>
      </c>
      <c r="W635" s="2" t="s">
        <v>119</v>
      </c>
      <c r="X635" s="2" t="s">
        <v>98</v>
      </c>
      <c r="Y635" s="2" t="s">
        <v>1458</v>
      </c>
      <c r="Z635" s="4">
        <v>49</v>
      </c>
      <c r="AA635" s="4">
        <f>=ROUNDDOWN(2.22727272727273,0)</f>
      </c>
      <c r="AB635" s="5">
        <v>22</v>
      </c>
      <c r="AC635" s="2" t="s">
        <v>1353</v>
      </c>
      <c r="AD635" s="4">
        <v>260</v>
      </c>
      <c r="AE635" s="4">
        <v>1182</v>
      </c>
      <c r="AF635" s="6">
        <v>65</v>
      </c>
      <c r="AG635" s="6">
        <v>48</v>
      </c>
      <c r="AH635" s="7">
        <v>1</v>
      </c>
      <c r="AI635" s="4"/>
      <c r="AJ635" s="4">
        <f>=ROUNDDOWN({0},0)</f>
      </c>
      <c r="AK635" s="5"/>
      <c r="AL635" s="2" t="s">
        <v>98</v>
      </c>
      <c r="AM635" s="4"/>
      <c r="AN635" s="4"/>
      <c r="AO635" s="7">
        <v>0</v>
      </c>
      <c r="AP635" s="4">
        <v>7</v>
      </c>
      <c r="AQ635" s="8">
        <v>1289.54</v>
      </c>
      <c r="AR635" s="4">
        <v>5</v>
      </c>
      <c r="AS635" s="8">
        <v>921.1</v>
      </c>
      <c r="AT635" s="7">
        <v>0.4</v>
      </c>
      <c r="AU635" s="7">
        <v>0.4</v>
      </c>
      <c r="AV635" s="4">
        <v>7</v>
      </c>
      <c r="AW635" s="8">
        <v>1289.54</v>
      </c>
      <c r="AX635" s="4">
        <v>5</v>
      </c>
      <c r="AY635" s="8">
        <v>921.1</v>
      </c>
      <c r="AZ635" s="7">
        <v>0.4</v>
      </c>
      <c r="BA635" s="7">
        <v>0.4</v>
      </c>
      <c r="BB635" s="7">
        <v>1</v>
      </c>
      <c r="BC635" s="4">
        <v>7</v>
      </c>
      <c r="BD635" s="8">
        <v>1289.54</v>
      </c>
      <c r="BE635" s="4">
        <v>5</v>
      </c>
      <c r="BF635" s="8">
        <v>921.1</v>
      </c>
      <c r="BG635" s="7">
        <v>0.4</v>
      </c>
      <c r="BH635" s="7">
        <v>0.4</v>
      </c>
      <c r="BI635" s="7">
        <v>1</v>
      </c>
      <c r="BJ635" s="4">
        <v>13</v>
      </c>
      <c r="BK635" s="8">
        <v>2349.51</v>
      </c>
      <c r="BL635" s="2" t="s">
        <v>3467</v>
      </c>
      <c r="BM635" s="7">
        <v>0.5385</v>
      </c>
      <c r="BN635" s="7">
        <v>0.5489</v>
      </c>
      <c r="BO635" s="4">
        <v>7</v>
      </c>
      <c r="BP635" s="8">
        <v>1289.54</v>
      </c>
      <c r="BQ635" s="4">
        <v>5</v>
      </c>
      <c r="BR635" s="8">
        <v>921.1</v>
      </c>
      <c r="BS635" s="7">
        <v>0.4</v>
      </c>
      <c r="BT635" s="7">
        <v>0.4</v>
      </c>
      <c r="BU635" s="2" t="s">
        <v>107</v>
      </c>
      <c r="BV635" s="2" t="s">
        <v>1355</v>
      </c>
      <c r="BW635" s="2" t="s">
        <v>1339</v>
      </c>
      <c r="BX635" s="2" t="s">
        <v>3468</v>
      </c>
      <c r="BY635" s="2" t="s">
        <v>110</v>
      </c>
      <c r="BZ635" s="2" t="s">
        <v>98</v>
      </c>
    </row>
    <row r="636">
      <c r="A636" s="2" t="s">
        <v>3469</v>
      </c>
      <c r="B636" s="2" t="s">
        <v>1345</v>
      </c>
      <c r="C636" s="2" t="s">
        <v>952</v>
      </c>
      <c r="D636" s="2" t="s">
        <v>1346</v>
      </c>
      <c r="E636" s="2" t="s">
        <v>1347</v>
      </c>
      <c r="F636" s="2" t="s">
        <v>3470</v>
      </c>
      <c r="G636" s="2" t="s">
        <v>3470</v>
      </c>
      <c r="H636" s="2" t="s">
        <v>3470</v>
      </c>
      <c r="I636" s="2" t="s">
        <v>3471</v>
      </c>
      <c r="J636" s="2" t="s">
        <v>93</v>
      </c>
      <c r="K636" s="2" t="s">
        <v>616</v>
      </c>
      <c r="L636" s="3">
        <v>161.5</v>
      </c>
      <c r="M636" s="3">
        <v>169.58</v>
      </c>
      <c r="N636" s="3">
        <v>339</v>
      </c>
      <c r="O636" s="2" t="s">
        <v>95</v>
      </c>
      <c r="P636" s="2" t="s">
        <v>163</v>
      </c>
      <c r="Q636" s="2" t="s">
        <v>97</v>
      </c>
      <c r="R636" s="2" t="s">
        <v>98</v>
      </c>
      <c r="S636" s="2" t="s">
        <v>3472</v>
      </c>
      <c r="T636" s="2" t="s">
        <v>98</v>
      </c>
      <c r="U636" s="2" t="s">
        <v>117</v>
      </c>
      <c r="V636" s="2" t="s">
        <v>439</v>
      </c>
      <c r="W636" s="2" t="s">
        <v>963</v>
      </c>
      <c r="X636" s="2" t="s">
        <v>102</v>
      </c>
      <c r="Y636" s="2" t="s">
        <v>366</v>
      </c>
      <c r="Z636" s="4">
        <v>482</v>
      </c>
      <c r="AA636" s="4">
        <f>=ROUNDDOWN(25.5026455026455,0)</f>
      </c>
      <c r="AB636" s="5">
        <v>18.9</v>
      </c>
      <c r="AC636" s="2" t="s">
        <v>222</v>
      </c>
      <c r="AD636" s="4">
        <v>7</v>
      </c>
      <c r="AE636" s="4">
        <v>15</v>
      </c>
      <c r="AF636" s="6">
        <v>65</v>
      </c>
      <c r="AG636" s="6">
        <v>48</v>
      </c>
      <c r="AH636" s="7">
        <v>1</v>
      </c>
      <c r="AI636" s="4"/>
      <c r="AJ636" s="4">
        <f>=ROUNDDOWN({0},0)</f>
      </c>
      <c r="AK636" s="5"/>
      <c r="AL636" s="2" t="s">
        <v>2300</v>
      </c>
      <c r="AM636" s="4">
        <v>250</v>
      </c>
      <c r="AN636" s="4">
        <v>250</v>
      </c>
      <c r="AO636" s="7">
        <v>0</v>
      </c>
      <c r="AP636" s="4">
        <v>2</v>
      </c>
      <c r="AQ636" s="8">
        <v>352.6</v>
      </c>
      <c r="AR636" s="4"/>
      <c r="AS636" s="8"/>
      <c r="AT636" s="7"/>
      <c r="AU636" s="7"/>
      <c r="AV636" s="4">
        <v>2</v>
      </c>
      <c r="AW636" s="8">
        <v>352.6</v>
      </c>
      <c r="AX636" s="4"/>
      <c r="AY636" s="8"/>
      <c r="AZ636" s="7"/>
      <c r="BA636" s="7"/>
      <c r="BB636" s="7">
        <v>1</v>
      </c>
      <c r="BC636" s="4">
        <v>4</v>
      </c>
      <c r="BD636" s="8">
        <v>663.42</v>
      </c>
      <c r="BE636" s="4">
        <v>2</v>
      </c>
      <c r="BF636" s="8">
        <v>352.6</v>
      </c>
      <c r="BG636" s="7">
        <v>1</v>
      </c>
      <c r="BH636" s="7">
        <v>0.8815</v>
      </c>
      <c r="BI636" s="7">
        <v>0.5315</v>
      </c>
      <c r="BJ636" s="4">
        <v>22</v>
      </c>
      <c r="BK636" s="8">
        <v>3143.79</v>
      </c>
      <c r="BL636" s="2" t="s">
        <v>3473</v>
      </c>
      <c r="BM636" s="7">
        <v>0.0909</v>
      </c>
      <c r="BN636" s="7">
        <v>0.1122</v>
      </c>
      <c r="BO636" s="4">
        <v>2</v>
      </c>
      <c r="BP636" s="8">
        <v>352.6</v>
      </c>
      <c r="BQ636" s="4"/>
      <c r="BR636" s="8"/>
      <c r="BS636" s="7"/>
      <c r="BT636" s="7"/>
      <c r="BU636" s="2" t="s">
        <v>107</v>
      </c>
      <c r="BV636" s="2" t="s">
        <v>1355</v>
      </c>
      <c r="BW636" s="2" t="s">
        <v>1356</v>
      </c>
      <c r="BX636" s="2" t="s">
        <v>2807</v>
      </c>
      <c r="BY636" s="2" t="s">
        <v>110</v>
      </c>
      <c r="BZ636" s="2" t="s">
        <v>98</v>
      </c>
    </row>
    <row r="637">
      <c r="A637" s="2" t="s">
        <v>3474</v>
      </c>
      <c r="B637" s="2" t="s">
        <v>1345</v>
      </c>
      <c r="C637" s="2" t="s">
        <v>952</v>
      </c>
      <c r="D637" s="2" t="s">
        <v>1346</v>
      </c>
      <c r="E637" s="2" t="s">
        <v>1347</v>
      </c>
      <c r="F637" s="2" t="s">
        <v>3470</v>
      </c>
      <c r="G637" s="2" t="s">
        <v>3470</v>
      </c>
      <c r="H637" s="2" t="s">
        <v>3470</v>
      </c>
      <c r="I637" s="2" t="s">
        <v>3471</v>
      </c>
      <c r="J637" s="2" t="s">
        <v>93</v>
      </c>
      <c r="K637" s="2" t="s">
        <v>2114</v>
      </c>
      <c r="L637" s="3">
        <v>161.5</v>
      </c>
      <c r="M637" s="3">
        <v>169.58</v>
      </c>
      <c r="N637" s="3">
        <v>339</v>
      </c>
      <c r="O637" s="2" t="s">
        <v>95</v>
      </c>
      <c r="P637" s="2" t="s">
        <v>96</v>
      </c>
      <c r="Q637" s="2" t="s">
        <v>97</v>
      </c>
      <c r="R637" s="2" t="s">
        <v>98</v>
      </c>
      <c r="S637" s="2" t="s">
        <v>98</v>
      </c>
      <c r="T637" s="2" t="s">
        <v>98</v>
      </c>
      <c r="U637" s="2" t="s">
        <v>117</v>
      </c>
      <c r="V637" s="2" t="s">
        <v>439</v>
      </c>
      <c r="W637" s="2" t="s">
        <v>963</v>
      </c>
      <c r="X637" s="2" t="s">
        <v>102</v>
      </c>
      <c r="Y637" s="2" t="s">
        <v>3475</v>
      </c>
      <c r="Z637" s="4">
        <v>316</v>
      </c>
      <c r="AA637" s="4">
        <f>=ROUNDDOWN(28.7272727272727,0)</f>
      </c>
      <c r="AB637" s="5">
        <v>11</v>
      </c>
      <c r="AC637" s="2" t="s">
        <v>222</v>
      </c>
      <c r="AD637" s="4">
        <v>222</v>
      </c>
      <c r="AE637" s="4">
        <v>222</v>
      </c>
      <c r="AF637" s="6">
        <v>65</v>
      </c>
      <c r="AG637" s="6">
        <v>48</v>
      </c>
      <c r="AH637" s="7">
        <v>1</v>
      </c>
      <c r="AI637" s="4"/>
      <c r="AJ637" s="4">
        <f>=ROUNDDOWN({0},0)</f>
      </c>
      <c r="AK637" s="5"/>
      <c r="AL637" s="2" t="s">
        <v>98</v>
      </c>
      <c r="AM637" s="4"/>
      <c r="AN637" s="4"/>
      <c r="AO637" s="7">
        <v>0</v>
      </c>
      <c r="AP637" s="4">
        <v>1</v>
      </c>
      <c r="AQ637" s="8">
        <v>155.41</v>
      </c>
      <c r="AR637" s="4"/>
      <c r="AS637" s="8"/>
      <c r="AT637" s="7"/>
      <c r="AU637" s="7"/>
      <c r="AV637" s="4">
        <v>1</v>
      </c>
      <c r="AW637" s="8">
        <v>155.41</v>
      </c>
      <c r="AX637" s="4"/>
      <c r="AY637" s="8"/>
      <c r="AZ637" s="7"/>
      <c r="BA637" s="7"/>
      <c r="BB637" s="7">
        <v>1</v>
      </c>
      <c r="BC637" s="4" t="s">
        <v>98</v>
      </c>
      <c r="BD637" s="8" t="s">
        <v>98</v>
      </c>
      <c r="BE637" s="4" t="s">
        <v>98</v>
      </c>
      <c r="BF637" s="8" t="s">
        <v>98</v>
      </c>
      <c r="BG637" s="7" t="s">
        <v>98</v>
      </c>
      <c r="BH637" s="7" t="s">
        <v>98</v>
      </c>
      <c r="BI637" s="7">
        <v>0.2343</v>
      </c>
      <c r="BJ637" s="4">
        <v>19</v>
      </c>
      <c r="BK637" s="8">
        <v>2924</v>
      </c>
      <c r="BL637" s="2" t="s">
        <v>3476</v>
      </c>
      <c r="BM637" s="7">
        <v>0.0526</v>
      </c>
      <c r="BN637" s="7">
        <v>0.0531</v>
      </c>
      <c r="BO637" s="4">
        <v>1</v>
      </c>
      <c r="BP637" s="8">
        <v>155.41</v>
      </c>
      <c r="BQ637" s="4"/>
      <c r="BR637" s="8"/>
      <c r="BS637" s="7"/>
      <c r="BT637" s="7"/>
      <c r="BU637" s="2" t="s">
        <v>1376</v>
      </c>
      <c r="BV637" s="2" t="s">
        <v>1355</v>
      </c>
      <c r="BW637" s="2" t="s">
        <v>98</v>
      </c>
      <c r="BX637" s="2" t="s">
        <v>98</v>
      </c>
      <c r="BY637" s="2" t="s">
        <v>110</v>
      </c>
      <c r="BZ637" s="2" t="s">
        <v>98</v>
      </c>
    </row>
    <row r="638">
      <c r="A638" s="2" t="s">
        <v>3477</v>
      </c>
      <c r="B638" s="2" t="s">
        <v>1345</v>
      </c>
      <c r="C638" s="2" t="s">
        <v>952</v>
      </c>
      <c r="D638" s="2" t="s">
        <v>1346</v>
      </c>
      <c r="E638" s="2" t="s">
        <v>1347</v>
      </c>
      <c r="F638" s="2" t="s">
        <v>3470</v>
      </c>
      <c r="G638" s="2" t="s">
        <v>3470</v>
      </c>
      <c r="H638" s="2" t="s">
        <v>3470</v>
      </c>
      <c r="I638" s="2" t="s">
        <v>3471</v>
      </c>
      <c r="J638" s="2" t="s">
        <v>93</v>
      </c>
      <c r="K638" s="2" t="s">
        <v>622</v>
      </c>
      <c r="L638" s="3">
        <v>161.5</v>
      </c>
      <c r="M638" s="3">
        <v>169.58</v>
      </c>
      <c r="N638" s="3">
        <v>339</v>
      </c>
      <c r="O638" s="2" t="s">
        <v>95</v>
      </c>
      <c r="P638" s="2" t="s">
        <v>134</v>
      </c>
      <c r="Q638" s="2" t="s">
        <v>97</v>
      </c>
      <c r="R638" s="2" t="s">
        <v>98</v>
      </c>
      <c r="S638" s="2" t="s">
        <v>98</v>
      </c>
      <c r="T638" s="2" t="s">
        <v>98</v>
      </c>
      <c r="U638" s="2" t="s">
        <v>117</v>
      </c>
      <c r="V638" s="2" t="s">
        <v>439</v>
      </c>
      <c r="W638" s="2" t="s">
        <v>963</v>
      </c>
      <c r="X638" s="2" t="s">
        <v>102</v>
      </c>
      <c r="Y638" s="2" t="s">
        <v>3478</v>
      </c>
      <c r="Z638" s="4">
        <v>95</v>
      </c>
      <c r="AA638" s="4">
        <f>=ROUNDDOWN(5.24861878453039,0)</f>
      </c>
      <c r="AB638" s="5">
        <v>18.1</v>
      </c>
      <c r="AC638" s="2" t="s">
        <v>1643</v>
      </c>
      <c r="AD638" s="4">
        <v>36</v>
      </c>
      <c r="AE638" s="4">
        <v>335</v>
      </c>
      <c r="AF638" s="6">
        <v>65</v>
      </c>
      <c r="AG638" s="6">
        <v>48</v>
      </c>
      <c r="AH638" s="7">
        <v>1</v>
      </c>
      <c r="AI638" s="4"/>
      <c r="AJ638" s="4">
        <f>=ROUNDDOWN({0},0)</f>
      </c>
      <c r="AK638" s="5"/>
      <c r="AL638" s="2" t="s">
        <v>98</v>
      </c>
      <c r="AM638" s="4"/>
      <c r="AN638" s="4"/>
      <c r="AO638" s="7">
        <v>0</v>
      </c>
      <c r="AP638" s="4">
        <v>1</v>
      </c>
      <c r="AQ638" s="8">
        <v>155.41</v>
      </c>
      <c r="AR638" s="4"/>
      <c r="AS638" s="8"/>
      <c r="AT638" s="7"/>
      <c r="AU638" s="7"/>
      <c r="AV638" s="4">
        <v>1</v>
      </c>
      <c r="AW638" s="8">
        <v>155.41</v>
      </c>
      <c r="AX638" s="4"/>
      <c r="AY638" s="8"/>
      <c r="AZ638" s="7"/>
      <c r="BA638" s="7"/>
      <c r="BB638" s="7">
        <v>1</v>
      </c>
      <c r="BC638" s="4" t="s">
        <v>98</v>
      </c>
      <c r="BD638" s="8" t="s">
        <v>98</v>
      </c>
      <c r="BE638" s="4" t="s">
        <v>98</v>
      </c>
      <c r="BF638" s="8" t="s">
        <v>98</v>
      </c>
      <c r="BG638" s="7" t="s">
        <v>98</v>
      </c>
      <c r="BH638" s="7" t="s">
        <v>98</v>
      </c>
      <c r="BI638" s="7">
        <v>0.2343</v>
      </c>
      <c r="BJ638" s="4">
        <v>6</v>
      </c>
      <c r="BK638" s="8">
        <v>1105.01</v>
      </c>
      <c r="BL638" s="2" t="s">
        <v>3479</v>
      </c>
      <c r="BM638" s="7">
        <v>0.1667</v>
      </c>
      <c r="BN638" s="7">
        <v>0.1406</v>
      </c>
      <c r="BO638" s="4">
        <v>1</v>
      </c>
      <c r="BP638" s="8">
        <v>155.41</v>
      </c>
      <c r="BQ638" s="4"/>
      <c r="BR638" s="8"/>
      <c r="BS638" s="7"/>
      <c r="BT638" s="7"/>
      <c r="BU638" s="2" t="s">
        <v>1376</v>
      </c>
      <c r="BV638" s="2" t="s">
        <v>95</v>
      </c>
      <c r="BW638" s="2" t="s">
        <v>98</v>
      </c>
      <c r="BX638" s="2" t="s">
        <v>98</v>
      </c>
      <c r="BY638" s="2" t="s">
        <v>110</v>
      </c>
      <c r="BZ638" s="2" t="s">
        <v>98</v>
      </c>
    </row>
    <row r="639">
      <c r="A639" s="2" t="s">
        <v>3480</v>
      </c>
      <c r="B639" s="2" t="s">
        <v>1345</v>
      </c>
      <c r="C639" s="2" t="s">
        <v>952</v>
      </c>
      <c r="D639" s="2" t="s">
        <v>1346</v>
      </c>
      <c r="E639" s="2" t="s">
        <v>1347</v>
      </c>
      <c r="F639" s="2" t="s">
        <v>3470</v>
      </c>
      <c r="G639" s="2" t="s">
        <v>3470</v>
      </c>
      <c r="H639" s="2" t="s">
        <v>3470</v>
      </c>
      <c r="I639" s="2" t="s">
        <v>3471</v>
      </c>
      <c r="J639" s="2" t="s">
        <v>93</v>
      </c>
      <c r="K639" s="2" t="s">
        <v>1439</v>
      </c>
      <c r="L639" s="3">
        <v>161.5</v>
      </c>
      <c r="M639" s="3">
        <v>169.58</v>
      </c>
      <c r="N639" s="3">
        <v>339</v>
      </c>
      <c r="O639" s="2" t="s">
        <v>95</v>
      </c>
      <c r="P639" s="2" t="s">
        <v>134</v>
      </c>
      <c r="Q639" s="2" t="s">
        <v>97</v>
      </c>
      <c r="R639" s="2" t="s">
        <v>98</v>
      </c>
      <c r="S639" s="2" t="s">
        <v>98</v>
      </c>
      <c r="T639" s="2" t="s">
        <v>98</v>
      </c>
      <c r="U639" s="2" t="s">
        <v>117</v>
      </c>
      <c r="V639" s="2" t="s">
        <v>439</v>
      </c>
      <c r="W639" s="2" t="s">
        <v>963</v>
      </c>
      <c r="X639" s="2" t="s">
        <v>102</v>
      </c>
      <c r="Y639" s="2" t="s">
        <v>1916</v>
      </c>
      <c r="Z639" s="4">
        <v>177</v>
      </c>
      <c r="AA639" s="4">
        <f>=ROUNDDOWN(12.6428571428571,0)</f>
      </c>
      <c r="AB639" s="5">
        <v>14</v>
      </c>
      <c r="AC639" s="2" t="s">
        <v>222</v>
      </c>
      <c r="AD639" s="4">
        <v>200</v>
      </c>
      <c r="AE639" s="4">
        <v>330</v>
      </c>
      <c r="AF639" s="6">
        <v>65</v>
      </c>
      <c r="AG639" s="6">
        <v>48</v>
      </c>
      <c r="AH639" s="7">
        <v>1</v>
      </c>
      <c r="AI639" s="4"/>
      <c r="AJ639" s="4">
        <f>=ROUNDDOWN({0},0)</f>
      </c>
      <c r="AK639" s="5"/>
      <c r="AL639" s="2" t="s">
        <v>98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/>
      <c r="AW639" s="8"/>
      <c r="AX639" s="4"/>
      <c r="AY639" s="8"/>
      <c r="AZ639" s="7"/>
      <c r="BA639" s="7"/>
      <c r="BB639" s="7"/>
      <c r="BC639" s="4" t="s">
        <v>98</v>
      </c>
      <c r="BD639" s="8" t="s">
        <v>98</v>
      </c>
      <c r="BE639" s="4" t="s">
        <v>98</v>
      </c>
      <c r="BF639" s="8" t="s">
        <v>98</v>
      </c>
      <c r="BG639" s="7" t="s">
        <v>98</v>
      </c>
      <c r="BH639" s="7" t="s">
        <v>98</v>
      </c>
      <c r="BI639" s="7"/>
      <c r="BJ639" s="4">
        <v>5</v>
      </c>
      <c r="BK639" s="8">
        <v>714.7</v>
      </c>
      <c r="BL639" s="2" t="s">
        <v>895</v>
      </c>
      <c r="BM639" s="7"/>
      <c r="BN639" s="7"/>
      <c r="BO639" s="4"/>
      <c r="BP639" s="8"/>
      <c r="BQ639" s="4"/>
      <c r="BR639" s="8"/>
      <c r="BS639" s="7"/>
      <c r="BT639" s="7"/>
      <c r="BU639" s="2" t="s">
        <v>1376</v>
      </c>
      <c r="BV639" s="2" t="s">
        <v>95</v>
      </c>
      <c r="BW639" s="2" t="s">
        <v>98</v>
      </c>
      <c r="BX639" s="2" t="s">
        <v>98</v>
      </c>
      <c r="BY639" s="2" t="s">
        <v>110</v>
      </c>
      <c r="BZ639" s="2" t="s">
        <v>98</v>
      </c>
    </row>
    <row r="640">
      <c r="A640" s="2" t="s">
        <v>3481</v>
      </c>
      <c r="B640" s="2" t="s">
        <v>1345</v>
      </c>
      <c r="C640" s="2" t="s">
        <v>952</v>
      </c>
      <c r="D640" s="2" t="s">
        <v>1346</v>
      </c>
      <c r="E640" s="2" t="s">
        <v>1347</v>
      </c>
      <c r="F640" s="2" t="s">
        <v>3470</v>
      </c>
      <c r="G640" s="2" t="s">
        <v>3470</v>
      </c>
      <c r="H640" s="2" t="s">
        <v>3470</v>
      </c>
      <c r="I640" s="2" t="s">
        <v>3471</v>
      </c>
      <c r="J640" s="2" t="s">
        <v>93</v>
      </c>
      <c r="K640" s="2" t="s">
        <v>133</v>
      </c>
      <c r="L640" s="3">
        <v>161.5</v>
      </c>
      <c r="M640" s="3">
        <v>169.58</v>
      </c>
      <c r="N640" s="3">
        <v>339</v>
      </c>
      <c r="O640" s="2" t="s">
        <v>95</v>
      </c>
      <c r="P640" s="2" t="s">
        <v>134</v>
      </c>
      <c r="Q640" s="2" t="s">
        <v>97</v>
      </c>
      <c r="R640" s="2" t="s">
        <v>98</v>
      </c>
      <c r="S640" s="2" t="s">
        <v>98</v>
      </c>
      <c r="T640" s="2" t="s">
        <v>98</v>
      </c>
      <c r="U640" s="2" t="s">
        <v>117</v>
      </c>
      <c r="V640" s="2" t="s">
        <v>439</v>
      </c>
      <c r="W640" s="2" t="s">
        <v>963</v>
      </c>
      <c r="X640" s="2" t="s">
        <v>102</v>
      </c>
      <c r="Y640" s="2" t="s">
        <v>3478</v>
      </c>
      <c r="Z640" s="4">
        <v>398</v>
      </c>
      <c r="AA640" s="4">
        <f>=ROUNDDOWN(189.52380952381,0)</f>
      </c>
      <c r="AB640" s="5">
        <v>2.1</v>
      </c>
      <c r="AC640" s="2" t="s">
        <v>98</v>
      </c>
      <c r="AD640" s="4"/>
      <c r="AE640" s="4"/>
      <c r="AF640" s="6">
        <v>65</v>
      </c>
      <c r="AG640" s="6">
        <v>48</v>
      </c>
      <c r="AH640" s="7">
        <v>1</v>
      </c>
      <c r="AI640" s="4"/>
      <c r="AJ640" s="4">
        <f>=ROUNDDOWN({0},0)</f>
      </c>
      <c r="AK640" s="5"/>
      <c r="AL640" s="2" t="s">
        <v>98</v>
      </c>
      <c r="AM640" s="4"/>
      <c r="AN640" s="4"/>
      <c r="AO640" s="7">
        <v>0</v>
      </c>
      <c r="AP640" s="4"/>
      <c r="AQ640" s="8"/>
      <c r="AR640" s="4">
        <v>2</v>
      </c>
      <c r="AS640" s="8">
        <v>352.6</v>
      </c>
      <c r="AT640" s="7">
        <v>-1</v>
      </c>
      <c r="AU640" s="7">
        <v>-1</v>
      </c>
      <c r="AV640" s="4"/>
      <c r="AW640" s="8"/>
      <c r="AX640" s="4">
        <v>2</v>
      </c>
      <c r="AY640" s="8">
        <v>352.6</v>
      </c>
      <c r="AZ640" s="7">
        <v>-1</v>
      </c>
      <c r="BA640" s="7">
        <v>-1</v>
      </c>
      <c r="BB640" s="7"/>
      <c r="BC640" s="4" t="s">
        <v>98</v>
      </c>
      <c r="BD640" s="8" t="s">
        <v>98</v>
      </c>
      <c r="BE640" s="4" t="s">
        <v>98</v>
      </c>
      <c r="BF640" s="8" t="s">
        <v>98</v>
      </c>
      <c r="BG640" s="7" t="s">
        <v>98</v>
      </c>
      <c r="BH640" s="7" t="s">
        <v>98</v>
      </c>
      <c r="BI640" s="7"/>
      <c r="BJ640" s="4">
        <v>5</v>
      </c>
      <c r="BK640" s="8">
        <v>855.14</v>
      </c>
      <c r="BL640" s="2" t="s">
        <v>2223</v>
      </c>
      <c r="BM640" s="7"/>
      <c r="BN640" s="7"/>
      <c r="BO640" s="4"/>
      <c r="BP640" s="8"/>
      <c r="BQ640" s="4">
        <v>2</v>
      </c>
      <c r="BR640" s="8">
        <v>352.6</v>
      </c>
      <c r="BS640" s="7">
        <v>-1</v>
      </c>
      <c r="BT640" s="7">
        <v>-1</v>
      </c>
      <c r="BU640" s="2" t="s">
        <v>1376</v>
      </c>
      <c r="BV640" s="2" t="s">
        <v>95</v>
      </c>
      <c r="BW640" s="2" t="s">
        <v>98</v>
      </c>
      <c r="BX640" s="2" t="s">
        <v>98</v>
      </c>
      <c r="BY640" s="2" t="s">
        <v>110</v>
      </c>
      <c r="BZ640" s="2" t="s">
        <v>98</v>
      </c>
    </row>
    <row r="641">
      <c r="A641" s="2" t="s">
        <v>3482</v>
      </c>
      <c r="B641" s="2" t="s">
        <v>1345</v>
      </c>
      <c r="C641" s="2" t="s">
        <v>952</v>
      </c>
      <c r="D641" s="2" t="s">
        <v>1346</v>
      </c>
      <c r="E641" s="2" t="s">
        <v>1347</v>
      </c>
      <c r="F641" s="2" t="s">
        <v>3470</v>
      </c>
      <c r="G641" s="2" t="s">
        <v>3470</v>
      </c>
      <c r="H641" s="2" t="s">
        <v>3470</v>
      </c>
      <c r="I641" s="2" t="s">
        <v>3471</v>
      </c>
      <c r="J641" s="2" t="s">
        <v>93</v>
      </c>
      <c r="K641" s="2" t="s">
        <v>286</v>
      </c>
      <c r="L641" s="3">
        <v>161.5</v>
      </c>
      <c r="M641" s="3">
        <v>169.58</v>
      </c>
      <c r="N641" s="3">
        <v>339</v>
      </c>
      <c r="O641" s="2" t="s">
        <v>95</v>
      </c>
      <c r="P641" s="2" t="s">
        <v>134</v>
      </c>
      <c r="Q641" s="2" t="s">
        <v>97</v>
      </c>
      <c r="R641" s="2" t="s">
        <v>98</v>
      </c>
      <c r="S641" s="2" t="s">
        <v>98</v>
      </c>
      <c r="T641" s="2" t="s">
        <v>98</v>
      </c>
      <c r="U641" s="2" t="s">
        <v>117</v>
      </c>
      <c r="V641" s="2" t="s">
        <v>439</v>
      </c>
      <c r="W641" s="2" t="s">
        <v>963</v>
      </c>
      <c r="X641" s="2" t="s">
        <v>102</v>
      </c>
      <c r="Y641" s="2" t="s">
        <v>3483</v>
      </c>
      <c r="Z641" s="4">
        <v>94</v>
      </c>
      <c r="AA641" s="4">
        <f>=ROUNDDOWN(26.1111111111111,0)</f>
      </c>
      <c r="AB641" s="5">
        <v>3.6</v>
      </c>
      <c r="AC641" s="2" t="s">
        <v>222</v>
      </c>
      <c r="AD641" s="4">
        <v>100</v>
      </c>
      <c r="AE641" s="4">
        <v>100</v>
      </c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98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 t="s">
        <v>98</v>
      </c>
      <c r="BD641" s="8" t="s">
        <v>98</v>
      </c>
      <c r="BE641" s="4" t="s">
        <v>98</v>
      </c>
      <c r="BF641" s="8" t="s">
        <v>98</v>
      </c>
      <c r="BG641" s="7" t="s">
        <v>98</v>
      </c>
      <c r="BH641" s="7" t="s">
        <v>98</v>
      </c>
      <c r="BI641" s="7"/>
      <c r="BJ641" s="4">
        <v>1</v>
      </c>
      <c r="BK641" s="8">
        <v>142.94</v>
      </c>
      <c r="BL641" s="2" t="s">
        <v>895</v>
      </c>
      <c r="BM641" s="7"/>
      <c r="BN641" s="7"/>
      <c r="BO641" s="4"/>
      <c r="BP641" s="8"/>
      <c r="BQ641" s="4"/>
      <c r="BR641" s="8"/>
      <c r="BS641" s="7"/>
      <c r="BT641" s="7"/>
      <c r="BU641" s="2" t="s">
        <v>1376</v>
      </c>
      <c r="BV641" s="2" t="s">
        <v>95</v>
      </c>
      <c r="BW641" s="2" t="s">
        <v>98</v>
      </c>
      <c r="BX641" s="2" t="s">
        <v>98</v>
      </c>
      <c r="BY641" s="2" t="s">
        <v>110</v>
      </c>
      <c r="BZ641" s="2" t="s">
        <v>98</v>
      </c>
    </row>
    <row r="642">
      <c r="A642" s="2" t="s">
        <v>3484</v>
      </c>
      <c r="B642" s="2" t="s">
        <v>1345</v>
      </c>
      <c r="C642" s="2" t="s">
        <v>952</v>
      </c>
      <c r="D642" s="2" t="s">
        <v>1346</v>
      </c>
      <c r="E642" s="2" t="s">
        <v>1347</v>
      </c>
      <c r="F642" s="2" t="s">
        <v>3485</v>
      </c>
      <c r="G642" s="2" t="s">
        <v>3485</v>
      </c>
      <c r="H642" s="2" t="s">
        <v>3485</v>
      </c>
      <c r="I642" s="2" t="s">
        <v>3486</v>
      </c>
      <c r="J642" s="2" t="s">
        <v>93</v>
      </c>
      <c r="K642" s="2" t="s">
        <v>2139</v>
      </c>
      <c r="L642" s="3">
        <v>161.5</v>
      </c>
      <c r="M642" s="3">
        <v>169.58</v>
      </c>
      <c r="N642" s="3">
        <v>339</v>
      </c>
      <c r="O642" s="2" t="s">
        <v>95</v>
      </c>
      <c r="P642" s="2" t="s">
        <v>142</v>
      </c>
      <c r="Q642" s="2" t="s">
        <v>97</v>
      </c>
      <c r="R642" s="2" t="s">
        <v>98</v>
      </c>
      <c r="S642" s="2" t="s">
        <v>3487</v>
      </c>
      <c r="T642" s="2" t="s">
        <v>98</v>
      </c>
      <c r="U642" s="2" t="s">
        <v>98</v>
      </c>
      <c r="V642" s="2" t="s">
        <v>439</v>
      </c>
      <c r="W642" s="2" t="s">
        <v>963</v>
      </c>
      <c r="X642" s="2" t="s">
        <v>98</v>
      </c>
      <c r="Y642" s="2" t="s">
        <v>427</v>
      </c>
      <c r="Z642" s="4">
        <v>67</v>
      </c>
      <c r="AA642" s="4">
        <f>=ROUNDDOWN(13.4,0)</f>
      </c>
      <c r="AB642" s="5">
        <v>5</v>
      </c>
      <c r="AC642" s="2" t="s">
        <v>222</v>
      </c>
      <c r="AD642" s="4">
        <v>100</v>
      </c>
      <c r="AE642" s="4">
        <v>100</v>
      </c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98</v>
      </c>
      <c r="AM642" s="4"/>
      <c r="AN642" s="4"/>
      <c r="AO642" s="7">
        <v>0</v>
      </c>
      <c r="AP642" s="4">
        <v>2</v>
      </c>
      <c r="AQ642" s="8">
        <v>324.8</v>
      </c>
      <c r="AR642" s="4">
        <v>3</v>
      </c>
      <c r="AS642" s="8">
        <v>521.07</v>
      </c>
      <c r="AT642" s="7">
        <v>-0.3333</v>
      </c>
      <c r="AU642" s="7">
        <v>-0.3767</v>
      </c>
      <c r="AV642" s="4">
        <v>2</v>
      </c>
      <c r="AW642" s="8">
        <v>324.8</v>
      </c>
      <c r="AX642" s="4">
        <v>3</v>
      </c>
      <c r="AY642" s="8">
        <v>521.07</v>
      </c>
      <c r="AZ642" s="7">
        <v>-0.3333</v>
      </c>
      <c r="BA642" s="7">
        <v>-0.3767</v>
      </c>
      <c r="BB642" s="7">
        <v>1</v>
      </c>
      <c r="BC642" s="4">
        <v>2</v>
      </c>
      <c r="BD642" s="8">
        <v>324.8</v>
      </c>
      <c r="BE642" s="4">
        <v>10</v>
      </c>
      <c r="BF642" s="8">
        <v>1736.9</v>
      </c>
      <c r="BG642" s="7">
        <v>-0.8</v>
      </c>
      <c r="BH642" s="7">
        <v>-0.813</v>
      </c>
      <c r="BI642" s="7">
        <v>1</v>
      </c>
      <c r="BJ642" s="4">
        <v>3</v>
      </c>
      <c r="BK642" s="8">
        <v>492.85</v>
      </c>
      <c r="BL642" s="2" t="s">
        <v>1445</v>
      </c>
      <c r="BM642" s="7">
        <v>0.6667</v>
      </c>
      <c r="BN642" s="7">
        <v>0.659</v>
      </c>
      <c r="BO642" s="4">
        <v>2</v>
      </c>
      <c r="BP642" s="8">
        <v>324.8</v>
      </c>
      <c r="BQ642" s="4">
        <v>3</v>
      </c>
      <c r="BR642" s="8">
        <v>521.07</v>
      </c>
      <c r="BS642" s="7">
        <v>-0.3333</v>
      </c>
      <c r="BT642" s="7">
        <v>-0.3767</v>
      </c>
      <c r="BU642" s="2" t="s">
        <v>107</v>
      </c>
      <c r="BV642" s="2" t="s">
        <v>1355</v>
      </c>
      <c r="BW642" s="2" t="s">
        <v>1777</v>
      </c>
      <c r="BX642" s="2" t="s">
        <v>3488</v>
      </c>
      <c r="BY642" s="2" t="s">
        <v>110</v>
      </c>
      <c r="BZ642" s="2" t="s">
        <v>98</v>
      </c>
    </row>
    <row r="643">
      <c r="A643" s="2" t="s">
        <v>3489</v>
      </c>
      <c r="B643" s="2" t="s">
        <v>1345</v>
      </c>
      <c r="C643" s="2" t="s">
        <v>952</v>
      </c>
      <c r="D643" s="2" t="s">
        <v>1346</v>
      </c>
      <c r="E643" s="2" t="s">
        <v>1347</v>
      </c>
      <c r="F643" s="2" t="s">
        <v>3485</v>
      </c>
      <c r="G643" s="2" t="s">
        <v>3485</v>
      </c>
      <c r="H643" s="2" t="s">
        <v>3485</v>
      </c>
      <c r="I643" s="2" t="s">
        <v>3486</v>
      </c>
      <c r="J643" s="2" t="s">
        <v>93</v>
      </c>
      <c r="K643" s="2" t="s">
        <v>3490</v>
      </c>
      <c r="L643" s="3">
        <v>161.5</v>
      </c>
      <c r="M643" s="3">
        <v>169.58</v>
      </c>
      <c r="N643" s="3">
        <v>339</v>
      </c>
      <c r="O643" s="2" t="s">
        <v>95</v>
      </c>
      <c r="P643" s="2" t="s">
        <v>134</v>
      </c>
      <c r="Q643" s="2" t="s">
        <v>97</v>
      </c>
      <c r="R643" s="2" t="s">
        <v>98</v>
      </c>
      <c r="S643" s="2" t="s">
        <v>3491</v>
      </c>
      <c r="T643" s="2" t="s">
        <v>98</v>
      </c>
      <c r="U643" s="2" t="s">
        <v>98</v>
      </c>
      <c r="V643" s="2" t="s">
        <v>439</v>
      </c>
      <c r="W643" s="2" t="s">
        <v>963</v>
      </c>
      <c r="X643" s="2" t="s">
        <v>98</v>
      </c>
      <c r="Y643" s="2" t="s">
        <v>427</v>
      </c>
      <c r="Z643" s="4">
        <v>180</v>
      </c>
      <c r="AA643" s="4">
        <f>=ROUNDDOWN(21.4285714285714,0)</f>
      </c>
      <c r="AB643" s="5">
        <v>8.4</v>
      </c>
      <c r="AC643" s="2" t="s">
        <v>1353</v>
      </c>
      <c r="AD643" s="4">
        <v>13</v>
      </c>
      <c r="AE643" s="4">
        <v>313</v>
      </c>
      <c r="AF643" s="6">
        <v>65</v>
      </c>
      <c r="AG643" s="6">
        <v>48</v>
      </c>
      <c r="AH643" s="7">
        <v>1</v>
      </c>
      <c r="AI643" s="4"/>
      <c r="AJ643" s="4">
        <f>=ROUNDDOWN({0},0)</f>
      </c>
      <c r="AK643" s="5"/>
      <c r="AL643" s="2" t="s">
        <v>2604</v>
      </c>
      <c r="AM643" s="4">
        <v>100</v>
      </c>
      <c r="AN643" s="4">
        <v>100</v>
      </c>
      <c r="AO643" s="7">
        <v>0</v>
      </c>
      <c r="AP643" s="4"/>
      <c r="AQ643" s="8"/>
      <c r="AR643" s="4"/>
      <c r="AS643" s="8"/>
      <c r="AT643" s="7"/>
      <c r="AU643" s="7"/>
      <c r="AV643" s="4"/>
      <c r="AW643" s="8"/>
      <c r="AX643" s="4"/>
      <c r="AY643" s="8"/>
      <c r="AZ643" s="7"/>
      <c r="BA643" s="7"/>
      <c r="BB643" s="7"/>
      <c r="BC643" s="4" t="s">
        <v>98</v>
      </c>
      <c r="BD643" s="8" t="s">
        <v>98</v>
      </c>
      <c r="BE643" s="4" t="s">
        <v>98</v>
      </c>
      <c r="BF643" s="8" t="s">
        <v>98</v>
      </c>
      <c r="BG643" s="7" t="s">
        <v>98</v>
      </c>
      <c r="BH643" s="7" t="s">
        <v>98</v>
      </c>
      <c r="BI643" s="7"/>
      <c r="BJ643" s="4">
        <v>3</v>
      </c>
      <c r="BK643" s="8">
        <v>470.55</v>
      </c>
      <c r="BL643" s="2" t="s">
        <v>1500</v>
      </c>
      <c r="BM643" s="7"/>
      <c r="BN643" s="7"/>
      <c r="BO643" s="4"/>
      <c r="BP643" s="8"/>
      <c r="BQ643" s="4"/>
      <c r="BR643" s="8"/>
      <c r="BS643" s="7"/>
      <c r="BT643" s="7"/>
      <c r="BU643" s="2" t="s">
        <v>107</v>
      </c>
      <c r="BV643" s="2" t="s">
        <v>1355</v>
      </c>
      <c r="BW643" s="2" t="s">
        <v>1826</v>
      </c>
      <c r="BX643" s="2" t="s">
        <v>3492</v>
      </c>
      <c r="BY643" s="2" t="s">
        <v>110</v>
      </c>
      <c r="BZ643" s="2" t="s">
        <v>98</v>
      </c>
    </row>
    <row r="644">
      <c r="A644" s="2" t="s">
        <v>3493</v>
      </c>
      <c r="B644" s="2" t="s">
        <v>1345</v>
      </c>
      <c r="C644" s="2" t="s">
        <v>952</v>
      </c>
      <c r="D644" s="2" t="s">
        <v>1346</v>
      </c>
      <c r="E644" s="2" t="s">
        <v>1347</v>
      </c>
      <c r="F644" s="2" t="s">
        <v>3485</v>
      </c>
      <c r="G644" s="2" t="s">
        <v>3485</v>
      </c>
      <c r="H644" s="2" t="s">
        <v>3485</v>
      </c>
      <c r="I644" s="2" t="s">
        <v>3471</v>
      </c>
      <c r="J644" s="2" t="s">
        <v>93</v>
      </c>
      <c r="K644" s="2" t="s">
        <v>1915</v>
      </c>
      <c r="L644" s="3">
        <v>161.5</v>
      </c>
      <c r="M644" s="3">
        <v>169.58</v>
      </c>
      <c r="N644" s="3">
        <v>339</v>
      </c>
      <c r="O644" s="2" t="s">
        <v>95</v>
      </c>
      <c r="P644" s="2" t="s">
        <v>134</v>
      </c>
      <c r="Q644" s="2" t="s">
        <v>97</v>
      </c>
      <c r="R644" s="2" t="s">
        <v>98</v>
      </c>
      <c r="S644" s="2" t="s">
        <v>98</v>
      </c>
      <c r="T644" s="2" t="s">
        <v>98</v>
      </c>
      <c r="U644" s="2" t="s">
        <v>117</v>
      </c>
      <c r="V644" s="2" t="s">
        <v>439</v>
      </c>
      <c r="W644" s="2" t="s">
        <v>963</v>
      </c>
      <c r="X644" s="2" t="s">
        <v>98</v>
      </c>
      <c r="Y644" s="2" t="s">
        <v>318</v>
      </c>
      <c r="Z644" s="4">
        <v>428</v>
      </c>
      <c r="AA644" s="4">
        <f>=ROUNDDOWN(20.3809523809524,0)</f>
      </c>
      <c r="AB644" s="5">
        <v>21</v>
      </c>
      <c r="AC644" s="2" t="s">
        <v>1643</v>
      </c>
      <c r="AD644" s="4">
        <v>60</v>
      </c>
      <c r="AE644" s="4">
        <v>340</v>
      </c>
      <c r="AF644" s="6">
        <v>65</v>
      </c>
      <c r="AG644" s="6">
        <v>48</v>
      </c>
      <c r="AH644" s="7">
        <v>1</v>
      </c>
      <c r="AI644" s="4"/>
      <c r="AJ644" s="4">
        <f>=ROUNDDOWN({0},0)</f>
      </c>
      <c r="AK644" s="5"/>
      <c r="AL644" s="2" t="s">
        <v>98</v>
      </c>
      <c r="AM644" s="4"/>
      <c r="AN644" s="4"/>
      <c r="AO644" s="7">
        <v>0</v>
      </c>
      <c r="AP644" s="4"/>
      <c r="AQ644" s="8"/>
      <c r="AR644" s="4">
        <v>2</v>
      </c>
      <c r="AS644" s="8">
        <v>347.38</v>
      </c>
      <c r="AT644" s="7">
        <v>-1</v>
      </c>
      <c r="AU644" s="7">
        <v>-1</v>
      </c>
      <c r="AV644" s="4"/>
      <c r="AW644" s="8"/>
      <c r="AX644" s="4">
        <v>2</v>
      </c>
      <c r="AY644" s="8">
        <v>347.38</v>
      </c>
      <c r="AZ644" s="7">
        <v>-1</v>
      </c>
      <c r="BA644" s="7">
        <v>-1</v>
      </c>
      <c r="BB644" s="7"/>
      <c r="BC644" s="4" t="s">
        <v>98</v>
      </c>
      <c r="BD644" s="8" t="s">
        <v>98</v>
      </c>
      <c r="BE644" s="4" t="s">
        <v>98</v>
      </c>
      <c r="BF644" s="8" t="s">
        <v>98</v>
      </c>
      <c r="BG644" s="7" t="s">
        <v>98</v>
      </c>
      <c r="BH644" s="7" t="s">
        <v>98</v>
      </c>
      <c r="BI644" s="7"/>
      <c r="BJ644" s="4">
        <v>10</v>
      </c>
      <c r="BK644" s="8">
        <v>1852.48</v>
      </c>
      <c r="BL644" s="2" t="s">
        <v>3494</v>
      </c>
      <c r="BM644" s="7"/>
      <c r="BN644" s="7"/>
      <c r="BO644" s="4"/>
      <c r="BP644" s="8"/>
      <c r="BQ644" s="4">
        <v>2</v>
      </c>
      <c r="BR644" s="8">
        <v>347.38</v>
      </c>
      <c r="BS644" s="7">
        <v>-1</v>
      </c>
      <c r="BT644" s="7">
        <v>-1</v>
      </c>
      <c r="BU644" s="2" t="s">
        <v>1376</v>
      </c>
      <c r="BV644" s="2" t="s">
        <v>1355</v>
      </c>
      <c r="BW644" s="2" t="s">
        <v>98</v>
      </c>
      <c r="BX644" s="2" t="s">
        <v>98</v>
      </c>
      <c r="BY644" s="2" t="s">
        <v>110</v>
      </c>
      <c r="BZ644" s="2" t="s">
        <v>98</v>
      </c>
    </row>
    <row r="645">
      <c r="A645" s="2" t="s">
        <v>3495</v>
      </c>
      <c r="B645" s="2" t="s">
        <v>1345</v>
      </c>
      <c r="C645" s="2" t="s">
        <v>952</v>
      </c>
      <c r="D645" s="2" t="s">
        <v>1346</v>
      </c>
      <c r="E645" s="2" t="s">
        <v>1347</v>
      </c>
      <c r="F645" s="2" t="s">
        <v>3485</v>
      </c>
      <c r="G645" s="2" t="s">
        <v>98</v>
      </c>
      <c r="H645" s="2" t="s">
        <v>98</v>
      </c>
      <c r="I645" s="2" t="s">
        <v>3486</v>
      </c>
      <c r="J645" s="2" t="s">
        <v>93</v>
      </c>
      <c r="K645" s="2" t="s">
        <v>1727</v>
      </c>
      <c r="L645" s="3">
        <v>161.5</v>
      </c>
      <c r="M645" s="3">
        <v>169.58</v>
      </c>
      <c r="N645" s="3">
        <v>339</v>
      </c>
      <c r="O645" s="2" t="s">
        <v>95</v>
      </c>
      <c r="P645" s="2" t="s">
        <v>134</v>
      </c>
      <c r="Q645" s="2" t="s">
        <v>97</v>
      </c>
      <c r="R645" s="2" t="s">
        <v>98</v>
      </c>
      <c r="S645" s="2" t="s">
        <v>3496</v>
      </c>
      <c r="T645" s="2" t="s">
        <v>98</v>
      </c>
      <c r="U645" s="2" t="s">
        <v>98</v>
      </c>
      <c r="V645" s="2" t="s">
        <v>439</v>
      </c>
      <c r="W645" s="2" t="s">
        <v>963</v>
      </c>
      <c r="X645" s="2" t="s">
        <v>98</v>
      </c>
      <c r="Y645" s="2" t="s">
        <v>366</v>
      </c>
      <c r="Z645" s="4">
        <v>167</v>
      </c>
      <c r="AA645" s="4">
        <f>=ROUNDDOWN(20.875,0)</f>
      </c>
      <c r="AB645" s="5">
        <v>8</v>
      </c>
      <c r="AC645" s="2" t="s">
        <v>1562</v>
      </c>
      <c r="AD645" s="4">
        <v>100</v>
      </c>
      <c r="AE645" s="4">
        <v>200</v>
      </c>
      <c r="AF645" s="6">
        <v>65</v>
      </c>
      <c r="AG645" s="6">
        <v>48</v>
      </c>
      <c r="AH645" s="7">
        <v>1</v>
      </c>
      <c r="AI645" s="4"/>
      <c r="AJ645" s="4">
        <f>=ROUNDDOWN({0},0)</f>
      </c>
      <c r="AK645" s="5"/>
      <c r="AL645" s="2" t="s">
        <v>98</v>
      </c>
      <c r="AM645" s="4"/>
      <c r="AN645" s="4"/>
      <c r="AO645" s="7">
        <v>0</v>
      </c>
      <c r="AP645" s="4"/>
      <c r="AQ645" s="8"/>
      <c r="AR645" s="4">
        <v>3</v>
      </c>
      <c r="AS645" s="8">
        <v>521.07</v>
      </c>
      <c r="AT645" s="7">
        <v>-1</v>
      </c>
      <c r="AU645" s="7">
        <v>-1</v>
      </c>
      <c r="AV645" s="4"/>
      <c r="AW645" s="8"/>
      <c r="AX645" s="4">
        <v>3</v>
      </c>
      <c r="AY645" s="8">
        <v>521.07</v>
      </c>
      <c r="AZ645" s="7">
        <v>-1</v>
      </c>
      <c r="BA645" s="7">
        <v>-1</v>
      </c>
      <c r="BB645" s="7"/>
      <c r="BC645" s="4" t="s">
        <v>98</v>
      </c>
      <c r="BD645" s="8" t="s">
        <v>98</v>
      </c>
      <c r="BE645" s="4" t="s">
        <v>98</v>
      </c>
      <c r="BF645" s="8" t="s">
        <v>98</v>
      </c>
      <c r="BG645" s="7" t="s">
        <v>98</v>
      </c>
      <c r="BH645" s="7" t="s">
        <v>98</v>
      </c>
      <c r="BI645" s="7"/>
      <c r="BJ645" s="4">
        <v>3</v>
      </c>
      <c r="BK645" s="8">
        <v>470.55</v>
      </c>
      <c r="BL645" s="2" t="s">
        <v>1487</v>
      </c>
      <c r="BM645" s="7"/>
      <c r="BN645" s="7"/>
      <c r="BO645" s="4"/>
      <c r="BP645" s="8"/>
      <c r="BQ645" s="4">
        <v>3</v>
      </c>
      <c r="BR645" s="8">
        <v>521.07</v>
      </c>
      <c r="BS645" s="7">
        <v>-1</v>
      </c>
      <c r="BT645" s="7">
        <v>-1</v>
      </c>
      <c r="BU645" s="2" t="s">
        <v>107</v>
      </c>
      <c r="BV645" s="2" t="s">
        <v>1355</v>
      </c>
      <c r="BW645" s="2" t="s">
        <v>1356</v>
      </c>
      <c r="BX645" s="2" t="s">
        <v>3497</v>
      </c>
      <c r="BY645" s="2" t="s">
        <v>110</v>
      </c>
      <c r="BZ645" s="2" t="s">
        <v>98</v>
      </c>
    </row>
    <row r="646">
      <c r="A646" s="2" t="s">
        <v>3498</v>
      </c>
      <c r="B646" s="2" t="s">
        <v>1345</v>
      </c>
      <c r="C646" s="2" t="s">
        <v>952</v>
      </c>
      <c r="D646" s="2" t="s">
        <v>1346</v>
      </c>
      <c r="E646" s="2" t="s">
        <v>1347</v>
      </c>
      <c r="F646" s="2" t="s">
        <v>3485</v>
      </c>
      <c r="G646" s="2" t="s">
        <v>98</v>
      </c>
      <c r="H646" s="2" t="s">
        <v>98</v>
      </c>
      <c r="I646" s="2" t="s">
        <v>3486</v>
      </c>
      <c r="J646" s="2" t="s">
        <v>93</v>
      </c>
      <c r="K646" s="2" t="s">
        <v>1816</v>
      </c>
      <c r="L646" s="3">
        <v>161.5</v>
      </c>
      <c r="M646" s="3">
        <v>169.58</v>
      </c>
      <c r="N646" s="3">
        <v>339</v>
      </c>
      <c r="O646" s="2" t="s">
        <v>95</v>
      </c>
      <c r="P646" s="2" t="s">
        <v>134</v>
      </c>
      <c r="Q646" s="2" t="s">
        <v>97</v>
      </c>
      <c r="R646" s="2" t="s">
        <v>98</v>
      </c>
      <c r="S646" s="2" t="s">
        <v>3499</v>
      </c>
      <c r="T646" s="2" t="s">
        <v>98</v>
      </c>
      <c r="U646" s="2" t="s">
        <v>98</v>
      </c>
      <c r="V646" s="2" t="s">
        <v>439</v>
      </c>
      <c r="W646" s="2" t="s">
        <v>963</v>
      </c>
      <c r="X646" s="2" t="s">
        <v>98</v>
      </c>
      <c r="Y646" s="2" t="s">
        <v>366</v>
      </c>
      <c r="Z646" s="4">
        <v>221</v>
      </c>
      <c r="AA646" s="4">
        <f>=ROUNDDOWN(11.6315789473684,0)</f>
      </c>
      <c r="AB646" s="5">
        <v>19</v>
      </c>
      <c r="AC646" s="2" t="s">
        <v>222</v>
      </c>
      <c r="AD646" s="4">
        <v>100</v>
      </c>
      <c r="AE646" s="4">
        <v>100</v>
      </c>
      <c r="AF646" s="6">
        <v>65</v>
      </c>
      <c r="AG646" s="6">
        <v>48</v>
      </c>
      <c r="AH646" s="7">
        <v>1</v>
      </c>
      <c r="AI646" s="4"/>
      <c r="AJ646" s="4">
        <f>=ROUNDDOWN({0},0)</f>
      </c>
      <c r="AK646" s="5"/>
      <c r="AL646" s="2" t="s">
        <v>2604</v>
      </c>
      <c r="AM646" s="4">
        <v>150</v>
      </c>
      <c r="AN646" s="4">
        <v>150</v>
      </c>
      <c r="AO646" s="7">
        <v>0</v>
      </c>
      <c r="AP646" s="4"/>
      <c r="AQ646" s="8"/>
      <c r="AR646" s="4">
        <v>2</v>
      </c>
      <c r="AS646" s="8">
        <v>347.38</v>
      </c>
      <c r="AT646" s="7">
        <v>-1</v>
      </c>
      <c r="AU646" s="7">
        <v>-1</v>
      </c>
      <c r="AV646" s="4"/>
      <c r="AW646" s="8"/>
      <c r="AX646" s="4">
        <v>2</v>
      </c>
      <c r="AY646" s="8">
        <v>347.38</v>
      </c>
      <c r="AZ646" s="7">
        <v>-1</v>
      </c>
      <c r="BA646" s="7">
        <v>-1</v>
      </c>
      <c r="BB646" s="7"/>
      <c r="BC646" s="4" t="s">
        <v>98</v>
      </c>
      <c r="BD646" s="8" t="s">
        <v>98</v>
      </c>
      <c r="BE646" s="4" t="s">
        <v>98</v>
      </c>
      <c r="BF646" s="8" t="s">
        <v>98</v>
      </c>
      <c r="BG646" s="7" t="s">
        <v>98</v>
      </c>
      <c r="BH646" s="7" t="s">
        <v>98</v>
      </c>
      <c r="BI646" s="7"/>
      <c r="BJ646" s="4">
        <v>3</v>
      </c>
      <c r="BK646" s="8">
        <v>526.02</v>
      </c>
      <c r="BL646" s="2" t="s">
        <v>3500</v>
      </c>
      <c r="BM646" s="7"/>
      <c r="BN646" s="7"/>
      <c r="BO646" s="4"/>
      <c r="BP646" s="8"/>
      <c r="BQ646" s="4">
        <v>2</v>
      </c>
      <c r="BR646" s="8">
        <v>347.38</v>
      </c>
      <c r="BS646" s="7">
        <v>-1</v>
      </c>
      <c r="BT646" s="7">
        <v>-1</v>
      </c>
      <c r="BU646" s="2" t="s">
        <v>107</v>
      </c>
      <c r="BV646" s="2" t="s">
        <v>1355</v>
      </c>
      <c r="BW646" s="2" t="s">
        <v>1356</v>
      </c>
      <c r="BX646" s="2" t="s">
        <v>3501</v>
      </c>
      <c r="BY646" s="2" t="s">
        <v>110</v>
      </c>
      <c r="BZ646" s="2" t="s">
        <v>98</v>
      </c>
    </row>
    <row r="647">
      <c r="A647" s="2" t="s">
        <v>3502</v>
      </c>
      <c r="B647" s="2" t="s">
        <v>1345</v>
      </c>
      <c r="C647" s="2" t="s">
        <v>952</v>
      </c>
      <c r="D647" s="2" t="s">
        <v>1346</v>
      </c>
      <c r="E647" s="2" t="s">
        <v>1347</v>
      </c>
      <c r="F647" s="2" t="s">
        <v>3503</v>
      </c>
      <c r="G647" s="2" t="s">
        <v>3503</v>
      </c>
      <c r="H647" s="2" t="s">
        <v>3503</v>
      </c>
      <c r="I647" s="2" t="s">
        <v>1432</v>
      </c>
      <c r="J647" s="2" t="s">
        <v>93</v>
      </c>
      <c r="K647" s="2" t="s">
        <v>1052</v>
      </c>
      <c r="L647" s="3">
        <v>226.1</v>
      </c>
      <c r="M647" s="3">
        <v>237.4</v>
      </c>
      <c r="N647" s="3">
        <v>479</v>
      </c>
      <c r="O647" s="2" t="s">
        <v>95</v>
      </c>
      <c r="P647" s="2" t="s">
        <v>134</v>
      </c>
      <c r="Q647" s="2" t="s">
        <v>97</v>
      </c>
      <c r="R647" s="2" t="s">
        <v>98</v>
      </c>
      <c r="S647" s="2" t="s">
        <v>3504</v>
      </c>
      <c r="T647" s="2" t="s">
        <v>98</v>
      </c>
      <c r="U647" s="2" t="s">
        <v>98</v>
      </c>
      <c r="V647" s="2" t="s">
        <v>439</v>
      </c>
      <c r="W647" s="2" t="s">
        <v>968</v>
      </c>
      <c r="X647" s="2" t="s">
        <v>98</v>
      </c>
      <c r="Y647" s="2" t="s">
        <v>3505</v>
      </c>
      <c r="Z647" s="4"/>
      <c r="AA647" s="4">
        <f>=ROUNDDOWN({0},0)</f>
      </c>
      <c r="AB647" s="5">
        <v>5.2</v>
      </c>
      <c r="AC647" s="2" t="s">
        <v>1533</v>
      </c>
      <c r="AD647" s="4">
        <v>172</v>
      </c>
      <c r="AE647" s="4">
        <v>172</v>
      </c>
      <c r="AF647" s="6">
        <v>65</v>
      </c>
      <c r="AG647" s="6"/>
      <c r="AH647" s="7">
        <v>0.4286</v>
      </c>
      <c r="AI647" s="4"/>
      <c r="AJ647" s="4">
        <f>=ROUNDDOWN({0},0)</f>
      </c>
      <c r="AK647" s="5"/>
      <c r="AL647" s="2" t="s">
        <v>98</v>
      </c>
      <c r="AM647" s="4"/>
      <c r="AN647" s="4"/>
      <c r="AO647" s="7">
        <v>0</v>
      </c>
      <c r="AP647" s="4">
        <v>1</v>
      </c>
      <c r="AQ647" s="8">
        <v>222.9</v>
      </c>
      <c r="AR647" s="4">
        <v>2</v>
      </c>
      <c r="AS647" s="8">
        <v>445.8</v>
      </c>
      <c r="AT647" s="7">
        <v>-0.5</v>
      </c>
      <c r="AU647" s="7">
        <v>-0.5</v>
      </c>
      <c r="AV647" s="4">
        <v>1</v>
      </c>
      <c r="AW647" s="8">
        <v>222.9</v>
      </c>
      <c r="AX647" s="4">
        <v>2</v>
      </c>
      <c r="AY647" s="8">
        <v>445.8</v>
      </c>
      <c r="AZ647" s="7">
        <v>-0.5</v>
      </c>
      <c r="BA647" s="7">
        <v>-0.5</v>
      </c>
      <c r="BB647" s="7">
        <v>1</v>
      </c>
      <c r="BC647" s="4">
        <v>1</v>
      </c>
      <c r="BD647" s="8">
        <v>222.9</v>
      </c>
      <c r="BE647" s="4">
        <v>2</v>
      </c>
      <c r="BF647" s="8">
        <v>445.8</v>
      </c>
      <c r="BG647" s="7">
        <v>-0.5</v>
      </c>
      <c r="BH647" s="7">
        <v>-0.5</v>
      </c>
      <c r="BI647" s="7">
        <v>1</v>
      </c>
      <c r="BJ647" s="4">
        <v>1</v>
      </c>
      <c r="BK647" s="8">
        <v>222.9</v>
      </c>
      <c r="BL647" s="2" t="s">
        <v>1387</v>
      </c>
      <c r="BM647" s="7">
        <v>1</v>
      </c>
      <c r="BN647" s="7">
        <v>1</v>
      </c>
      <c r="BO647" s="4">
        <v>1</v>
      </c>
      <c r="BP647" s="8">
        <v>222.9</v>
      </c>
      <c r="BQ647" s="4">
        <v>2</v>
      </c>
      <c r="BR647" s="8">
        <v>445.8</v>
      </c>
      <c r="BS647" s="7">
        <v>-0.5</v>
      </c>
      <c r="BT647" s="7">
        <v>-0.5</v>
      </c>
      <c r="BU647" s="2" t="s">
        <v>107</v>
      </c>
      <c r="BV647" s="2" t="s">
        <v>1355</v>
      </c>
      <c r="BW647" s="2" t="s">
        <v>1454</v>
      </c>
      <c r="BX647" s="2" t="s">
        <v>3506</v>
      </c>
      <c r="BY647" s="2" t="s">
        <v>110</v>
      </c>
      <c r="BZ647" s="2" t="s">
        <v>98</v>
      </c>
    </row>
    <row r="648">
      <c r="A648" s="2" t="s">
        <v>3507</v>
      </c>
      <c r="B648" s="2" t="s">
        <v>1345</v>
      </c>
      <c r="C648" s="2" t="s">
        <v>952</v>
      </c>
      <c r="D648" s="2" t="s">
        <v>1346</v>
      </c>
      <c r="E648" s="2" t="s">
        <v>1347</v>
      </c>
      <c r="F648" s="2" t="s">
        <v>3508</v>
      </c>
      <c r="G648" s="2" t="s">
        <v>3508</v>
      </c>
      <c r="H648" s="2" t="s">
        <v>98</v>
      </c>
      <c r="I648" s="2" t="s">
        <v>1432</v>
      </c>
      <c r="J648" s="2" t="s">
        <v>93</v>
      </c>
      <c r="K648" s="2" t="s">
        <v>3509</v>
      </c>
      <c r="L648" s="3">
        <v>194.75</v>
      </c>
      <c r="M648" s="3">
        <v>204.49</v>
      </c>
      <c r="N648" s="3">
        <v>409</v>
      </c>
      <c r="O648" s="2" t="s">
        <v>95</v>
      </c>
      <c r="P648" s="2" t="s">
        <v>142</v>
      </c>
      <c r="Q648" s="2" t="s">
        <v>97</v>
      </c>
      <c r="R648" s="2" t="s">
        <v>98</v>
      </c>
      <c r="S648" s="2" t="s">
        <v>3510</v>
      </c>
      <c r="T648" s="2" t="s">
        <v>98</v>
      </c>
      <c r="U648" s="2" t="s">
        <v>98</v>
      </c>
      <c r="V648" s="2" t="s">
        <v>439</v>
      </c>
      <c r="W648" s="2" t="s">
        <v>314</v>
      </c>
      <c r="X648" s="2" t="s">
        <v>98</v>
      </c>
      <c r="Y648" s="2" t="s">
        <v>366</v>
      </c>
      <c r="Z648" s="4">
        <v>66</v>
      </c>
      <c r="AA648" s="4">
        <f>=ROUNDDOWN(16.5,0)</f>
      </c>
      <c r="AB648" s="5">
        <v>4</v>
      </c>
      <c r="AC648" s="2" t="s">
        <v>177</v>
      </c>
      <c r="AD648" s="4">
        <v>102</v>
      </c>
      <c r="AE648" s="4">
        <v>102</v>
      </c>
      <c r="AF648" s="6">
        <v>65</v>
      </c>
      <c r="AG648" s="6">
        <v>48</v>
      </c>
      <c r="AH648" s="7">
        <v>1</v>
      </c>
      <c r="AI648" s="4"/>
      <c r="AJ648" s="4">
        <f>=ROUNDDOWN({0},0)</f>
      </c>
      <c r="AK648" s="5"/>
      <c r="AL648" s="2" t="s">
        <v>98</v>
      </c>
      <c r="AM648" s="4"/>
      <c r="AN648" s="4"/>
      <c r="AO648" s="7">
        <v>0</v>
      </c>
      <c r="AP648" s="4">
        <v>1</v>
      </c>
      <c r="AQ648" s="8">
        <v>190.66</v>
      </c>
      <c r="AR648" s="4"/>
      <c r="AS648" s="8"/>
      <c r="AT648" s="7"/>
      <c r="AU648" s="7"/>
      <c r="AV648" s="4">
        <v>1</v>
      </c>
      <c r="AW648" s="8">
        <v>190.66</v>
      </c>
      <c r="AX648" s="4"/>
      <c r="AY648" s="8"/>
      <c r="AZ648" s="7"/>
      <c r="BA648" s="7"/>
      <c r="BB648" s="7">
        <v>1</v>
      </c>
      <c r="BC648" s="4">
        <v>1</v>
      </c>
      <c r="BD648" s="8">
        <v>190.66</v>
      </c>
      <c r="BE648" s="4">
        <v>1</v>
      </c>
      <c r="BF648" s="8">
        <v>190.66</v>
      </c>
      <c r="BG648" s="7" t="s">
        <v>98</v>
      </c>
      <c r="BH648" s="7" t="s">
        <v>98</v>
      </c>
      <c r="BI648" s="7">
        <v>1</v>
      </c>
      <c r="BJ648" s="4">
        <v>1</v>
      </c>
      <c r="BK648" s="8">
        <v>190.66</v>
      </c>
      <c r="BL648" s="2" t="s">
        <v>3511</v>
      </c>
      <c r="BM648" s="7">
        <v>1</v>
      </c>
      <c r="BN648" s="7">
        <v>1</v>
      </c>
      <c r="BO648" s="4">
        <v>1</v>
      </c>
      <c r="BP648" s="8">
        <v>190.66</v>
      </c>
      <c r="BQ648" s="4"/>
      <c r="BR648" s="8"/>
      <c r="BS648" s="7"/>
      <c r="BT648" s="7"/>
      <c r="BU648" s="2" t="s">
        <v>107</v>
      </c>
      <c r="BV648" s="2" t="s">
        <v>1355</v>
      </c>
      <c r="BW648" s="2" t="s">
        <v>250</v>
      </c>
      <c r="BX648" s="2" t="s">
        <v>989</v>
      </c>
      <c r="BY648" s="2" t="s">
        <v>110</v>
      </c>
      <c r="BZ648" s="2" t="s">
        <v>98</v>
      </c>
    </row>
    <row r="649">
      <c r="A649" s="2" t="s">
        <v>3512</v>
      </c>
      <c r="B649" s="2" t="s">
        <v>1345</v>
      </c>
      <c r="C649" s="2" t="s">
        <v>952</v>
      </c>
      <c r="D649" s="2" t="s">
        <v>1346</v>
      </c>
      <c r="E649" s="2" t="s">
        <v>1347</v>
      </c>
      <c r="F649" s="2" t="s">
        <v>3508</v>
      </c>
      <c r="G649" s="2" t="s">
        <v>3508</v>
      </c>
      <c r="H649" s="2" t="s">
        <v>98</v>
      </c>
      <c r="I649" s="2" t="s">
        <v>1432</v>
      </c>
      <c r="J649" s="2" t="s">
        <v>93</v>
      </c>
      <c r="K649" s="2" t="s">
        <v>133</v>
      </c>
      <c r="L649" s="3">
        <v>194.75</v>
      </c>
      <c r="M649" s="3">
        <v>204.49</v>
      </c>
      <c r="N649" s="3">
        <v>409</v>
      </c>
      <c r="O649" s="2" t="s">
        <v>155</v>
      </c>
      <c r="P649" s="2" t="s">
        <v>115</v>
      </c>
      <c r="Q649" s="2" t="s">
        <v>97</v>
      </c>
      <c r="R649" s="2" t="s">
        <v>98</v>
      </c>
      <c r="S649" s="2" t="s">
        <v>3510</v>
      </c>
      <c r="T649" s="2" t="s">
        <v>98</v>
      </c>
      <c r="U649" s="2" t="s">
        <v>98</v>
      </c>
      <c r="V649" s="2" t="s">
        <v>439</v>
      </c>
      <c r="W649" s="2" t="s">
        <v>968</v>
      </c>
      <c r="X649" s="2" t="s">
        <v>98</v>
      </c>
      <c r="Y649" s="2" t="s">
        <v>3513</v>
      </c>
      <c r="Z649" s="4"/>
      <c r="AA649" s="4">
        <f>=ROUNDDOWN({0},0)</f>
      </c>
      <c r="AB649" s="5"/>
      <c r="AC649" s="2" t="s">
        <v>98</v>
      </c>
      <c r="AD649" s="4"/>
      <c r="AE649" s="4"/>
      <c r="AF649" s="6">
        <v>65</v>
      </c>
      <c r="AG649" s="6">
        <v>48</v>
      </c>
      <c r="AH649" s="7">
        <v>0</v>
      </c>
      <c r="AI649" s="4"/>
      <c r="AJ649" s="4">
        <f>=ROUNDDOWN({0},0)</f>
      </c>
      <c r="AK649" s="5"/>
      <c r="AL649" s="2" t="s">
        <v>98</v>
      </c>
      <c r="AM649" s="4"/>
      <c r="AN649" s="4"/>
      <c r="AO649" s="7">
        <v>0</v>
      </c>
      <c r="AP649" s="4"/>
      <c r="AQ649" s="8"/>
      <c r="AR649" s="4">
        <v>1</v>
      </c>
      <c r="AS649" s="8">
        <v>190.66</v>
      </c>
      <c r="AT649" s="7">
        <v>-1</v>
      </c>
      <c r="AU649" s="7">
        <v>-1</v>
      </c>
      <c r="AV649" s="4"/>
      <c r="AW649" s="8"/>
      <c r="AX649" s="4">
        <v>1</v>
      </c>
      <c r="AY649" s="8">
        <v>190.66</v>
      </c>
      <c r="AZ649" s="7">
        <v>-1</v>
      </c>
      <c r="BA649" s="7">
        <v>-1</v>
      </c>
      <c r="BB649" s="7"/>
      <c r="BC649" s="4" t="s">
        <v>98</v>
      </c>
      <c r="BD649" s="8" t="s">
        <v>98</v>
      </c>
      <c r="BE649" s="4" t="s">
        <v>98</v>
      </c>
      <c r="BF649" s="8" t="s">
        <v>98</v>
      </c>
      <c r="BG649" s="7" t="s">
        <v>98</v>
      </c>
      <c r="BH649" s="7" t="s">
        <v>98</v>
      </c>
      <c r="BI649" s="7"/>
      <c r="BJ649" s="4"/>
      <c r="BK649" s="8"/>
      <c r="BL649" s="2" t="s">
        <v>3514</v>
      </c>
      <c r="BM649" s="7"/>
      <c r="BN649" s="7"/>
      <c r="BO649" s="4"/>
      <c r="BP649" s="8"/>
      <c r="BQ649" s="4">
        <v>1</v>
      </c>
      <c r="BR649" s="8">
        <v>190.66</v>
      </c>
      <c r="BS649" s="7">
        <v>-1</v>
      </c>
      <c r="BT649" s="7">
        <v>-1</v>
      </c>
      <c r="BU649" s="2" t="s">
        <v>107</v>
      </c>
      <c r="BV649" s="2" t="s">
        <v>1355</v>
      </c>
      <c r="BW649" s="2" t="s">
        <v>1472</v>
      </c>
      <c r="BX649" s="2" t="s">
        <v>3515</v>
      </c>
      <c r="BY649" s="2" t="s">
        <v>110</v>
      </c>
      <c r="BZ649" s="2" t="s">
        <v>98</v>
      </c>
    </row>
    <row r="650">
      <c r="A650" s="2" t="s">
        <v>3516</v>
      </c>
      <c r="B650" s="2" t="s">
        <v>1345</v>
      </c>
      <c r="C650" s="2" t="s">
        <v>952</v>
      </c>
      <c r="D650" s="2" t="s">
        <v>1346</v>
      </c>
      <c r="E650" s="2" t="s">
        <v>1347</v>
      </c>
      <c r="F650" s="2" t="s">
        <v>3517</v>
      </c>
      <c r="G650" s="2" t="s">
        <v>3517</v>
      </c>
      <c r="H650" s="2" t="s">
        <v>3517</v>
      </c>
      <c r="I650" s="2" t="s">
        <v>1432</v>
      </c>
      <c r="J650" s="2" t="s">
        <v>93</v>
      </c>
      <c r="K650" s="2" t="s">
        <v>1052</v>
      </c>
      <c r="L650" s="3">
        <v>225</v>
      </c>
      <c r="M650" s="3">
        <v>236.25</v>
      </c>
      <c r="N650" s="3">
        <v>479</v>
      </c>
      <c r="O650" s="2" t="s">
        <v>95</v>
      </c>
      <c r="P650" s="2" t="s">
        <v>142</v>
      </c>
      <c r="Q650" s="2" t="s">
        <v>97</v>
      </c>
      <c r="R650" s="2" t="s">
        <v>98</v>
      </c>
      <c r="S650" s="2" t="s">
        <v>3518</v>
      </c>
      <c r="T650" s="2" t="s">
        <v>98</v>
      </c>
      <c r="U650" s="2" t="s">
        <v>98</v>
      </c>
      <c r="V650" s="2" t="s">
        <v>439</v>
      </c>
      <c r="W650" s="2" t="s">
        <v>968</v>
      </c>
      <c r="X650" s="2" t="s">
        <v>98</v>
      </c>
      <c r="Y650" s="2" t="s">
        <v>2268</v>
      </c>
      <c r="Z650" s="4">
        <v>172</v>
      </c>
      <c r="AA650" s="4">
        <f>=ROUNDDOWN(57.3333333333333,0)</f>
      </c>
      <c r="AB650" s="5">
        <v>3</v>
      </c>
      <c r="AC650" s="2" t="s">
        <v>98</v>
      </c>
      <c r="AD650" s="4"/>
      <c r="AE650" s="4"/>
      <c r="AF650" s="6">
        <v>65</v>
      </c>
      <c r="AG650" s="6">
        <v>48</v>
      </c>
      <c r="AH650" s="7">
        <v>1</v>
      </c>
      <c r="AI650" s="4"/>
      <c r="AJ650" s="4">
        <f>=ROUNDDOWN({0},0)</f>
      </c>
      <c r="AK650" s="5"/>
      <c r="AL650" s="2" t="s">
        <v>98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/>
      <c r="AW650" s="8"/>
      <c r="AX650" s="4"/>
      <c r="AY650" s="8"/>
      <c r="AZ650" s="7"/>
      <c r="BA650" s="7"/>
      <c r="BB650" s="7"/>
      <c r="BC650" s="4" t="s">
        <v>98</v>
      </c>
      <c r="BD650" s="8" t="s">
        <v>98</v>
      </c>
      <c r="BE650" s="4" t="s">
        <v>98</v>
      </c>
      <c r="BF650" s="8" t="s">
        <v>98</v>
      </c>
      <c r="BG650" s="7" t="s">
        <v>98</v>
      </c>
      <c r="BH650" s="7" t="s">
        <v>98</v>
      </c>
      <c r="BI650" s="7"/>
      <c r="BJ650" s="4">
        <v>2</v>
      </c>
      <c r="BK650" s="8">
        <v>476.3</v>
      </c>
      <c r="BL650" s="2" t="s">
        <v>3519</v>
      </c>
      <c r="BM650" s="7"/>
      <c r="BN650" s="7"/>
      <c r="BO650" s="4"/>
      <c r="BP650" s="8"/>
      <c r="BQ650" s="4"/>
      <c r="BR650" s="8"/>
      <c r="BS650" s="7"/>
      <c r="BT650" s="7"/>
      <c r="BU650" s="2" t="s">
        <v>107</v>
      </c>
      <c r="BV650" s="2" t="s">
        <v>1355</v>
      </c>
      <c r="BW650" s="2" t="s">
        <v>1777</v>
      </c>
      <c r="BX650" s="2" t="s">
        <v>889</v>
      </c>
      <c r="BY650" s="2" t="s">
        <v>110</v>
      </c>
      <c r="BZ650" s="2" t="s">
        <v>98</v>
      </c>
    </row>
    <row r="651">
      <c r="A651" s="2" t="s">
        <v>3520</v>
      </c>
      <c r="B651" s="2" t="s">
        <v>1345</v>
      </c>
      <c r="C651" s="2" t="s">
        <v>952</v>
      </c>
      <c r="D651" s="2" t="s">
        <v>1346</v>
      </c>
      <c r="E651" s="2" t="s">
        <v>1347</v>
      </c>
      <c r="F651" s="2" t="s">
        <v>3517</v>
      </c>
      <c r="G651" s="2" t="s">
        <v>3517</v>
      </c>
      <c r="H651" s="2" t="s">
        <v>98</v>
      </c>
      <c r="I651" s="2" t="s">
        <v>1432</v>
      </c>
      <c r="J651" s="2" t="s">
        <v>93</v>
      </c>
      <c r="K651" s="2" t="s">
        <v>3521</v>
      </c>
      <c r="L651" s="3">
        <v>225</v>
      </c>
      <c r="M651" s="3">
        <v>236.25</v>
      </c>
      <c r="N651" s="3">
        <v>479</v>
      </c>
      <c r="O651" s="2" t="s">
        <v>95</v>
      </c>
      <c r="P651" s="2" t="s">
        <v>142</v>
      </c>
      <c r="Q651" s="2" t="s">
        <v>97</v>
      </c>
      <c r="R651" s="2" t="s">
        <v>98</v>
      </c>
      <c r="S651" s="2" t="s">
        <v>3522</v>
      </c>
      <c r="T651" s="2" t="s">
        <v>98</v>
      </c>
      <c r="U651" s="2" t="s">
        <v>98</v>
      </c>
      <c r="V651" s="2" t="s">
        <v>439</v>
      </c>
      <c r="W651" s="2" t="s">
        <v>963</v>
      </c>
      <c r="X651" s="2" t="s">
        <v>98</v>
      </c>
      <c r="Y651" s="2" t="s">
        <v>366</v>
      </c>
      <c r="Z651" s="4">
        <v>62</v>
      </c>
      <c r="AA651" s="4">
        <f>=ROUNDDOWN(20.6666666666667,0)</f>
      </c>
      <c r="AB651" s="5">
        <v>3</v>
      </c>
      <c r="AC651" s="2" t="s">
        <v>2222</v>
      </c>
      <c r="AD651" s="4">
        <v>100</v>
      </c>
      <c r="AE651" s="4">
        <v>100</v>
      </c>
      <c r="AF651" s="6">
        <v>65</v>
      </c>
      <c r="AG651" s="6">
        <v>48</v>
      </c>
      <c r="AH651" s="7">
        <v>1</v>
      </c>
      <c r="AI651" s="4"/>
      <c r="AJ651" s="4">
        <f>=ROUNDDOWN({0},0)</f>
      </c>
      <c r="AK651" s="5"/>
      <c r="AL651" s="2" t="s">
        <v>98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 t="s">
        <v>98</v>
      </c>
      <c r="BD651" s="8" t="s">
        <v>98</v>
      </c>
      <c r="BE651" s="4" t="s">
        <v>98</v>
      </c>
      <c r="BF651" s="8" t="s">
        <v>98</v>
      </c>
      <c r="BG651" s="7" t="s">
        <v>98</v>
      </c>
      <c r="BH651" s="7" t="s">
        <v>98</v>
      </c>
      <c r="BI651" s="7"/>
      <c r="BJ651" s="4"/>
      <c r="BK651" s="8"/>
      <c r="BL651" s="2" t="s">
        <v>895</v>
      </c>
      <c r="BM651" s="7"/>
      <c r="BN651" s="7"/>
      <c r="BO651" s="4"/>
      <c r="BP651" s="8"/>
      <c r="BQ651" s="4"/>
      <c r="BR651" s="8"/>
      <c r="BS651" s="7"/>
      <c r="BT651" s="7"/>
      <c r="BU651" s="2" t="s">
        <v>107</v>
      </c>
      <c r="BV651" s="2" t="s">
        <v>1355</v>
      </c>
      <c r="BW651" s="2" t="s">
        <v>2766</v>
      </c>
      <c r="BX651" s="2" t="s">
        <v>3523</v>
      </c>
      <c r="BY651" s="2" t="s">
        <v>110</v>
      </c>
      <c r="BZ651" s="2" t="s">
        <v>98</v>
      </c>
    </row>
    <row r="652">
      <c r="A652" s="2" t="s">
        <v>3524</v>
      </c>
      <c r="B652" s="2" t="s">
        <v>1345</v>
      </c>
      <c r="C652" s="2" t="s">
        <v>952</v>
      </c>
      <c r="D652" s="2" t="s">
        <v>1346</v>
      </c>
      <c r="E652" s="2" t="s">
        <v>1347</v>
      </c>
      <c r="F652" s="2" t="s">
        <v>3525</v>
      </c>
      <c r="G652" s="2" t="s">
        <v>3525</v>
      </c>
      <c r="H652" s="2" t="s">
        <v>3525</v>
      </c>
      <c r="I652" s="2" t="s">
        <v>1432</v>
      </c>
      <c r="J652" s="2" t="s">
        <v>93</v>
      </c>
      <c r="K652" s="2" t="s">
        <v>277</v>
      </c>
      <c r="L652" s="3">
        <v>261</v>
      </c>
      <c r="M652" s="3">
        <v>274.05</v>
      </c>
      <c r="N652" s="3">
        <v>549</v>
      </c>
      <c r="O652" s="2" t="s">
        <v>95</v>
      </c>
      <c r="P652" s="2" t="s">
        <v>134</v>
      </c>
      <c r="Q652" s="2" t="s">
        <v>97</v>
      </c>
      <c r="R652" s="2" t="s">
        <v>98</v>
      </c>
      <c r="S652" s="2" t="s">
        <v>3526</v>
      </c>
      <c r="T652" s="2" t="s">
        <v>98</v>
      </c>
      <c r="U652" s="2" t="s">
        <v>98</v>
      </c>
      <c r="V652" s="2" t="s">
        <v>439</v>
      </c>
      <c r="W652" s="2" t="s">
        <v>963</v>
      </c>
      <c r="X652" s="2" t="s">
        <v>98</v>
      </c>
      <c r="Y652" s="2" t="s">
        <v>3527</v>
      </c>
      <c r="Z652" s="4">
        <v>58</v>
      </c>
      <c r="AA652" s="4">
        <f>=ROUNDDOWN(19.3333333333333,0)</f>
      </c>
      <c r="AB652" s="5">
        <v>3</v>
      </c>
      <c r="AC652" s="2" t="s">
        <v>1353</v>
      </c>
      <c r="AD652" s="4">
        <v>186</v>
      </c>
      <c r="AE652" s="4">
        <v>200</v>
      </c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98</v>
      </c>
      <c r="AM652" s="4"/>
      <c r="AN652" s="4"/>
      <c r="AO652" s="7">
        <v>0</v>
      </c>
      <c r="AP652" s="4"/>
      <c r="AQ652" s="8"/>
      <c r="AR652" s="4">
        <v>2</v>
      </c>
      <c r="AS652" s="8">
        <v>571.24</v>
      </c>
      <c r="AT652" s="7">
        <v>-1</v>
      </c>
      <c r="AU652" s="7">
        <v>-1</v>
      </c>
      <c r="AV652" s="4"/>
      <c r="AW652" s="8"/>
      <c r="AX652" s="4">
        <v>2</v>
      </c>
      <c r="AY652" s="8">
        <v>571.24</v>
      </c>
      <c r="AZ652" s="7">
        <v>-1</v>
      </c>
      <c r="BA652" s="7">
        <v>-1</v>
      </c>
      <c r="BB652" s="7"/>
      <c r="BC652" s="4" t="s">
        <v>98</v>
      </c>
      <c r="BD652" s="8" t="s">
        <v>98</v>
      </c>
      <c r="BE652" s="4">
        <v>2</v>
      </c>
      <c r="BF652" s="8">
        <v>571.24</v>
      </c>
      <c r="BG652" s="7" t="s">
        <v>98</v>
      </c>
      <c r="BH652" s="7" t="s">
        <v>98</v>
      </c>
      <c r="BI652" s="7"/>
      <c r="BJ652" s="4"/>
      <c r="BK652" s="8"/>
      <c r="BL652" s="2" t="s">
        <v>1445</v>
      </c>
      <c r="BM652" s="7"/>
      <c r="BN652" s="7"/>
      <c r="BO652" s="4"/>
      <c r="BP652" s="8"/>
      <c r="BQ652" s="4">
        <v>2</v>
      </c>
      <c r="BR652" s="8">
        <v>571.24</v>
      </c>
      <c r="BS652" s="7">
        <v>-1</v>
      </c>
      <c r="BT652" s="7">
        <v>-1</v>
      </c>
      <c r="BU652" s="2" t="s">
        <v>107</v>
      </c>
      <c r="BV652" s="2" t="s">
        <v>1355</v>
      </c>
      <c r="BW652" s="2" t="s">
        <v>1356</v>
      </c>
      <c r="BX652" s="2" t="s">
        <v>2807</v>
      </c>
      <c r="BY652" s="2" t="s">
        <v>110</v>
      </c>
      <c r="BZ652" s="2" t="s">
        <v>98</v>
      </c>
    </row>
    <row r="653">
      <c r="A653" s="2" t="s">
        <v>3528</v>
      </c>
      <c r="B653" s="2" t="s">
        <v>1345</v>
      </c>
      <c r="C653" s="2" t="s">
        <v>952</v>
      </c>
      <c r="D653" s="2" t="s">
        <v>1346</v>
      </c>
      <c r="E653" s="2" t="s">
        <v>1347</v>
      </c>
      <c r="F653" s="2" t="s">
        <v>3525</v>
      </c>
      <c r="G653" s="2" t="s">
        <v>3525</v>
      </c>
      <c r="H653" s="2" t="s">
        <v>3525</v>
      </c>
      <c r="I653" s="2" t="s">
        <v>1432</v>
      </c>
      <c r="J653" s="2" t="s">
        <v>93</v>
      </c>
      <c r="K653" s="2" t="s">
        <v>1915</v>
      </c>
      <c r="L653" s="3">
        <v>261</v>
      </c>
      <c r="M653" s="3">
        <v>274.05</v>
      </c>
      <c r="N653" s="3">
        <v>549</v>
      </c>
      <c r="O653" s="2" t="s">
        <v>95</v>
      </c>
      <c r="P653" s="2" t="s">
        <v>134</v>
      </c>
      <c r="Q653" s="2" t="s">
        <v>97</v>
      </c>
      <c r="R653" s="2" t="s">
        <v>98</v>
      </c>
      <c r="S653" s="2" t="s">
        <v>3529</v>
      </c>
      <c r="T653" s="2" t="s">
        <v>98</v>
      </c>
      <c r="U653" s="2" t="s">
        <v>98</v>
      </c>
      <c r="V653" s="2" t="s">
        <v>439</v>
      </c>
      <c r="W653" s="2" t="s">
        <v>963</v>
      </c>
      <c r="X653" s="2" t="s">
        <v>98</v>
      </c>
      <c r="Y653" s="2" t="s">
        <v>366</v>
      </c>
      <c r="Z653" s="4">
        <v>163</v>
      </c>
      <c r="AA653" s="4">
        <f>=ROUNDDOWN(20.375,0)</f>
      </c>
      <c r="AB653" s="5">
        <v>8</v>
      </c>
      <c r="AC653" s="2" t="s">
        <v>1643</v>
      </c>
      <c r="AD653" s="4">
        <v>40</v>
      </c>
      <c r="AE653" s="4">
        <v>200</v>
      </c>
      <c r="AF653" s="6">
        <v>65</v>
      </c>
      <c r="AG653" s="6">
        <v>48</v>
      </c>
      <c r="AH653" s="7">
        <v>1</v>
      </c>
      <c r="AI653" s="4"/>
      <c r="AJ653" s="4">
        <f>=ROUNDDOWN({0},0)</f>
      </c>
      <c r="AK653" s="5"/>
      <c r="AL653" s="2" t="s">
        <v>98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 t="s">
        <v>98</v>
      </c>
      <c r="BD653" s="8" t="s">
        <v>98</v>
      </c>
      <c r="BE653" s="4" t="s">
        <v>98</v>
      </c>
      <c r="BF653" s="8" t="s">
        <v>98</v>
      </c>
      <c r="BG653" s="7" t="s">
        <v>98</v>
      </c>
      <c r="BH653" s="7" t="s">
        <v>98</v>
      </c>
      <c r="BI653" s="7"/>
      <c r="BJ653" s="4">
        <v>2</v>
      </c>
      <c r="BK653" s="8">
        <v>580.78</v>
      </c>
      <c r="BL653" s="2" t="s">
        <v>3530</v>
      </c>
      <c r="BM653" s="7"/>
      <c r="BN653" s="7"/>
      <c r="BO653" s="4"/>
      <c r="BP653" s="8"/>
      <c r="BQ653" s="4"/>
      <c r="BR653" s="8"/>
      <c r="BS653" s="7"/>
      <c r="BT653" s="7"/>
      <c r="BU653" s="2" t="s">
        <v>107</v>
      </c>
      <c r="BV653" s="2" t="s">
        <v>1355</v>
      </c>
      <c r="BW653" s="2" t="s">
        <v>1356</v>
      </c>
      <c r="BX653" s="2" t="s">
        <v>3531</v>
      </c>
      <c r="BY653" s="2" t="s">
        <v>110</v>
      </c>
      <c r="BZ653" s="2" t="s">
        <v>98</v>
      </c>
    </row>
    <row r="654">
      <c r="A654" s="2" t="s">
        <v>3532</v>
      </c>
      <c r="B654" s="2" t="s">
        <v>1345</v>
      </c>
      <c r="C654" s="2" t="s">
        <v>952</v>
      </c>
      <c r="D654" s="2" t="s">
        <v>1346</v>
      </c>
      <c r="E654" s="2" t="s">
        <v>1347</v>
      </c>
      <c r="F654" s="2" t="s">
        <v>3525</v>
      </c>
      <c r="G654" s="2" t="s">
        <v>3525</v>
      </c>
      <c r="H654" s="2" t="s">
        <v>3525</v>
      </c>
      <c r="I654" s="2" t="s">
        <v>1432</v>
      </c>
      <c r="J654" s="2" t="s">
        <v>93</v>
      </c>
      <c r="K654" s="2" t="s">
        <v>2139</v>
      </c>
      <c r="L654" s="3">
        <v>261</v>
      </c>
      <c r="M654" s="3">
        <v>274.05</v>
      </c>
      <c r="N654" s="3">
        <v>549</v>
      </c>
      <c r="O654" s="2" t="s">
        <v>95</v>
      </c>
      <c r="P654" s="2" t="s">
        <v>142</v>
      </c>
      <c r="Q654" s="2" t="s">
        <v>97</v>
      </c>
      <c r="R654" s="2" t="s">
        <v>98</v>
      </c>
      <c r="S654" s="2" t="s">
        <v>3533</v>
      </c>
      <c r="T654" s="2" t="s">
        <v>98</v>
      </c>
      <c r="U654" s="2" t="s">
        <v>98</v>
      </c>
      <c r="V654" s="2" t="s">
        <v>439</v>
      </c>
      <c r="W654" s="2" t="s">
        <v>963</v>
      </c>
      <c r="X654" s="2" t="s">
        <v>98</v>
      </c>
      <c r="Y654" s="2" t="s">
        <v>427</v>
      </c>
      <c r="Z654" s="4">
        <v>37</v>
      </c>
      <c r="AA654" s="4">
        <f>=ROUNDDOWN(7.11538461538462,0)</f>
      </c>
      <c r="AB654" s="5">
        <v>5.2</v>
      </c>
      <c r="AC654" s="2" t="s">
        <v>1457</v>
      </c>
      <c r="AD654" s="4">
        <v>6</v>
      </c>
      <c r="AE654" s="4">
        <v>6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98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 t="s">
        <v>98</v>
      </c>
      <c r="BD654" s="8" t="s">
        <v>98</v>
      </c>
      <c r="BE654" s="4" t="s">
        <v>98</v>
      </c>
      <c r="BF654" s="8" t="s">
        <v>98</v>
      </c>
      <c r="BG654" s="7" t="s">
        <v>98</v>
      </c>
      <c r="BH654" s="7" t="s">
        <v>98</v>
      </c>
      <c r="BI654" s="7"/>
      <c r="BJ654" s="4"/>
      <c r="BK654" s="8"/>
      <c r="BL654" s="2" t="s">
        <v>480</v>
      </c>
      <c r="BM654" s="7"/>
      <c r="BN654" s="7"/>
      <c r="BO654" s="4"/>
      <c r="BP654" s="8"/>
      <c r="BQ654" s="4"/>
      <c r="BR654" s="8"/>
      <c r="BS654" s="7"/>
      <c r="BT654" s="7"/>
      <c r="BU654" s="2" t="s">
        <v>107</v>
      </c>
      <c r="BV654" s="2" t="s">
        <v>1355</v>
      </c>
      <c r="BW654" s="2" t="s">
        <v>1777</v>
      </c>
      <c r="BX654" s="2" t="s">
        <v>3534</v>
      </c>
      <c r="BY654" s="2" t="s">
        <v>110</v>
      </c>
      <c r="BZ654" s="2" t="s">
        <v>98</v>
      </c>
    </row>
    <row r="655">
      <c r="A655" s="2" t="s">
        <v>3535</v>
      </c>
      <c r="B655" s="2" t="s">
        <v>1345</v>
      </c>
      <c r="C655" s="2" t="s">
        <v>952</v>
      </c>
      <c r="D655" s="2" t="s">
        <v>1346</v>
      </c>
      <c r="E655" s="2" t="s">
        <v>1347</v>
      </c>
      <c r="F655" s="2" t="s">
        <v>3536</v>
      </c>
      <c r="G655" s="2" t="s">
        <v>3536</v>
      </c>
      <c r="H655" s="2" t="s">
        <v>3536</v>
      </c>
      <c r="I655" s="2" t="s">
        <v>3537</v>
      </c>
      <c r="J655" s="2" t="s">
        <v>93</v>
      </c>
      <c r="K655" s="2" t="s">
        <v>133</v>
      </c>
      <c r="L655" s="3">
        <v>261.25</v>
      </c>
      <c r="M655" s="3">
        <v>274.31</v>
      </c>
      <c r="N655" s="3">
        <v>549</v>
      </c>
      <c r="O655" s="2" t="s">
        <v>95</v>
      </c>
      <c r="P655" s="2" t="s">
        <v>142</v>
      </c>
      <c r="Q655" s="2" t="s">
        <v>97</v>
      </c>
      <c r="R655" s="2" t="s">
        <v>98</v>
      </c>
      <c r="S655" s="2" t="s">
        <v>98</v>
      </c>
      <c r="T655" s="2" t="s">
        <v>98</v>
      </c>
      <c r="U655" s="2" t="s">
        <v>117</v>
      </c>
      <c r="V655" s="2" t="s">
        <v>439</v>
      </c>
      <c r="W655" s="2" t="s">
        <v>963</v>
      </c>
      <c r="X655" s="2" t="s">
        <v>102</v>
      </c>
      <c r="Y655" s="2" t="s">
        <v>3538</v>
      </c>
      <c r="Z655" s="4">
        <v>135</v>
      </c>
      <c r="AA655" s="4">
        <f>=ROUNDDOWN(27,0)</f>
      </c>
      <c r="AB655" s="5">
        <v>5</v>
      </c>
      <c r="AC655" s="2" t="s">
        <v>98</v>
      </c>
      <c r="AD655" s="4"/>
      <c r="AE655" s="4"/>
      <c r="AF655" s="6">
        <v>65</v>
      </c>
      <c r="AG655" s="6">
        <v>48</v>
      </c>
      <c r="AH655" s="7">
        <v>1</v>
      </c>
      <c r="AI655" s="4"/>
      <c r="AJ655" s="4">
        <f>=ROUNDDOWN({0},0)</f>
      </c>
      <c r="AK655" s="5"/>
      <c r="AL655" s="2" t="s">
        <v>98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 t="s">
        <v>98</v>
      </c>
      <c r="BD655" s="8" t="s">
        <v>98</v>
      </c>
      <c r="BE655" s="4">
        <v>2</v>
      </c>
      <c r="BF655" s="8">
        <v>595.36</v>
      </c>
      <c r="BG655" s="7" t="s">
        <v>98</v>
      </c>
      <c r="BH655" s="7" t="s">
        <v>98</v>
      </c>
      <c r="BI655" s="7"/>
      <c r="BJ655" s="4">
        <v>2</v>
      </c>
      <c r="BK655" s="8">
        <v>471.96</v>
      </c>
      <c r="BL655" s="2" t="s">
        <v>895</v>
      </c>
      <c r="BM655" s="7"/>
      <c r="BN655" s="7"/>
      <c r="BO655" s="4"/>
      <c r="BP655" s="8"/>
      <c r="BQ655" s="4"/>
      <c r="BR655" s="8"/>
      <c r="BS655" s="7"/>
      <c r="BT655" s="7"/>
      <c r="BU655" s="2" t="s">
        <v>1376</v>
      </c>
      <c r="BV655" s="2" t="s">
        <v>95</v>
      </c>
      <c r="BW655" s="2" t="s">
        <v>98</v>
      </c>
      <c r="BX655" s="2" t="s">
        <v>98</v>
      </c>
      <c r="BY655" s="2" t="s">
        <v>110</v>
      </c>
      <c r="BZ655" s="2" t="s">
        <v>98</v>
      </c>
    </row>
    <row r="656">
      <c r="A656" s="2" t="s">
        <v>3539</v>
      </c>
      <c r="B656" s="2" t="s">
        <v>1345</v>
      </c>
      <c r="C656" s="2" t="s">
        <v>952</v>
      </c>
      <c r="D656" s="2" t="s">
        <v>1346</v>
      </c>
      <c r="E656" s="2" t="s">
        <v>1347</v>
      </c>
      <c r="F656" s="2" t="s">
        <v>3536</v>
      </c>
      <c r="G656" s="2" t="s">
        <v>3536</v>
      </c>
      <c r="H656" s="2" t="s">
        <v>98</v>
      </c>
      <c r="I656" s="2" t="s">
        <v>3537</v>
      </c>
      <c r="J656" s="2" t="s">
        <v>93</v>
      </c>
      <c r="K656" s="2" t="s">
        <v>3540</v>
      </c>
      <c r="L656" s="3">
        <v>261.25</v>
      </c>
      <c r="M656" s="3">
        <v>274.31</v>
      </c>
      <c r="N656" s="3">
        <v>549</v>
      </c>
      <c r="O656" s="2" t="s">
        <v>95</v>
      </c>
      <c r="P656" s="2" t="s">
        <v>134</v>
      </c>
      <c r="Q656" s="2" t="s">
        <v>97</v>
      </c>
      <c r="R656" s="2" t="s">
        <v>98</v>
      </c>
      <c r="S656" s="2" t="s">
        <v>3541</v>
      </c>
      <c r="T656" s="2" t="s">
        <v>98</v>
      </c>
      <c r="U656" s="2" t="s">
        <v>98</v>
      </c>
      <c r="V656" s="2" t="s">
        <v>439</v>
      </c>
      <c r="W656" s="2" t="s">
        <v>119</v>
      </c>
      <c r="X656" s="2" t="s">
        <v>98</v>
      </c>
      <c r="Y656" s="2" t="s">
        <v>366</v>
      </c>
      <c r="Z656" s="4">
        <v>109</v>
      </c>
      <c r="AA656" s="4">
        <f>=ROUNDDOWN(10.9,0)</f>
      </c>
      <c r="AB656" s="5">
        <v>10</v>
      </c>
      <c r="AC656" s="2" t="s">
        <v>1516</v>
      </c>
      <c r="AD656" s="4">
        <v>92</v>
      </c>
      <c r="AE656" s="4">
        <v>375</v>
      </c>
      <c r="AF656" s="6">
        <v>65</v>
      </c>
      <c r="AG656" s="6">
        <v>48</v>
      </c>
      <c r="AH656" s="7">
        <v>1</v>
      </c>
      <c r="AI656" s="4"/>
      <c r="AJ656" s="4">
        <f>=ROUNDDOWN({0},0)</f>
      </c>
      <c r="AK656" s="5"/>
      <c r="AL656" s="2" t="s">
        <v>98</v>
      </c>
      <c r="AM656" s="4"/>
      <c r="AN656" s="4"/>
      <c r="AO656" s="7">
        <v>0</v>
      </c>
      <c r="AP656" s="4"/>
      <c r="AQ656" s="8"/>
      <c r="AR656" s="4">
        <v>2</v>
      </c>
      <c r="AS656" s="8">
        <v>595.36</v>
      </c>
      <c r="AT656" s="7">
        <v>-1</v>
      </c>
      <c r="AU656" s="7">
        <v>-1</v>
      </c>
      <c r="AV656" s="4"/>
      <c r="AW656" s="8"/>
      <c r="AX656" s="4">
        <v>2</v>
      </c>
      <c r="AY656" s="8">
        <v>595.36</v>
      </c>
      <c r="AZ656" s="7">
        <v>-1</v>
      </c>
      <c r="BA656" s="7">
        <v>-1</v>
      </c>
      <c r="BB656" s="7"/>
      <c r="BC656" s="4" t="s">
        <v>98</v>
      </c>
      <c r="BD656" s="8" t="s">
        <v>98</v>
      </c>
      <c r="BE656" s="4" t="s">
        <v>98</v>
      </c>
      <c r="BF656" s="8" t="s">
        <v>98</v>
      </c>
      <c r="BG656" s="7" t="s">
        <v>98</v>
      </c>
      <c r="BH656" s="7" t="s">
        <v>98</v>
      </c>
      <c r="BI656" s="7"/>
      <c r="BJ656" s="4">
        <v>3</v>
      </c>
      <c r="BK656" s="8">
        <v>854.72</v>
      </c>
      <c r="BL656" s="2" t="s">
        <v>3542</v>
      </c>
      <c r="BM656" s="7"/>
      <c r="BN656" s="7"/>
      <c r="BO656" s="4"/>
      <c r="BP656" s="8"/>
      <c r="BQ656" s="4">
        <v>2</v>
      </c>
      <c r="BR656" s="8">
        <v>595.36</v>
      </c>
      <c r="BS656" s="7">
        <v>-1</v>
      </c>
      <c r="BT656" s="7">
        <v>-1</v>
      </c>
      <c r="BU656" s="2" t="s">
        <v>107</v>
      </c>
      <c r="BV656" s="2" t="s">
        <v>1355</v>
      </c>
      <c r="BW656" s="2" t="s">
        <v>2766</v>
      </c>
      <c r="BX656" s="2" t="s">
        <v>3543</v>
      </c>
      <c r="BY656" s="2" t="s">
        <v>110</v>
      </c>
      <c r="BZ656" s="2" t="s">
        <v>98</v>
      </c>
    </row>
    <row r="657">
      <c r="A657" s="2" t="s">
        <v>3544</v>
      </c>
      <c r="B657" s="2" t="s">
        <v>1345</v>
      </c>
      <c r="C657" s="2" t="s">
        <v>952</v>
      </c>
      <c r="D657" s="2" t="s">
        <v>1346</v>
      </c>
      <c r="E657" s="2" t="s">
        <v>1347</v>
      </c>
      <c r="F657" s="2" t="s">
        <v>3545</v>
      </c>
      <c r="G657" s="2" t="s">
        <v>3545</v>
      </c>
      <c r="H657" s="2" t="s">
        <v>3545</v>
      </c>
      <c r="I657" s="2" t="s">
        <v>1432</v>
      </c>
      <c r="J657" s="2" t="s">
        <v>93</v>
      </c>
      <c r="K657" s="2" t="s">
        <v>133</v>
      </c>
      <c r="L657" s="3">
        <v>251.75</v>
      </c>
      <c r="M657" s="3">
        <v>264.34</v>
      </c>
      <c r="N657" s="3">
        <v>529</v>
      </c>
      <c r="O657" s="2" t="s">
        <v>95</v>
      </c>
      <c r="P657" s="2" t="s">
        <v>142</v>
      </c>
      <c r="Q657" s="2" t="s">
        <v>97</v>
      </c>
      <c r="R657" s="2" t="s">
        <v>98</v>
      </c>
      <c r="S657" s="2" t="s">
        <v>98</v>
      </c>
      <c r="T657" s="2" t="s">
        <v>98</v>
      </c>
      <c r="U657" s="2" t="s">
        <v>117</v>
      </c>
      <c r="V657" s="2" t="s">
        <v>439</v>
      </c>
      <c r="W657" s="2" t="s">
        <v>963</v>
      </c>
      <c r="X657" s="2" t="s">
        <v>98</v>
      </c>
      <c r="Y657" s="2" t="s">
        <v>3546</v>
      </c>
      <c r="Z657" s="4">
        <v>54</v>
      </c>
      <c r="AA657" s="4">
        <f>=ROUNDDOWN(13.1707317073171,0)</f>
      </c>
      <c r="AB657" s="5">
        <v>4.1</v>
      </c>
      <c r="AC657" s="2" t="s">
        <v>1088</v>
      </c>
      <c r="AD657" s="4">
        <v>100</v>
      </c>
      <c r="AE657" s="4">
        <v>100</v>
      </c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98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 t="s">
        <v>98</v>
      </c>
      <c r="BD657" s="8" t="s">
        <v>98</v>
      </c>
      <c r="BE657" s="4" t="s">
        <v>98</v>
      </c>
      <c r="BF657" s="8" t="s">
        <v>98</v>
      </c>
      <c r="BG657" s="7" t="s">
        <v>98</v>
      </c>
      <c r="BH657" s="7" t="s">
        <v>98</v>
      </c>
      <c r="BI657" s="7"/>
      <c r="BJ657" s="4">
        <v>3</v>
      </c>
      <c r="BK657" s="8">
        <v>625.11</v>
      </c>
      <c r="BL657" s="2" t="s">
        <v>1549</v>
      </c>
      <c r="BM657" s="7"/>
      <c r="BN657" s="7"/>
      <c r="BO657" s="4"/>
      <c r="BP657" s="8"/>
      <c r="BQ657" s="4"/>
      <c r="BR657" s="8"/>
      <c r="BS657" s="7"/>
      <c r="BT657" s="7"/>
      <c r="BU657" s="2" t="s">
        <v>107</v>
      </c>
      <c r="BV657" s="2" t="s">
        <v>1355</v>
      </c>
      <c r="BW657" s="2" t="s">
        <v>1454</v>
      </c>
      <c r="BX657" s="2" t="s">
        <v>221</v>
      </c>
      <c r="BY657" s="2" t="s">
        <v>110</v>
      </c>
      <c r="BZ657" s="2" t="s">
        <v>98</v>
      </c>
    </row>
    <row r="658">
      <c r="A658" s="2" t="s">
        <v>3547</v>
      </c>
      <c r="B658" s="2" t="s">
        <v>1345</v>
      </c>
      <c r="C658" s="2" t="s">
        <v>952</v>
      </c>
      <c r="D658" s="2" t="s">
        <v>1346</v>
      </c>
      <c r="E658" s="2" t="s">
        <v>1347</v>
      </c>
      <c r="F658" s="2" t="s">
        <v>3545</v>
      </c>
      <c r="G658" s="2" t="s">
        <v>3545</v>
      </c>
      <c r="H658" s="2" t="s">
        <v>3545</v>
      </c>
      <c r="I658" s="2" t="s">
        <v>1522</v>
      </c>
      <c r="J658" s="2" t="s">
        <v>93</v>
      </c>
      <c r="K658" s="2" t="s">
        <v>967</v>
      </c>
      <c r="L658" s="3">
        <v>251.75</v>
      </c>
      <c r="M658" s="3">
        <v>264.34</v>
      </c>
      <c r="N658" s="3">
        <v>529</v>
      </c>
      <c r="O658" s="2" t="s">
        <v>95</v>
      </c>
      <c r="P658" s="2" t="s">
        <v>134</v>
      </c>
      <c r="Q658" s="2" t="s">
        <v>97</v>
      </c>
      <c r="R658" s="2" t="s">
        <v>98</v>
      </c>
      <c r="S658" s="2" t="s">
        <v>98</v>
      </c>
      <c r="T658" s="2" t="s">
        <v>98</v>
      </c>
      <c r="U658" s="2" t="s">
        <v>117</v>
      </c>
      <c r="V658" s="2" t="s">
        <v>439</v>
      </c>
      <c r="W658" s="2" t="s">
        <v>102</v>
      </c>
      <c r="X658" s="2" t="s">
        <v>98</v>
      </c>
      <c r="Y658" s="2" t="s">
        <v>289</v>
      </c>
      <c r="Z658" s="4">
        <v>92</v>
      </c>
      <c r="AA658" s="4">
        <f>=ROUNDDOWN(83.6363636363636,0)</f>
      </c>
      <c r="AB658" s="5">
        <v>1.1</v>
      </c>
      <c r="AC658" s="2" t="s">
        <v>1757</v>
      </c>
      <c r="AD658" s="4">
        <v>92</v>
      </c>
      <c r="AE658" s="4">
        <v>92</v>
      </c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98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 t="s">
        <v>98</v>
      </c>
      <c r="BD658" s="8" t="s">
        <v>98</v>
      </c>
      <c r="BE658" s="4" t="s">
        <v>98</v>
      </c>
      <c r="BF658" s="8" t="s">
        <v>98</v>
      </c>
      <c r="BG658" s="7" t="s">
        <v>98</v>
      </c>
      <c r="BH658" s="7" t="s">
        <v>98</v>
      </c>
      <c r="BI658" s="7"/>
      <c r="BJ658" s="4"/>
      <c r="BK658" s="8"/>
      <c r="BL658" s="2" t="s">
        <v>269</v>
      </c>
      <c r="BM658" s="7"/>
      <c r="BN658" s="7"/>
      <c r="BO658" s="4"/>
      <c r="BP658" s="8"/>
      <c r="BQ658" s="4"/>
      <c r="BR658" s="8"/>
      <c r="BS658" s="7"/>
      <c r="BT658" s="7"/>
      <c r="BU658" s="2" t="s">
        <v>1376</v>
      </c>
      <c r="BV658" s="2" t="s">
        <v>95</v>
      </c>
      <c r="BW658" s="2" t="s">
        <v>98</v>
      </c>
      <c r="BX658" s="2" t="s">
        <v>98</v>
      </c>
      <c r="BY658" s="2" t="s">
        <v>110</v>
      </c>
      <c r="BZ658" s="2" t="s">
        <v>98</v>
      </c>
    </row>
    <row r="659">
      <c r="A659" s="2" t="s">
        <v>3548</v>
      </c>
      <c r="B659" s="2" t="s">
        <v>1345</v>
      </c>
      <c r="C659" s="2" t="s">
        <v>952</v>
      </c>
      <c r="D659" s="2" t="s">
        <v>1346</v>
      </c>
      <c r="E659" s="2" t="s">
        <v>1347</v>
      </c>
      <c r="F659" s="2" t="s">
        <v>3549</v>
      </c>
      <c r="G659" s="2" t="s">
        <v>3549</v>
      </c>
      <c r="H659" s="2" t="s">
        <v>3549</v>
      </c>
      <c r="I659" s="2" t="s">
        <v>1432</v>
      </c>
      <c r="J659" s="2" t="s">
        <v>93</v>
      </c>
      <c r="K659" s="2" t="s">
        <v>133</v>
      </c>
      <c r="L659" s="3">
        <v>209.95</v>
      </c>
      <c r="M659" s="3">
        <v>220.45</v>
      </c>
      <c r="N659" s="3">
        <v>439</v>
      </c>
      <c r="O659" s="2" t="s">
        <v>95</v>
      </c>
      <c r="P659" s="2" t="s">
        <v>134</v>
      </c>
      <c r="Q659" s="2" t="s">
        <v>97</v>
      </c>
      <c r="R659" s="2" t="s">
        <v>98</v>
      </c>
      <c r="S659" s="2" t="s">
        <v>3550</v>
      </c>
      <c r="T659" s="2" t="s">
        <v>98</v>
      </c>
      <c r="U659" s="2" t="s">
        <v>117</v>
      </c>
      <c r="V659" s="2" t="s">
        <v>439</v>
      </c>
      <c r="W659" s="2" t="s">
        <v>119</v>
      </c>
      <c r="X659" s="2" t="s">
        <v>98</v>
      </c>
      <c r="Y659" s="2" t="s">
        <v>366</v>
      </c>
      <c r="Z659" s="4">
        <v>30</v>
      </c>
      <c r="AA659" s="4">
        <f>=ROUNDDOWN(10,0)</f>
      </c>
      <c r="AB659" s="5">
        <v>3</v>
      </c>
      <c r="AC659" s="2" t="s">
        <v>222</v>
      </c>
      <c r="AD659" s="4">
        <v>148</v>
      </c>
      <c r="AE659" s="4">
        <v>148</v>
      </c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98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 t="s">
        <v>98</v>
      </c>
      <c r="BD659" s="8" t="s">
        <v>98</v>
      </c>
      <c r="BE659" s="4" t="s">
        <v>98</v>
      </c>
      <c r="BF659" s="8" t="s">
        <v>98</v>
      </c>
      <c r="BG659" s="7" t="s">
        <v>98</v>
      </c>
      <c r="BH659" s="7" t="s">
        <v>98</v>
      </c>
      <c r="BI659" s="7"/>
      <c r="BJ659" s="4">
        <v>2</v>
      </c>
      <c r="BK659" s="8">
        <v>382.74</v>
      </c>
      <c r="BL659" s="2" t="s">
        <v>1500</v>
      </c>
      <c r="BM659" s="7"/>
      <c r="BN659" s="7"/>
      <c r="BO659" s="4"/>
      <c r="BP659" s="8"/>
      <c r="BQ659" s="4"/>
      <c r="BR659" s="8"/>
      <c r="BS659" s="7"/>
      <c r="BT659" s="7"/>
      <c r="BU659" s="2" t="s">
        <v>107</v>
      </c>
      <c r="BV659" s="2" t="s">
        <v>1355</v>
      </c>
      <c r="BW659" s="2" t="s">
        <v>1356</v>
      </c>
      <c r="BX659" s="2" t="s">
        <v>3551</v>
      </c>
      <c r="BY659" s="2" t="s">
        <v>110</v>
      </c>
      <c r="BZ659" s="2" t="s">
        <v>98</v>
      </c>
    </row>
    <row r="660">
      <c r="A660" s="2" t="s">
        <v>3552</v>
      </c>
      <c r="B660" s="2" t="s">
        <v>1345</v>
      </c>
      <c r="C660" s="2" t="s">
        <v>952</v>
      </c>
      <c r="D660" s="2" t="s">
        <v>1346</v>
      </c>
      <c r="E660" s="2" t="s">
        <v>1347</v>
      </c>
      <c r="F660" s="2" t="s">
        <v>3549</v>
      </c>
      <c r="G660" s="2" t="s">
        <v>3549</v>
      </c>
      <c r="H660" s="2" t="s">
        <v>3549</v>
      </c>
      <c r="I660" s="2" t="s">
        <v>1432</v>
      </c>
      <c r="J660" s="2" t="s">
        <v>93</v>
      </c>
      <c r="K660" s="2" t="s">
        <v>127</v>
      </c>
      <c r="L660" s="3">
        <v>209.95</v>
      </c>
      <c r="M660" s="3">
        <v>220.45</v>
      </c>
      <c r="N660" s="3">
        <v>439</v>
      </c>
      <c r="O660" s="2" t="s">
        <v>95</v>
      </c>
      <c r="P660" s="2" t="s">
        <v>115</v>
      </c>
      <c r="Q660" s="2" t="s">
        <v>97</v>
      </c>
      <c r="R660" s="2" t="s">
        <v>98</v>
      </c>
      <c r="S660" s="2" t="s">
        <v>98</v>
      </c>
      <c r="T660" s="2" t="s">
        <v>98</v>
      </c>
      <c r="U660" s="2" t="s">
        <v>117</v>
      </c>
      <c r="V660" s="2" t="s">
        <v>439</v>
      </c>
      <c r="W660" s="2" t="s">
        <v>102</v>
      </c>
      <c r="X660" s="2" t="s">
        <v>963</v>
      </c>
      <c r="Y660" s="2" t="s">
        <v>3553</v>
      </c>
      <c r="Z660" s="4">
        <v>45</v>
      </c>
      <c r="AA660" s="4">
        <f>=ROUNDDOWN(22.5,0)</f>
      </c>
      <c r="AB660" s="5">
        <v>2</v>
      </c>
      <c r="AC660" s="2" t="s">
        <v>98</v>
      </c>
      <c r="AD660" s="4"/>
      <c r="AE660" s="4"/>
      <c r="AF660" s="6">
        <v>65</v>
      </c>
      <c r="AG660" s="6">
        <v>48</v>
      </c>
      <c r="AH660" s="7">
        <v>1</v>
      </c>
      <c r="AI660" s="4"/>
      <c r="AJ660" s="4">
        <f>=ROUNDDOWN({0},0)</f>
      </c>
      <c r="AK660" s="5"/>
      <c r="AL660" s="2" t="s">
        <v>98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 t="s">
        <v>98</v>
      </c>
      <c r="BD660" s="8" t="s">
        <v>98</v>
      </c>
      <c r="BE660" s="4" t="s">
        <v>98</v>
      </c>
      <c r="BF660" s="8" t="s">
        <v>98</v>
      </c>
      <c r="BG660" s="7" t="s">
        <v>98</v>
      </c>
      <c r="BH660" s="7" t="s">
        <v>98</v>
      </c>
      <c r="BI660" s="7"/>
      <c r="BJ660" s="4">
        <v>1</v>
      </c>
      <c r="BK660" s="8">
        <v>212.63</v>
      </c>
      <c r="BL660" s="2" t="s">
        <v>895</v>
      </c>
      <c r="BM660" s="7"/>
      <c r="BN660" s="7"/>
      <c r="BO660" s="4"/>
      <c r="BP660" s="8"/>
      <c r="BQ660" s="4"/>
      <c r="BR660" s="8"/>
      <c r="BS660" s="7"/>
      <c r="BT660" s="7"/>
      <c r="BU660" s="2" t="s">
        <v>1376</v>
      </c>
      <c r="BV660" s="2" t="s">
        <v>95</v>
      </c>
      <c r="BW660" s="2" t="s">
        <v>98</v>
      </c>
      <c r="BX660" s="2" t="s">
        <v>98</v>
      </c>
      <c r="BY660" s="2" t="s">
        <v>110</v>
      </c>
      <c r="BZ660" s="2" t="s">
        <v>98</v>
      </c>
    </row>
    <row r="661">
      <c r="A661" s="2" t="s">
        <v>3554</v>
      </c>
      <c r="B661" s="2" t="s">
        <v>1345</v>
      </c>
      <c r="C661" s="2" t="s">
        <v>952</v>
      </c>
      <c r="D661" s="2" t="s">
        <v>1346</v>
      </c>
      <c r="E661" s="2" t="s">
        <v>1347</v>
      </c>
      <c r="F661" s="2" t="s">
        <v>3549</v>
      </c>
      <c r="G661" s="2" t="s">
        <v>3549</v>
      </c>
      <c r="H661" s="2" t="s">
        <v>3549</v>
      </c>
      <c r="I661" s="2" t="s">
        <v>1432</v>
      </c>
      <c r="J661" s="2" t="s">
        <v>93</v>
      </c>
      <c r="K661" s="2" t="s">
        <v>357</v>
      </c>
      <c r="L661" s="3">
        <v>209.95</v>
      </c>
      <c r="M661" s="3">
        <v>220.45</v>
      </c>
      <c r="N661" s="3">
        <v>439</v>
      </c>
      <c r="O661" s="2" t="s">
        <v>95</v>
      </c>
      <c r="P661" s="2" t="s">
        <v>142</v>
      </c>
      <c r="Q661" s="2" t="s">
        <v>97</v>
      </c>
      <c r="R661" s="2" t="s">
        <v>98</v>
      </c>
      <c r="S661" s="2" t="s">
        <v>98</v>
      </c>
      <c r="T661" s="2" t="s">
        <v>98</v>
      </c>
      <c r="U661" s="2" t="s">
        <v>117</v>
      </c>
      <c r="V661" s="2" t="s">
        <v>296</v>
      </c>
      <c r="W661" s="2" t="s">
        <v>119</v>
      </c>
      <c r="X661" s="2" t="s">
        <v>98</v>
      </c>
      <c r="Y661" s="2" t="s">
        <v>3555</v>
      </c>
      <c r="Z661" s="4">
        <v>101</v>
      </c>
      <c r="AA661" s="4">
        <f>=ROUNDDOWN(144.285714285714,0)</f>
      </c>
      <c r="AB661" s="5">
        <v>0.7</v>
      </c>
      <c r="AC661" s="2" t="s">
        <v>98</v>
      </c>
      <c r="AD661" s="4"/>
      <c r="AE661" s="4"/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98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 t="s">
        <v>98</v>
      </c>
      <c r="BD661" s="8" t="s">
        <v>98</v>
      </c>
      <c r="BE661" s="4" t="s">
        <v>98</v>
      </c>
      <c r="BF661" s="8" t="s">
        <v>98</v>
      </c>
      <c r="BG661" s="7" t="s">
        <v>98</v>
      </c>
      <c r="BH661" s="7" t="s">
        <v>98</v>
      </c>
      <c r="BI661" s="7"/>
      <c r="BJ661" s="4"/>
      <c r="BK661" s="8"/>
      <c r="BL661" s="2" t="s">
        <v>98</v>
      </c>
      <c r="BM661" s="7"/>
      <c r="BN661" s="7"/>
      <c r="BO661" s="4"/>
      <c r="BP661" s="8"/>
      <c r="BQ661" s="4"/>
      <c r="BR661" s="8"/>
      <c r="BS661" s="7"/>
      <c r="BT661" s="7"/>
      <c r="BU661" s="2" t="s">
        <v>1376</v>
      </c>
      <c r="BV661" s="2" t="s">
        <v>95</v>
      </c>
      <c r="BW661" s="2" t="s">
        <v>98</v>
      </c>
      <c r="BX661" s="2" t="s">
        <v>98</v>
      </c>
      <c r="BY661" s="2" t="s">
        <v>110</v>
      </c>
      <c r="BZ661" s="2" t="s">
        <v>98</v>
      </c>
    </row>
    <row r="662">
      <c r="A662" s="2" t="s">
        <v>3556</v>
      </c>
      <c r="B662" s="2" t="s">
        <v>1345</v>
      </c>
      <c r="C662" s="2" t="s">
        <v>952</v>
      </c>
      <c r="D662" s="2" t="s">
        <v>1346</v>
      </c>
      <c r="E662" s="2" t="s">
        <v>1347</v>
      </c>
      <c r="F662" s="2" t="s">
        <v>3557</v>
      </c>
      <c r="G662" s="2" t="s">
        <v>3557</v>
      </c>
      <c r="H662" s="2" t="s">
        <v>3557</v>
      </c>
      <c r="I662" s="2" t="s">
        <v>1432</v>
      </c>
      <c r="J662" s="2" t="s">
        <v>93</v>
      </c>
      <c r="K662" s="2" t="s">
        <v>3558</v>
      </c>
      <c r="L662" s="3">
        <v>200</v>
      </c>
      <c r="M662" s="3">
        <v>210</v>
      </c>
      <c r="N662" s="3">
        <v>429</v>
      </c>
      <c r="O662" s="2" t="s">
        <v>155</v>
      </c>
      <c r="P662" s="2" t="s">
        <v>115</v>
      </c>
      <c r="Q662" s="2" t="s">
        <v>97</v>
      </c>
      <c r="R662" s="2" t="s">
        <v>98</v>
      </c>
      <c r="S662" s="2" t="s">
        <v>98</v>
      </c>
      <c r="T662" s="2" t="s">
        <v>98</v>
      </c>
      <c r="U662" s="2" t="s">
        <v>98</v>
      </c>
      <c r="V662" s="2" t="s">
        <v>439</v>
      </c>
      <c r="W662" s="2" t="s">
        <v>102</v>
      </c>
      <c r="X662" s="2" t="s">
        <v>98</v>
      </c>
      <c r="Y662" s="2" t="s">
        <v>3559</v>
      </c>
      <c r="Z662" s="4">
        <v>40</v>
      </c>
      <c r="AA662" s="4">
        <f>=ROUNDDOWN(40,0)</f>
      </c>
      <c r="AB662" s="5">
        <v>1</v>
      </c>
      <c r="AC662" s="2" t="s">
        <v>98</v>
      </c>
      <c r="AD662" s="4"/>
      <c r="AE662" s="4"/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98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 t="s">
        <v>98</v>
      </c>
      <c r="BD662" s="8" t="s">
        <v>98</v>
      </c>
      <c r="BE662" s="4" t="s">
        <v>98</v>
      </c>
      <c r="BF662" s="8" t="s">
        <v>98</v>
      </c>
      <c r="BG662" s="7" t="s">
        <v>98</v>
      </c>
      <c r="BH662" s="7" t="s">
        <v>98</v>
      </c>
      <c r="BI662" s="7"/>
      <c r="BJ662" s="4"/>
      <c r="BK662" s="8"/>
      <c r="BL662" s="2" t="s">
        <v>269</v>
      </c>
      <c r="BM662" s="7"/>
      <c r="BN662" s="7"/>
      <c r="BO662" s="4"/>
      <c r="BP662" s="8"/>
      <c r="BQ662" s="4"/>
      <c r="BR662" s="8"/>
      <c r="BS662" s="7"/>
      <c r="BT662" s="7"/>
      <c r="BU662" s="2" t="s">
        <v>1376</v>
      </c>
      <c r="BV662" s="2" t="s">
        <v>95</v>
      </c>
      <c r="BW662" s="2" t="s">
        <v>98</v>
      </c>
      <c r="BX662" s="2" t="s">
        <v>98</v>
      </c>
      <c r="BY662" s="2" t="s">
        <v>110</v>
      </c>
      <c r="BZ662" s="2" t="s">
        <v>98</v>
      </c>
    </row>
    <row r="663">
      <c r="A663" s="2" t="s">
        <v>3560</v>
      </c>
      <c r="B663" s="2" t="s">
        <v>1345</v>
      </c>
      <c r="C663" s="2" t="s">
        <v>952</v>
      </c>
      <c r="D663" s="2" t="s">
        <v>1346</v>
      </c>
      <c r="E663" s="2" t="s">
        <v>1347</v>
      </c>
      <c r="F663" s="2" t="s">
        <v>3557</v>
      </c>
      <c r="G663" s="2" t="s">
        <v>3557</v>
      </c>
      <c r="H663" s="2" t="s">
        <v>3557</v>
      </c>
      <c r="I663" s="2" t="s">
        <v>1432</v>
      </c>
      <c r="J663" s="2" t="s">
        <v>93</v>
      </c>
      <c r="K663" s="2" t="s">
        <v>1861</v>
      </c>
      <c r="L663" s="3">
        <v>200</v>
      </c>
      <c r="M663" s="3">
        <v>210</v>
      </c>
      <c r="N663" s="3">
        <v>429</v>
      </c>
      <c r="O663" s="2" t="s">
        <v>95</v>
      </c>
      <c r="P663" s="2" t="s">
        <v>115</v>
      </c>
      <c r="Q663" s="2" t="s">
        <v>97</v>
      </c>
      <c r="R663" s="2" t="s">
        <v>98</v>
      </c>
      <c r="S663" s="2" t="s">
        <v>3561</v>
      </c>
      <c r="T663" s="2" t="s">
        <v>98</v>
      </c>
      <c r="U663" s="2" t="s">
        <v>98</v>
      </c>
      <c r="V663" s="2" t="s">
        <v>439</v>
      </c>
      <c r="W663" s="2" t="s">
        <v>102</v>
      </c>
      <c r="X663" s="2" t="s">
        <v>98</v>
      </c>
      <c r="Y663" s="2" t="s">
        <v>3562</v>
      </c>
      <c r="Z663" s="4">
        <v>36</v>
      </c>
      <c r="AA663" s="4">
        <f>=ROUNDDOWN(36,0)</f>
      </c>
      <c r="AB663" s="5">
        <v>1</v>
      </c>
      <c r="AC663" s="2" t="s">
        <v>98</v>
      </c>
      <c r="AD663" s="4"/>
      <c r="AE663" s="4"/>
      <c r="AF663" s="6">
        <v>65</v>
      </c>
      <c r="AG663" s="6">
        <v>48</v>
      </c>
      <c r="AH663" s="7">
        <v>1</v>
      </c>
      <c r="AI663" s="4"/>
      <c r="AJ663" s="4">
        <f>=ROUNDDOWN({0},0)</f>
      </c>
      <c r="AK663" s="5"/>
      <c r="AL663" s="2" t="s">
        <v>98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 t="s">
        <v>98</v>
      </c>
      <c r="BD663" s="8" t="s">
        <v>98</v>
      </c>
      <c r="BE663" s="4" t="s">
        <v>98</v>
      </c>
      <c r="BF663" s="8" t="s">
        <v>98</v>
      </c>
      <c r="BG663" s="7" t="s">
        <v>98</v>
      </c>
      <c r="BH663" s="7" t="s">
        <v>98</v>
      </c>
      <c r="BI663" s="7"/>
      <c r="BJ663" s="4">
        <v>1</v>
      </c>
      <c r="BK663" s="8">
        <v>210</v>
      </c>
      <c r="BL663" s="2" t="s">
        <v>3563</v>
      </c>
      <c r="BM663" s="7"/>
      <c r="BN663" s="7"/>
      <c r="BO663" s="4"/>
      <c r="BP663" s="8"/>
      <c r="BQ663" s="4"/>
      <c r="BR663" s="8"/>
      <c r="BS663" s="7"/>
      <c r="BT663" s="7"/>
      <c r="BU663" s="2" t="s">
        <v>107</v>
      </c>
      <c r="BV663" s="2" t="s">
        <v>1355</v>
      </c>
      <c r="BW663" s="2" t="s">
        <v>2455</v>
      </c>
      <c r="BX663" s="2" t="s">
        <v>3564</v>
      </c>
      <c r="BY663" s="2" t="s">
        <v>110</v>
      </c>
      <c r="BZ663" s="2" t="s">
        <v>98</v>
      </c>
    </row>
    <row r="664">
      <c r="A664" s="2" t="s">
        <v>3565</v>
      </c>
      <c r="B664" s="2" t="s">
        <v>1345</v>
      </c>
      <c r="C664" s="2" t="s">
        <v>952</v>
      </c>
      <c r="D664" s="2" t="s">
        <v>1346</v>
      </c>
      <c r="E664" s="2" t="s">
        <v>1347</v>
      </c>
      <c r="F664" s="2" t="s">
        <v>3566</v>
      </c>
      <c r="G664" s="2" t="s">
        <v>3566</v>
      </c>
      <c r="H664" s="2" t="s">
        <v>3566</v>
      </c>
      <c r="I664" s="2" t="s">
        <v>3471</v>
      </c>
      <c r="J664" s="2" t="s">
        <v>93</v>
      </c>
      <c r="K664" s="2" t="s">
        <v>514</v>
      </c>
      <c r="L664" s="3">
        <v>180.5</v>
      </c>
      <c r="M664" s="3">
        <v>189.52</v>
      </c>
      <c r="N664" s="3">
        <v>379</v>
      </c>
      <c r="O664" s="2" t="s">
        <v>95</v>
      </c>
      <c r="P664" s="2" t="s">
        <v>134</v>
      </c>
      <c r="Q664" s="2" t="s">
        <v>97</v>
      </c>
      <c r="R664" s="2" t="s">
        <v>98</v>
      </c>
      <c r="S664" s="2" t="s">
        <v>98</v>
      </c>
      <c r="T664" s="2" t="s">
        <v>98</v>
      </c>
      <c r="U664" s="2" t="s">
        <v>98</v>
      </c>
      <c r="V664" s="2" t="s">
        <v>439</v>
      </c>
      <c r="W664" s="2" t="s">
        <v>963</v>
      </c>
      <c r="X664" s="2" t="s">
        <v>98</v>
      </c>
      <c r="Y664" s="2" t="s">
        <v>3567</v>
      </c>
      <c r="Z664" s="4">
        <v>45</v>
      </c>
      <c r="AA664" s="4">
        <f>=ROUNDDOWN(5.625,0)</f>
      </c>
      <c r="AB664" s="5">
        <v>8</v>
      </c>
      <c r="AC664" s="2" t="s">
        <v>1533</v>
      </c>
      <c r="AD664" s="4">
        <v>84</v>
      </c>
      <c r="AE664" s="4">
        <v>476</v>
      </c>
      <c r="AF664" s="6">
        <v>65</v>
      </c>
      <c r="AG664" s="6">
        <v>48</v>
      </c>
      <c r="AH664" s="7">
        <v>1</v>
      </c>
      <c r="AI664" s="4"/>
      <c r="AJ664" s="4">
        <f>=ROUNDDOWN({0},0)</f>
      </c>
      <c r="AK664" s="5"/>
      <c r="AL664" s="2" t="s">
        <v>98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 t="s">
        <v>98</v>
      </c>
      <c r="BD664" s="8" t="s">
        <v>98</v>
      </c>
      <c r="BE664" s="4">
        <v>2</v>
      </c>
      <c r="BF664" s="8">
        <v>374</v>
      </c>
      <c r="BG664" s="7" t="s">
        <v>98</v>
      </c>
      <c r="BH664" s="7" t="s">
        <v>98</v>
      </c>
      <c r="BI664" s="7"/>
      <c r="BJ664" s="4">
        <v>9</v>
      </c>
      <c r="BK664" s="8">
        <v>1685.49</v>
      </c>
      <c r="BL664" s="2" t="s">
        <v>3568</v>
      </c>
      <c r="BM664" s="7"/>
      <c r="BN664" s="7"/>
      <c r="BO664" s="4"/>
      <c r="BP664" s="8"/>
      <c r="BQ664" s="4"/>
      <c r="BR664" s="8"/>
      <c r="BS664" s="7"/>
      <c r="BT664" s="7"/>
      <c r="BU664" s="2" t="s">
        <v>1376</v>
      </c>
      <c r="BV664" s="2" t="s">
        <v>95</v>
      </c>
      <c r="BW664" s="2" t="s">
        <v>98</v>
      </c>
      <c r="BX664" s="2" t="s">
        <v>98</v>
      </c>
      <c r="BY664" s="2" t="s">
        <v>110</v>
      </c>
      <c r="BZ664" s="2" t="s">
        <v>98</v>
      </c>
    </row>
    <row r="665">
      <c r="A665" s="2" t="s">
        <v>3569</v>
      </c>
      <c r="B665" s="2" t="s">
        <v>1345</v>
      </c>
      <c r="C665" s="2" t="s">
        <v>952</v>
      </c>
      <c r="D665" s="2" t="s">
        <v>1346</v>
      </c>
      <c r="E665" s="2" t="s">
        <v>1347</v>
      </c>
      <c r="F665" s="2" t="s">
        <v>3566</v>
      </c>
      <c r="G665" s="2" t="s">
        <v>3566</v>
      </c>
      <c r="H665" s="2" t="s">
        <v>3566</v>
      </c>
      <c r="I665" s="2" t="s">
        <v>3471</v>
      </c>
      <c r="J665" s="2" t="s">
        <v>93</v>
      </c>
      <c r="K665" s="2" t="s">
        <v>277</v>
      </c>
      <c r="L665" s="3">
        <v>180.5</v>
      </c>
      <c r="M665" s="3">
        <v>189.52</v>
      </c>
      <c r="N665" s="3">
        <v>379</v>
      </c>
      <c r="O665" s="2" t="s">
        <v>95</v>
      </c>
      <c r="P665" s="2" t="s">
        <v>163</v>
      </c>
      <c r="Q665" s="2" t="s">
        <v>97</v>
      </c>
      <c r="R665" s="2" t="s">
        <v>98</v>
      </c>
      <c r="S665" s="2" t="s">
        <v>3570</v>
      </c>
      <c r="T665" s="2" t="s">
        <v>98</v>
      </c>
      <c r="U665" s="2" t="s">
        <v>98</v>
      </c>
      <c r="V665" s="2" t="s">
        <v>439</v>
      </c>
      <c r="W665" s="2" t="s">
        <v>963</v>
      </c>
      <c r="X665" s="2" t="s">
        <v>98</v>
      </c>
      <c r="Y665" s="2" t="s">
        <v>3571</v>
      </c>
      <c r="Z665" s="4">
        <v>379</v>
      </c>
      <c r="AA665" s="4">
        <f>=ROUNDDOWN(10.8908045977011,0)</f>
      </c>
      <c r="AB665" s="5">
        <v>34.8</v>
      </c>
      <c r="AC665" s="2" t="s">
        <v>194</v>
      </c>
      <c r="AD665" s="4">
        <v>70</v>
      </c>
      <c r="AE665" s="4">
        <v>254</v>
      </c>
      <c r="AF665" s="6">
        <v>65</v>
      </c>
      <c r="AG665" s="6">
        <v>48</v>
      </c>
      <c r="AH665" s="7">
        <v>1</v>
      </c>
      <c r="AI665" s="4"/>
      <c r="AJ665" s="4">
        <f>=ROUNDDOWN({0},0)</f>
      </c>
      <c r="AK665" s="5"/>
      <c r="AL665" s="2" t="s">
        <v>2027</v>
      </c>
      <c r="AM665" s="4">
        <v>37</v>
      </c>
      <c r="AN665" s="4">
        <v>211</v>
      </c>
      <c r="AO665" s="7">
        <v>0</v>
      </c>
      <c r="AP665" s="4"/>
      <c r="AQ665" s="8"/>
      <c r="AR665" s="4">
        <v>1</v>
      </c>
      <c r="AS665" s="8">
        <v>187</v>
      </c>
      <c r="AT665" s="7">
        <v>-1</v>
      </c>
      <c r="AU665" s="7">
        <v>-1</v>
      </c>
      <c r="AV665" s="4"/>
      <c r="AW665" s="8"/>
      <c r="AX665" s="4">
        <v>1</v>
      </c>
      <c r="AY665" s="8">
        <v>187</v>
      </c>
      <c r="AZ665" s="7">
        <v>-1</v>
      </c>
      <c r="BA665" s="7">
        <v>-1</v>
      </c>
      <c r="BB665" s="7"/>
      <c r="BC665" s="4" t="s">
        <v>98</v>
      </c>
      <c r="BD665" s="8" t="s">
        <v>98</v>
      </c>
      <c r="BE665" s="4" t="s">
        <v>98</v>
      </c>
      <c r="BF665" s="8" t="s">
        <v>98</v>
      </c>
      <c r="BG665" s="7" t="s">
        <v>98</v>
      </c>
      <c r="BH665" s="7" t="s">
        <v>98</v>
      </c>
      <c r="BI665" s="7"/>
      <c r="BJ665" s="4">
        <v>47</v>
      </c>
      <c r="BK665" s="8">
        <v>7656.96</v>
      </c>
      <c r="BL665" s="2" t="s">
        <v>3572</v>
      </c>
      <c r="BM665" s="7"/>
      <c r="BN665" s="7"/>
      <c r="BO665" s="4"/>
      <c r="BP665" s="8"/>
      <c r="BQ665" s="4">
        <v>1</v>
      </c>
      <c r="BR665" s="8">
        <v>187</v>
      </c>
      <c r="BS665" s="7">
        <v>-1</v>
      </c>
      <c r="BT665" s="7">
        <v>-1</v>
      </c>
      <c r="BU665" s="2" t="s">
        <v>107</v>
      </c>
      <c r="BV665" s="2" t="s">
        <v>1355</v>
      </c>
      <c r="BW665" s="2" t="s">
        <v>2766</v>
      </c>
      <c r="BX665" s="2" t="s">
        <v>3573</v>
      </c>
      <c r="BY665" s="2" t="s">
        <v>110</v>
      </c>
      <c r="BZ665" s="2" t="s">
        <v>98</v>
      </c>
    </row>
    <row r="666">
      <c r="A666" s="2" t="s">
        <v>3574</v>
      </c>
      <c r="B666" s="2" t="s">
        <v>1345</v>
      </c>
      <c r="C666" s="2" t="s">
        <v>952</v>
      </c>
      <c r="D666" s="2" t="s">
        <v>1346</v>
      </c>
      <c r="E666" s="2" t="s">
        <v>1347</v>
      </c>
      <c r="F666" s="2" t="s">
        <v>3566</v>
      </c>
      <c r="G666" s="2" t="s">
        <v>3566</v>
      </c>
      <c r="H666" s="2" t="s">
        <v>3566</v>
      </c>
      <c r="I666" s="2" t="s">
        <v>3471</v>
      </c>
      <c r="J666" s="2" t="s">
        <v>93</v>
      </c>
      <c r="K666" s="2" t="s">
        <v>1419</v>
      </c>
      <c r="L666" s="3">
        <v>180.5</v>
      </c>
      <c r="M666" s="3">
        <v>189.52</v>
      </c>
      <c r="N666" s="3">
        <v>379</v>
      </c>
      <c r="O666" s="2" t="s">
        <v>95</v>
      </c>
      <c r="P666" s="2" t="s">
        <v>96</v>
      </c>
      <c r="Q666" s="2" t="s">
        <v>97</v>
      </c>
      <c r="R666" s="2" t="s">
        <v>98</v>
      </c>
      <c r="S666" s="2" t="s">
        <v>98</v>
      </c>
      <c r="T666" s="2" t="s">
        <v>98</v>
      </c>
      <c r="U666" s="2" t="s">
        <v>117</v>
      </c>
      <c r="V666" s="2" t="s">
        <v>439</v>
      </c>
      <c r="W666" s="2" t="s">
        <v>963</v>
      </c>
      <c r="X666" s="2" t="s">
        <v>98</v>
      </c>
      <c r="Y666" s="2" t="s">
        <v>3575</v>
      </c>
      <c r="Z666" s="4">
        <v>85</v>
      </c>
      <c r="AA666" s="4">
        <f>=ROUNDDOWN(4.6195652173913,0)</f>
      </c>
      <c r="AB666" s="5">
        <v>18.4</v>
      </c>
      <c r="AC666" s="2" t="s">
        <v>194</v>
      </c>
      <c r="AD666" s="4">
        <v>15</v>
      </c>
      <c r="AE666" s="4">
        <v>111</v>
      </c>
      <c r="AF666" s="6">
        <v>65</v>
      </c>
      <c r="AG666" s="6">
        <v>48</v>
      </c>
      <c r="AH666" s="7">
        <v>1</v>
      </c>
      <c r="AI666" s="4"/>
      <c r="AJ666" s="4">
        <f>=ROUNDDOWN({0},0)</f>
      </c>
      <c r="AK666" s="5"/>
      <c r="AL666" s="2" t="s">
        <v>1729</v>
      </c>
      <c r="AM666" s="4">
        <v>55</v>
      </c>
      <c r="AN666" s="4">
        <v>55</v>
      </c>
      <c r="AO666" s="7">
        <v>0</v>
      </c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 t="s">
        <v>98</v>
      </c>
      <c r="BD666" s="8" t="s">
        <v>98</v>
      </c>
      <c r="BE666" s="4" t="s">
        <v>98</v>
      </c>
      <c r="BF666" s="8" t="s">
        <v>98</v>
      </c>
      <c r="BG666" s="7" t="s">
        <v>98</v>
      </c>
      <c r="BH666" s="7" t="s">
        <v>98</v>
      </c>
      <c r="BI666" s="7"/>
      <c r="BJ666" s="4">
        <v>38</v>
      </c>
      <c r="BK666" s="8">
        <v>6352.78</v>
      </c>
      <c r="BL666" s="2" t="s">
        <v>3576</v>
      </c>
      <c r="BM666" s="7"/>
      <c r="BN666" s="7"/>
      <c r="BO666" s="4"/>
      <c r="BP666" s="8"/>
      <c r="BQ666" s="4"/>
      <c r="BR666" s="8"/>
      <c r="BS666" s="7"/>
      <c r="BT666" s="7"/>
      <c r="BU666" s="2" t="s">
        <v>107</v>
      </c>
      <c r="BV666" s="2" t="s">
        <v>1355</v>
      </c>
      <c r="BW666" s="2" t="s">
        <v>206</v>
      </c>
      <c r="BX666" s="2" t="s">
        <v>98</v>
      </c>
      <c r="BY666" s="2" t="s">
        <v>110</v>
      </c>
      <c r="BZ666" s="2" t="s">
        <v>98</v>
      </c>
    </row>
    <row r="667">
      <c r="A667" s="2" t="s">
        <v>3577</v>
      </c>
      <c r="B667" s="2" t="s">
        <v>1345</v>
      </c>
      <c r="C667" s="2" t="s">
        <v>952</v>
      </c>
      <c r="D667" s="2" t="s">
        <v>1346</v>
      </c>
      <c r="E667" s="2" t="s">
        <v>1347</v>
      </c>
      <c r="F667" s="2" t="s">
        <v>3566</v>
      </c>
      <c r="G667" s="2" t="s">
        <v>3566</v>
      </c>
      <c r="H667" s="2" t="s">
        <v>3566</v>
      </c>
      <c r="I667" s="2" t="s">
        <v>3471</v>
      </c>
      <c r="J667" s="2" t="s">
        <v>93</v>
      </c>
      <c r="K667" s="2" t="s">
        <v>2114</v>
      </c>
      <c r="L667" s="3">
        <v>180.5</v>
      </c>
      <c r="M667" s="3">
        <v>189.52</v>
      </c>
      <c r="N667" s="3">
        <v>379</v>
      </c>
      <c r="O667" s="2" t="s">
        <v>95</v>
      </c>
      <c r="P667" s="2" t="s">
        <v>134</v>
      </c>
      <c r="Q667" s="2" t="s">
        <v>97</v>
      </c>
      <c r="R667" s="2" t="s">
        <v>98</v>
      </c>
      <c r="S667" s="2" t="s">
        <v>98</v>
      </c>
      <c r="T667" s="2" t="s">
        <v>98</v>
      </c>
      <c r="U667" s="2" t="s">
        <v>117</v>
      </c>
      <c r="V667" s="2" t="s">
        <v>439</v>
      </c>
      <c r="W667" s="2" t="s">
        <v>963</v>
      </c>
      <c r="X667" s="2" t="s">
        <v>98</v>
      </c>
      <c r="Y667" s="2" t="s">
        <v>2551</v>
      </c>
      <c r="Z667" s="4">
        <v>86</v>
      </c>
      <c r="AA667" s="4">
        <f>=ROUNDDOWN(10.75,0)</f>
      </c>
      <c r="AB667" s="5">
        <v>8</v>
      </c>
      <c r="AC667" s="2" t="s">
        <v>1533</v>
      </c>
      <c r="AD667" s="4">
        <v>61</v>
      </c>
      <c r="AE667" s="4">
        <v>87</v>
      </c>
      <c r="AF667" s="6">
        <v>65</v>
      </c>
      <c r="AG667" s="6">
        <v>48</v>
      </c>
      <c r="AH667" s="7">
        <v>1</v>
      </c>
      <c r="AI667" s="4"/>
      <c r="AJ667" s="4">
        <f>=ROUNDDOWN({0},0)</f>
      </c>
      <c r="AK667" s="5"/>
      <c r="AL667" s="2" t="s">
        <v>2027</v>
      </c>
      <c r="AM667" s="4">
        <v>70</v>
      </c>
      <c r="AN667" s="4">
        <v>70</v>
      </c>
      <c r="AO667" s="7">
        <v>0</v>
      </c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 t="s">
        <v>98</v>
      </c>
      <c r="BD667" s="8" t="s">
        <v>98</v>
      </c>
      <c r="BE667" s="4" t="s">
        <v>98</v>
      </c>
      <c r="BF667" s="8" t="s">
        <v>98</v>
      </c>
      <c r="BG667" s="7" t="s">
        <v>98</v>
      </c>
      <c r="BH667" s="7" t="s">
        <v>98</v>
      </c>
      <c r="BI667" s="7"/>
      <c r="BJ667" s="4">
        <v>21</v>
      </c>
      <c r="BK667" s="8">
        <v>3513.46</v>
      </c>
      <c r="BL667" s="2" t="s">
        <v>3578</v>
      </c>
      <c r="BM667" s="7"/>
      <c r="BN667" s="7"/>
      <c r="BO667" s="4"/>
      <c r="BP667" s="8"/>
      <c r="BQ667" s="4"/>
      <c r="BR667" s="8"/>
      <c r="BS667" s="7"/>
      <c r="BT667" s="7"/>
      <c r="BU667" s="2" t="s">
        <v>107</v>
      </c>
      <c r="BV667" s="2" t="s">
        <v>1355</v>
      </c>
      <c r="BW667" s="2" t="s">
        <v>707</v>
      </c>
      <c r="BX667" s="2" t="s">
        <v>315</v>
      </c>
      <c r="BY667" s="2" t="s">
        <v>110</v>
      </c>
      <c r="BZ667" s="2" t="s">
        <v>98</v>
      </c>
    </row>
    <row r="668">
      <c r="A668" s="2" t="s">
        <v>3579</v>
      </c>
      <c r="B668" s="2" t="s">
        <v>1345</v>
      </c>
      <c r="C668" s="2" t="s">
        <v>952</v>
      </c>
      <c r="D668" s="2" t="s">
        <v>1346</v>
      </c>
      <c r="E668" s="2" t="s">
        <v>1347</v>
      </c>
      <c r="F668" s="2" t="s">
        <v>3566</v>
      </c>
      <c r="G668" s="2" t="s">
        <v>3566</v>
      </c>
      <c r="H668" s="2" t="s">
        <v>3566</v>
      </c>
      <c r="I668" s="2" t="s">
        <v>3471</v>
      </c>
      <c r="J668" s="2" t="s">
        <v>93</v>
      </c>
      <c r="K668" s="2" t="s">
        <v>1915</v>
      </c>
      <c r="L668" s="3">
        <v>180.5</v>
      </c>
      <c r="M668" s="3">
        <v>189.52</v>
      </c>
      <c r="N668" s="3">
        <v>379</v>
      </c>
      <c r="O668" s="2" t="s">
        <v>95</v>
      </c>
      <c r="P668" s="2" t="s">
        <v>134</v>
      </c>
      <c r="Q668" s="2" t="s">
        <v>97</v>
      </c>
      <c r="R668" s="2" t="s">
        <v>98</v>
      </c>
      <c r="S668" s="2" t="s">
        <v>98</v>
      </c>
      <c r="T668" s="2" t="s">
        <v>98</v>
      </c>
      <c r="U668" s="2" t="s">
        <v>117</v>
      </c>
      <c r="V668" s="2" t="s">
        <v>439</v>
      </c>
      <c r="W668" s="2" t="s">
        <v>963</v>
      </c>
      <c r="X668" s="2" t="s">
        <v>98</v>
      </c>
      <c r="Y668" s="2" t="s">
        <v>3580</v>
      </c>
      <c r="Z668" s="4">
        <v>100</v>
      </c>
      <c r="AA668" s="4">
        <f>=ROUNDDOWN(22.7272727272727,0)</f>
      </c>
      <c r="AB668" s="5">
        <v>4.4</v>
      </c>
      <c r="AC668" s="2" t="s">
        <v>194</v>
      </c>
      <c r="AD668" s="4">
        <v>20</v>
      </c>
      <c r="AE668" s="4">
        <v>166</v>
      </c>
      <c r="AF668" s="6">
        <v>65</v>
      </c>
      <c r="AG668" s="6">
        <v>48</v>
      </c>
      <c r="AH668" s="7">
        <v>1</v>
      </c>
      <c r="AI668" s="4"/>
      <c r="AJ668" s="4">
        <f>=ROUNDDOWN({0},0)</f>
      </c>
      <c r="AK668" s="5"/>
      <c r="AL668" s="2" t="s">
        <v>1729</v>
      </c>
      <c r="AM668" s="4">
        <v>80</v>
      </c>
      <c r="AN668" s="4">
        <v>80</v>
      </c>
      <c r="AO668" s="7">
        <v>0</v>
      </c>
      <c r="AP668" s="4"/>
      <c r="AQ668" s="8"/>
      <c r="AR668" s="4">
        <v>1</v>
      </c>
      <c r="AS668" s="8">
        <v>187</v>
      </c>
      <c r="AT668" s="7">
        <v>-1</v>
      </c>
      <c r="AU668" s="7">
        <v>-1</v>
      </c>
      <c r="AV668" s="4"/>
      <c r="AW668" s="8"/>
      <c r="AX668" s="4">
        <v>1</v>
      </c>
      <c r="AY668" s="8">
        <v>187</v>
      </c>
      <c r="AZ668" s="7">
        <v>-1</v>
      </c>
      <c r="BA668" s="7">
        <v>-1</v>
      </c>
      <c r="BB668" s="7"/>
      <c r="BC668" s="4" t="s">
        <v>98</v>
      </c>
      <c r="BD668" s="8" t="s">
        <v>98</v>
      </c>
      <c r="BE668" s="4" t="s">
        <v>98</v>
      </c>
      <c r="BF668" s="8" t="s">
        <v>98</v>
      </c>
      <c r="BG668" s="7" t="s">
        <v>98</v>
      </c>
      <c r="BH668" s="7" t="s">
        <v>98</v>
      </c>
      <c r="BI668" s="7"/>
      <c r="BJ668" s="4">
        <v>13</v>
      </c>
      <c r="BK668" s="8">
        <v>2332.21</v>
      </c>
      <c r="BL668" s="2" t="s">
        <v>3581</v>
      </c>
      <c r="BM668" s="7"/>
      <c r="BN668" s="7"/>
      <c r="BO668" s="4"/>
      <c r="BP668" s="8"/>
      <c r="BQ668" s="4">
        <v>1</v>
      </c>
      <c r="BR668" s="8">
        <v>187</v>
      </c>
      <c r="BS668" s="7">
        <v>-1</v>
      </c>
      <c r="BT668" s="7">
        <v>-1</v>
      </c>
      <c r="BU668" s="2" t="s">
        <v>107</v>
      </c>
      <c r="BV668" s="2" t="s">
        <v>1355</v>
      </c>
      <c r="BW668" s="2" t="s">
        <v>206</v>
      </c>
      <c r="BX668" s="2" t="s">
        <v>98</v>
      </c>
      <c r="BY668" s="2" t="s">
        <v>110</v>
      </c>
      <c r="BZ668" s="2" t="s">
        <v>98</v>
      </c>
    </row>
    <row r="669">
      <c r="A669" s="2" t="s">
        <v>3582</v>
      </c>
      <c r="B669" s="2" t="s">
        <v>1345</v>
      </c>
      <c r="C669" s="2" t="s">
        <v>952</v>
      </c>
      <c r="D669" s="2" t="s">
        <v>1346</v>
      </c>
      <c r="E669" s="2" t="s">
        <v>1347</v>
      </c>
      <c r="F669" s="2" t="s">
        <v>3566</v>
      </c>
      <c r="G669" s="2" t="s">
        <v>3566</v>
      </c>
      <c r="H669" s="2" t="s">
        <v>3566</v>
      </c>
      <c r="I669" s="2" t="s">
        <v>3471</v>
      </c>
      <c r="J669" s="2" t="s">
        <v>93</v>
      </c>
      <c r="K669" s="2" t="s">
        <v>3583</v>
      </c>
      <c r="L669" s="3">
        <v>180.5</v>
      </c>
      <c r="M669" s="3">
        <v>189.52</v>
      </c>
      <c r="N669" s="3">
        <v>379</v>
      </c>
      <c r="O669" s="2" t="s">
        <v>95</v>
      </c>
      <c r="P669" s="2" t="s">
        <v>134</v>
      </c>
      <c r="Q669" s="2" t="s">
        <v>97</v>
      </c>
      <c r="R669" s="2" t="s">
        <v>98</v>
      </c>
      <c r="S669" s="2" t="s">
        <v>3584</v>
      </c>
      <c r="T669" s="2" t="s">
        <v>3585</v>
      </c>
      <c r="U669" s="2" t="s">
        <v>98</v>
      </c>
      <c r="V669" s="2" t="s">
        <v>439</v>
      </c>
      <c r="W669" s="2" t="s">
        <v>963</v>
      </c>
      <c r="X669" s="2" t="s">
        <v>98</v>
      </c>
      <c r="Y669" s="2" t="s">
        <v>366</v>
      </c>
      <c r="Z669" s="4">
        <v>208</v>
      </c>
      <c r="AA669" s="4">
        <f>=ROUNDDOWN(23.1111111111111,0)</f>
      </c>
      <c r="AB669" s="5">
        <v>9</v>
      </c>
      <c r="AC669" s="2" t="s">
        <v>1533</v>
      </c>
      <c r="AD669" s="4">
        <v>90</v>
      </c>
      <c r="AE669" s="4">
        <v>281</v>
      </c>
      <c r="AF669" s="6">
        <v>65</v>
      </c>
      <c r="AG669" s="6">
        <v>48</v>
      </c>
      <c r="AH669" s="7">
        <v>1</v>
      </c>
      <c r="AI669" s="4"/>
      <c r="AJ669" s="4">
        <f>=ROUNDDOWN({0},0)</f>
      </c>
      <c r="AK669" s="5"/>
      <c r="AL669" s="2" t="s">
        <v>98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 t="s">
        <v>98</v>
      </c>
      <c r="BD669" s="8" t="s">
        <v>98</v>
      </c>
      <c r="BE669" s="4" t="s">
        <v>98</v>
      </c>
      <c r="BF669" s="8" t="s">
        <v>98</v>
      </c>
      <c r="BG669" s="7" t="s">
        <v>98</v>
      </c>
      <c r="BH669" s="7" t="s">
        <v>98</v>
      </c>
      <c r="BI669" s="7"/>
      <c r="BJ669" s="4">
        <v>2</v>
      </c>
      <c r="BK669" s="8">
        <v>338.6</v>
      </c>
      <c r="BL669" s="2" t="s">
        <v>1796</v>
      </c>
      <c r="BM669" s="7"/>
      <c r="BN669" s="7"/>
      <c r="BO669" s="4"/>
      <c r="BP669" s="8"/>
      <c r="BQ669" s="4"/>
      <c r="BR669" s="8"/>
      <c r="BS669" s="7"/>
      <c r="BT669" s="7"/>
      <c r="BU669" s="2" t="s">
        <v>107</v>
      </c>
      <c r="BV669" s="2" t="s">
        <v>1355</v>
      </c>
      <c r="BW669" s="2" t="s">
        <v>1356</v>
      </c>
      <c r="BX669" s="2" t="s">
        <v>3586</v>
      </c>
      <c r="BY669" s="2" t="s">
        <v>110</v>
      </c>
      <c r="BZ669" s="2" t="s">
        <v>98</v>
      </c>
    </row>
    <row r="670">
      <c r="A670" s="2" t="s">
        <v>3587</v>
      </c>
      <c r="B670" s="2" t="s">
        <v>1345</v>
      </c>
      <c r="C670" s="2" t="s">
        <v>952</v>
      </c>
      <c r="D670" s="2" t="s">
        <v>1346</v>
      </c>
      <c r="E670" s="2" t="s">
        <v>1347</v>
      </c>
      <c r="F670" s="2" t="s">
        <v>3566</v>
      </c>
      <c r="G670" s="2" t="s">
        <v>3566</v>
      </c>
      <c r="H670" s="2" t="s">
        <v>3566</v>
      </c>
      <c r="I670" s="2" t="s">
        <v>3471</v>
      </c>
      <c r="J670" s="2" t="s">
        <v>93</v>
      </c>
      <c r="K670" s="2" t="s">
        <v>286</v>
      </c>
      <c r="L670" s="3">
        <v>180.5</v>
      </c>
      <c r="M670" s="3">
        <v>189.52</v>
      </c>
      <c r="N670" s="3">
        <v>379</v>
      </c>
      <c r="O670" s="2" t="s">
        <v>95</v>
      </c>
      <c r="P670" s="2" t="s">
        <v>96</v>
      </c>
      <c r="Q670" s="2" t="s">
        <v>97</v>
      </c>
      <c r="R670" s="2" t="s">
        <v>98</v>
      </c>
      <c r="S670" s="2" t="s">
        <v>98</v>
      </c>
      <c r="T670" s="2" t="s">
        <v>98</v>
      </c>
      <c r="U670" s="2" t="s">
        <v>117</v>
      </c>
      <c r="V670" s="2" t="s">
        <v>439</v>
      </c>
      <c r="W670" s="2" t="s">
        <v>963</v>
      </c>
      <c r="X670" s="2" t="s">
        <v>98</v>
      </c>
      <c r="Y670" s="2" t="s">
        <v>3588</v>
      </c>
      <c r="Z670" s="4">
        <v>128</v>
      </c>
      <c r="AA670" s="4">
        <f>=ROUNDDOWN(24.6153846153846,0)</f>
      </c>
      <c r="AB670" s="5">
        <v>5.2</v>
      </c>
      <c r="AC670" s="2" t="s">
        <v>136</v>
      </c>
      <c r="AD670" s="4">
        <v>116</v>
      </c>
      <c r="AE670" s="4">
        <v>302</v>
      </c>
      <c r="AF670" s="6">
        <v>65</v>
      </c>
      <c r="AG670" s="6">
        <v>48</v>
      </c>
      <c r="AH670" s="7">
        <v>1</v>
      </c>
      <c r="AI670" s="4"/>
      <c r="AJ670" s="4">
        <f>=ROUNDDOWN({0},0)</f>
      </c>
      <c r="AK670" s="5"/>
      <c r="AL670" s="2" t="s">
        <v>1729</v>
      </c>
      <c r="AM670" s="4">
        <v>39</v>
      </c>
      <c r="AN670" s="4">
        <v>106</v>
      </c>
      <c r="AO670" s="7">
        <v>0</v>
      </c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 t="s">
        <v>98</v>
      </c>
      <c r="BD670" s="8" t="s">
        <v>98</v>
      </c>
      <c r="BE670" s="4" t="s">
        <v>98</v>
      </c>
      <c r="BF670" s="8" t="s">
        <v>98</v>
      </c>
      <c r="BG670" s="7" t="s">
        <v>98</v>
      </c>
      <c r="BH670" s="7" t="s">
        <v>98</v>
      </c>
      <c r="BI670" s="7"/>
      <c r="BJ670" s="4">
        <v>8</v>
      </c>
      <c r="BK670" s="8">
        <v>1434.63</v>
      </c>
      <c r="BL670" s="2" t="s">
        <v>3589</v>
      </c>
      <c r="BM670" s="7"/>
      <c r="BN670" s="7"/>
      <c r="BO670" s="4"/>
      <c r="BP670" s="8"/>
      <c r="BQ670" s="4"/>
      <c r="BR670" s="8"/>
      <c r="BS670" s="7"/>
      <c r="BT670" s="7"/>
      <c r="BU670" s="2" t="s">
        <v>1376</v>
      </c>
      <c r="BV670" s="2" t="s">
        <v>95</v>
      </c>
      <c r="BW670" s="2" t="s">
        <v>98</v>
      </c>
      <c r="BX670" s="2" t="s">
        <v>98</v>
      </c>
      <c r="BY670" s="2" t="s">
        <v>110</v>
      </c>
      <c r="BZ670" s="2" t="s">
        <v>98</v>
      </c>
    </row>
    <row r="671">
      <c r="A671" s="2" t="s">
        <v>3590</v>
      </c>
      <c r="B671" s="2" t="s">
        <v>1345</v>
      </c>
      <c r="C671" s="2" t="s">
        <v>952</v>
      </c>
      <c r="D671" s="2" t="s">
        <v>1346</v>
      </c>
      <c r="E671" s="2" t="s">
        <v>1347</v>
      </c>
      <c r="F671" s="2" t="s">
        <v>3591</v>
      </c>
      <c r="G671" s="2" t="s">
        <v>3591</v>
      </c>
      <c r="H671" s="2" t="s">
        <v>3591</v>
      </c>
      <c r="I671" s="2" t="s">
        <v>1432</v>
      </c>
      <c r="J671" s="2" t="s">
        <v>93</v>
      </c>
      <c r="K671" s="2" t="s">
        <v>2139</v>
      </c>
      <c r="L671" s="3">
        <v>174.8</v>
      </c>
      <c r="M671" s="3">
        <v>183.54</v>
      </c>
      <c r="N671" s="3">
        <v>369</v>
      </c>
      <c r="O671" s="2" t="s">
        <v>95</v>
      </c>
      <c r="P671" s="2" t="s">
        <v>134</v>
      </c>
      <c r="Q671" s="2" t="s">
        <v>97</v>
      </c>
      <c r="R671" s="2" t="s">
        <v>98</v>
      </c>
      <c r="S671" s="2" t="s">
        <v>98</v>
      </c>
      <c r="T671" s="2" t="s">
        <v>98</v>
      </c>
      <c r="U671" s="2" t="s">
        <v>117</v>
      </c>
      <c r="V671" s="2" t="s">
        <v>439</v>
      </c>
      <c r="W671" s="2" t="s">
        <v>963</v>
      </c>
      <c r="X671" s="2" t="s">
        <v>98</v>
      </c>
      <c r="Y671" s="2" t="s">
        <v>764</v>
      </c>
      <c r="Z671" s="4">
        <v>79</v>
      </c>
      <c r="AA671" s="4">
        <f>=ROUNDDOWN(8.77777777777778,0)</f>
      </c>
      <c r="AB671" s="5">
        <v>9</v>
      </c>
      <c r="AC671" s="2" t="s">
        <v>1757</v>
      </c>
      <c r="AD671" s="4">
        <v>60</v>
      </c>
      <c r="AE671" s="4">
        <v>206</v>
      </c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98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/>
      <c r="BD671" s="8"/>
      <c r="BE671" s="4"/>
      <c r="BF671" s="8"/>
      <c r="BG671" s="7"/>
      <c r="BH671" s="7"/>
      <c r="BI671" s="7"/>
      <c r="BJ671" s="4">
        <v>3</v>
      </c>
      <c r="BK671" s="8">
        <v>549.45</v>
      </c>
      <c r="BL671" s="2" t="s">
        <v>3592</v>
      </c>
      <c r="BM671" s="7"/>
      <c r="BN671" s="7"/>
      <c r="BO671" s="4"/>
      <c r="BP671" s="8"/>
      <c r="BQ671" s="4"/>
      <c r="BR671" s="8"/>
      <c r="BS671" s="7"/>
      <c r="BT671" s="7"/>
      <c r="BU671" s="2" t="s">
        <v>107</v>
      </c>
      <c r="BV671" s="2" t="s">
        <v>1355</v>
      </c>
      <c r="BW671" s="2" t="s">
        <v>1388</v>
      </c>
      <c r="BX671" s="2" t="s">
        <v>3593</v>
      </c>
      <c r="BY671" s="2" t="s">
        <v>110</v>
      </c>
      <c r="BZ671" s="2" t="s">
        <v>98</v>
      </c>
    </row>
    <row r="672">
      <c r="A672" s="2" t="s">
        <v>3594</v>
      </c>
      <c r="B672" s="2" t="s">
        <v>1345</v>
      </c>
      <c r="C672" s="2" t="s">
        <v>952</v>
      </c>
      <c r="D672" s="2" t="s">
        <v>1346</v>
      </c>
      <c r="E672" s="2" t="s">
        <v>1347</v>
      </c>
      <c r="F672" s="2" t="s">
        <v>3595</v>
      </c>
      <c r="G672" s="2" t="s">
        <v>3595</v>
      </c>
      <c r="H672" s="2" t="s">
        <v>3595</v>
      </c>
      <c r="I672" s="2" t="s">
        <v>1432</v>
      </c>
      <c r="J672" s="2" t="s">
        <v>93</v>
      </c>
      <c r="K672" s="2" t="s">
        <v>2460</v>
      </c>
      <c r="L672" s="3">
        <v>263.5</v>
      </c>
      <c r="M672" s="3">
        <v>276.68</v>
      </c>
      <c r="N672" s="3">
        <v>549</v>
      </c>
      <c r="O672" s="2" t="s">
        <v>95</v>
      </c>
      <c r="P672" s="2" t="s">
        <v>134</v>
      </c>
      <c r="Q672" s="2" t="s">
        <v>97</v>
      </c>
      <c r="R672" s="2" t="s">
        <v>98</v>
      </c>
      <c r="S672" s="2" t="s">
        <v>98</v>
      </c>
      <c r="T672" s="2" t="s">
        <v>98</v>
      </c>
      <c r="U672" s="2" t="s">
        <v>98</v>
      </c>
      <c r="V672" s="2" t="s">
        <v>439</v>
      </c>
      <c r="W672" s="2" t="s">
        <v>963</v>
      </c>
      <c r="X672" s="2" t="s">
        <v>98</v>
      </c>
      <c r="Y672" s="2" t="s">
        <v>3596</v>
      </c>
      <c r="Z672" s="4">
        <v>138</v>
      </c>
      <c r="AA672" s="4">
        <f>=ROUNDDOWN(19.7142857142857,0)</f>
      </c>
      <c r="AB672" s="5">
        <v>7</v>
      </c>
      <c r="AC672" s="2" t="s">
        <v>1516</v>
      </c>
      <c r="AD672" s="4">
        <v>36</v>
      </c>
      <c r="AE672" s="4">
        <v>36</v>
      </c>
      <c r="AF672" s="6">
        <v>65</v>
      </c>
      <c r="AG672" s="6">
        <v>48</v>
      </c>
      <c r="AH672" s="7">
        <v>1</v>
      </c>
      <c r="AI672" s="4"/>
      <c r="AJ672" s="4">
        <f>=ROUNDDOWN({0},0)</f>
      </c>
      <c r="AK672" s="5"/>
      <c r="AL672" s="2" t="s">
        <v>98</v>
      </c>
      <c r="AM672" s="4"/>
      <c r="AN672" s="4"/>
      <c r="AO672" s="7">
        <v>0</v>
      </c>
      <c r="AP672" s="4"/>
      <c r="AQ672" s="8"/>
      <c r="AR672" s="4">
        <v>3</v>
      </c>
      <c r="AS672" s="8">
        <v>789.51</v>
      </c>
      <c r="AT672" s="7">
        <v>-1</v>
      </c>
      <c r="AU672" s="7">
        <v>-1</v>
      </c>
      <c r="AV672" s="4"/>
      <c r="AW672" s="8"/>
      <c r="AX672" s="4">
        <v>3</v>
      </c>
      <c r="AY672" s="8">
        <v>789.51</v>
      </c>
      <c r="AZ672" s="7">
        <v>-1</v>
      </c>
      <c r="BA672" s="7">
        <v>-1</v>
      </c>
      <c r="BB672" s="7"/>
      <c r="BC672" s="4"/>
      <c r="BD672" s="8"/>
      <c r="BE672" s="4">
        <v>3</v>
      </c>
      <c r="BF672" s="8">
        <v>789.51</v>
      </c>
      <c r="BG672" s="7">
        <v>-1</v>
      </c>
      <c r="BH672" s="7">
        <v>-1</v>
      </c>
      <c r="BI672" s="7"/>
      <c r="BJ672" s="4">
        <v>4</v>
      </c>
      <c r="BK672" s="8">
        <v>799.1</v>
      </c>
      <c r="BL672" s="2" t="s">
        <v>1426</v>
      </c>
      <c r="BM672" s="7"/>
      <c r="BN672" s="7"/>
      <c r="BO672" s="4"/>
      <c r="BP672" s="8"/>
      <c r="BQ672" s="4">
        <v>3</v>
      </c>
      <c r="BR672" s="8">
        <v>789.51</v>
      </c>
      <c r="BS672" s="7">
        <v>-1</v>
      </c>
      <c r="BT672" s="7">
        <v>-1</v>
      </c>
      <c r="BU672" s="2" t="s">
        <v>107</v>
      </c>
      <c r="BV672" s="2" t="s">
        <v>1355</v>
      </c>
      <c r="BW672" s="2" t="s">
        <v>1550</v>
      </c>
      <c r="BX672" s="2" t="s">
        <v>2997</v>
      </c>
      <c r="BY672" s="2" t="s">
        <v>110</v>
      </c>
      <c r="BZ672" s="2" t="s">
        <v>98</v>
      </c>
    </row>
    <row r="673">
      <c r="A673" s="2" t="s">
        <v>3597</v>
      </c>
      <c r="B673" s="2" t="s">
        <v>1345</v>
      </c>
      <c r="C673" s="2" t="s">
        <v>952</v>
      </c>
      <c r="D673" s="2" t="s">
        <v>1346</v>
      </c>
      <c r="E673" s="2" t="s">
        <v>1347</v>
      </c>
      <c r="F673" s="2" t="s">
        <v>3598</v>
      </c>
      <c r="G673" s="2" t="s">
        <v>3598</v>
      </c>
      <c r="H673" s="2" t="s">
        <v>3598</v>
      </c>
      <c r="I673" s="2" t="s">
        <v>1432</v>
      </c>
      <c r="J673" s="2" t="s">
        <v>93</v>
      </c>
      <c r="K673" s="2" t="s">
        <v>133</v>
      </c>
      <c r="L673" s="3">
        <v>172.98</v>
      </c>
      <c r="M673" s="3">
        <v>181.63</v>
      </c>
      <c r="N673" s="3">
        <v>369</v>
      </c>
      <c r="O673" s="2" t="s">
        <v>95</v>
      </c>
      <c r="P673" s="2" t="s">
        <v>134</v>
      </c>
      <c r="Q673" s="2" t="s">
        <v>97</v>
      </c>
      <c r="R673" s="2" t="s">
        <v>98</v>
      </c>
      <c r="S673" s="2" t="s">
        <v>98</v>
      </c>
      <c r="T673" s="2" t="s">
        <v>98</v>
      </c>
      <c r="U673" s="2" t="s">
        <v>98</v>
      </c>
      <c r="V673" s="2" t="s">
        <v>439</v>
      </c>
      <c r="W673" s="2" t="s">
        <v>963</v>
      </c>
      <c r="X673" s="2" t="s">
        <v>98</v>
      </c>
      <c r="Y673" s="2" t="s">
        <v>2557</v>
      </c>
      <c r="Z673" s="4">
        <v>34</v>
      </c>
      <c r="AA673" s="4">
        <f>=ROUNDDOWN(6.8,0)</f>
      </c>
      <c r="AB673" s="5">
        <v>5</v>
      </c>
      <c r="AC673" s="2" t="s">
        <v>1516</v>
      </c>
      <c r="AD673" s="4">
        <v>93</v>
      </c>
      <c r="AE673" s="4">
        <v>110</v>
      </c>
      <c r="AF673" s="6">
        <v>65</v>
      </c>
      <c r="AG673" s="6">
        <v>48</v>
      </c>
      <c r="AH673" s="7">
        <v>1</v>
      </c>
      <c r="AI673" s="4"/>
      <c r="AJ673" s="4">
        <f>=ROUNDDOWN({0},0)</f>
      </c>
      <c r="AK673" s="5"/>
      <c r="AL673" s="2" t="s">
        <v>98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/>
      <c r="AW673" s="8"/>
      <c r="AX673" s="4"/>
      <c r="AY673" s="8"/>
      <c r="AZ673" s="7"/>
      <c r="BA673" s="7"/>
      <c r="BB673" s="7"/>
      <c r="BC673" s="4"/>
      <c r="BD673" s="8"/>
      <c r="BE673" s="4"/>
      <c r="BF673" s="8"/>
      <c r="BG673" s="7"/>
      <c r="BH673" s="7"/>
      <c r="BI673" s="7"/>
      <c r="BJ673" s="4">
        <v>5</v>
      </c>
      <c r="BK673" s="8">
        <v>819.37</v>
      </c>
      <c r="BL673" s="2" t="s">
        <v>3599</v>
      </c>
      <c r="BM673" s="7"/>
      <c r="BN673" s="7"/>
      <c r="BO673" s="4"/>
      <c r="BP673" s="8"/>
      <c r="BQ673" s="4"/>
      <c r="BR673" s="8"/>
      <c r="BS673" s="7"/>
      <c r="BT673" s="7"/>
      <c r="BU673" s="2" t="s">
        <v>107</v>
      </c>
      <c r="BV673" s="2" t="s">
        <v>1355</v>
      </c>
      <c r="BW673" s="2" t="s">
        <v>1550</v>
      </c>
      <c r="BX673" s="2" t="s">
        <v>3600</v>
      </c>
      <c r="BY673" s="2" t="s">
        <v>110</v>
      </c>
      <c r="BZ673" s="2" t="s">
        <v>98</v>
      </c>
    </row>
    <row r="674">
      <c r="A674" s="2" t="s">
        <v>3601</v>
      </c>
      <c r="B674" s="2" t="s">
        <v>1345</v>
      </c>
      <c r="C674" s="2" t="s">
        <v>952</v>
      </c>
      <c r="D674" s="2" t="s">
        <v>1346</v>
      </c>
      <c r="E674" s="2" t="s">
        <v>1347</v>
      </c>
      <c r="F674" s="2" t="s">
        <v>3602</v>
      </c>
      <c r="G674" s="2" t="s">
        <v>3602</v>
      </c>
      <c r="H674" s="2" t="s">
        <v>3602</v>
      </c>
      <c r="I674" s="2" t="s">
        <v>3471</v>
      </c>
      <c r="J674" s="2" t="s">
        <v>93</v>
      </c>
      <c r="K674" s="2" t="s">
        <v>2076</v>
      </c>
      <c r="L674" s="3">
        <v>226.1</v>
      </c>
      <c r="M674" s="3">
        <v>237.4</v>
      </c>
      <c r="N674" s="3">
        <v>479</v>
      </c>
      <c r="O674" s="2" t="s">
        <v>95</v>
      </c>
      <c r="P674" s="2" t="s">
        <v>142</v>
      </c>
      <c r="Q674" s="2" t="s">
        <v>97</v>
      </c>
      <c r="R674" s="2" t="s">
        <v>98</v>
      </c>
      <c r="S674" s="2" t="s">
        <v>3603</v>
      </c>
      <c r="T674" s="2" t="s">
        <v>98</v>
      </c>
      <c r="U674" s="2" t="s">
        <v>98</v>
      </c>
      <c r="V674" s="2" t="s">
        <v>439</v>
      </c>
      <c r="W674" s="2" t="s">
        <v>102</v>
      </c>
      <c r="X674" s="2" t="s">
        <v>98</v>
      </c>
      <c r="Y674" s="2" t="s">
        <v>366</v>
      </c>
      <c r="Z674" s="4">
        <v>60</v>
      </c>
      <c r="AA674" s="4">
        <f>=ROUNDDOWN(12,0)</f>
      </c>
      <c r="AB674" s="5">
        <v>5</v>
      </c>
      <c r="AC674" s="2" t="s">
        <v>98</v>
      </c>
      <c r="AD674" s="4"/>
      <c r="AE674" s="4"/>
      <c r="AF674" s="6">
        <v>67</v>
      </c>
      <c r="AG674" s="6">
        <v>50</v>
      </c>
      <c r="AH674" s="7">
        <v>1</v>
      </c>
      <c r="AI674" s="4"/>
      <c r="AJ674" s="4">
        <f>=ROUNDDOWN({0},0)</f>
      </c>
      <c r="AK674" s="5"/>
      <c r="AL674" s="2" t="s">
        <v>98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/>
      <c r="AW674" s="8"/>
      <c r="AX674" s="4"/>
      <c r="AY674" s="8"/>
      <c r="AZ674" s="7"/>
      <c r="BA674" s="7"/>
      <c r="BB674" s="7"/>
      <c r="BC674" s="4" t="s">
        <v>98</v>
      </c>
      <c r="BD674" s="8" t="s">
        <v>98</v>
      </c>
      <c r="BE674" s="4" t="s">
        <v>98</v>
      </c>
      <c r="BF674" s="8" t="s">
        <v>98</v>
      </c>
      <c r="BG674" s="7" t="s">
        <v>98</v>
      </c>
      <c r="BH674" s="7" t="s">
        <v>98</v>
      </c>
      <c r="BI674" s="7"/>
      <c r="BJ674" s="4">
        <v>4</v>
      </c>
      <c r="BK674" s="8">
        <v>873.6</v>
      </c>
      <c r="BL674" s="2" t="s">
        <v>3604</v>
      </c>
      <c r="BM674" s="7"/>
      <c r="BN674" s="7"/>
      <c r="BO674" s="4"/>
      <c r="BP674" s="8"/>
      <c r="BQ674" s="4"/>
      <c r="BR674" s="8"/>
      <c r="BS674" s="7"/>
      <c r="BT674" s="7"/>
      <c r="BU674" s="2" t="s">
        <v>107</v>
      </c>
      <c r="BV674" s="2" t="s">
        <v>1355</v>
      </c>
      <c r="BW674" s="2" t="s">
        <v>1356</v>
      </c>
      <c r="BX674" s="2" t="s">
        <v>3605</v>
      </c>
      <c r="BY674" s="2" t="s">
        <v>110</v>
      </c>
      <c r="BZ674" s="2" t="s">
        <v>98</v>
      </c>
    </row>
    <row r="675">
      <c r="A675" s="2" t="s">
        <v>3606</v>
      </c>
      <c r="B675" s="2" t="s">
        <v>1345</v>
      </c>
      <c r="C675" s="2" t="s">
        <v>952</v>
      </c>
      <c r="D675" s="2" t="s">
        <v>1346</v>
      </c>
      <c r="E675" s="2" t="s">
        <v>1347</v>
      </c>
      <c r="F675" s="2" t="s">
        <v>3602</v>
      </c>
      <c r="G675" s="2" t="s">
        <v>3602</v>
      </c>
      <c r="H675" s="2" t="s">
        <v>3602</v>
      </c>
      <c r="I675" s="2" t="s">
        <v>3471</v>
      </c>
      <c r="J675" s="2" t="s">
        <v>93</v>
      </c>
      <c r="K675" s="2" t="s">
        <v>133</v>
      </c>
      <c r="L675" s="3">
        <v>226.1</v>
      </c>
      <c r="M675" s="3">
        <v>237.4</v>
      </c>
      <c r="N675" s="3">
        <v>479</v>
      </c>
      <c r="O675" s="2" t="s">
        <v>95</v>
      </c>
      <c r="P675" s="2" t="s">
        <v>134</v>
      </c>
      <c r="Q675" s="2" t="s">
        <v>97</v>
      </c>
      <c r="R675" s="2" t="s">
        <v>98</v>
      </c>
      <c r="S675" s="2" t="s">
        <v>98</v>
      </c>
      <c r="T675" s="2" t="s">
        <v>98</v>
      </c>
      <c r="U675" s="2" t="s">
        <v>98</v>
      </c>
      <c r="V675" s="2" t="s">
        <v>439</v>
      </c>
      <c r="W675" s="2" t="s">
        <v>102</v>
      </c>
      <c r="X675" s="2" t="s">
        <v>98</v>
      </c>
      <c r="Y675" s="2" t="s">
        <v>427</v>
      </c>
      <c r="Z675" s="4">
        <v>46</v>
      </c>
      <c r="AA675" s="4">
        <f>=ROUNDDOWN(11.219512195122,0)</f>
      </c>
      <c r="AB675" s="5">
        <v>4.1</v>
      </c>
      <c r="AC675" s="2" t="s">
        <v>230</v>
      </c>
      <c r="AD675" s="4">
        <v>72</v>
      </c>
      <c r="AE675" s="4">
        <v>72</v>
      </c>
      <c r="AF675" s="6">
        <v>67</v>
      </c>
      <c r="AG675" s="6">
        <v>50</v>
      </c>
      <c r="AH675" s="7">
        <v>1</v>
      </c>
      <c r="AI675" s="4"/>
      <c r="AJ675" s="4">
        <f>=ROUNDDOWN({0},0)</f>
      </c>
      <c r="AK675" s="5"/>
      <c r="AL675" s="2" t="s">
        <v>98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/>
      <c r="AW675" s="8"/>
      <c r="AX675" s="4"/>
      <c r="AY675" s="8"/>
      <c r="AZ675" s="7"/>
      <c r="BA675" s="7"/>
      <c r="BB675" s="7"/>
      <c r="BC675" s="4" t="s">
        <v>98</v>
      </c>
      <c r="BD675" s="8" t="s">
        <v>98</v>
      </c>
      <c r="BE675" s="4" t="s">
        <v>98</v>
      </c>
      <c r="BF675" s="8" t="s">
        <v>98</v>
      </c>
      <c r="BG675" s="7" t="s">
        <v>98</v>
      </c>
      <c r="BH675" s="7" t="s">
        <v>98</v>
      </c>
      <c r="BI675" s="7"/>
      <c r="BJ675" s="4">
        <v>2</v>
      </c>
      <c r="BK675" s="8">
        <v>420</v>
      </c>
      <c r="BL675" s="2" t="s">
        <v>3607</v>
      </c>
      <c r="BM675" s="7"/>
      <c r="BN675" s="7"/>
      <c r="BO675" s="4"/>
      <c r="BP675" s="8"/>
      <c r="BQ675" s="4"/>
      <c r="BR675" s="8"/>
      <c r="BS675" s="7"/>
      <c r="BT675" s="7"/>
      <c r="BU675" s="2" t="s">
        <v>107</v>
      </c>
      <c r="BV675" s="2" t="s">
        <v>1355</v>
      </c>
      <c r="BW675" s="2" t="s">
        <v>1472</v>
      </c>
      <c r="BX675" s="2" t="s">
        <v>1621</v>
      </c>
      <c r="BY675" s="2" t="s">
        <v>110</v>
      </c>
      <c r="BZ675" s="2" t="s">
        <v>98</v>
      </c>
    </row>
    <row r="676">
      <c r="A676" s="2" t="s">
        <v>3608</v>
      </c>
      <c r="B676" s="2" t="s">
        <v>1345</v>
      </c>
      <c r="C676" s="2" t="s">
        <v>952</v>
      </c>
      <c r="D676" s="2" t="s">
        <v>1346</v>
      </c>
      <c r="E676" s="2" t="s">
        <v>1346</v>
      </c>
      <c r="F676" s="2" t="s">
        <v>3609</v>
      </c>
      <c r="G676" s="2" t="s">
        <v>3609</v>
      </c>
      <c r="H676" s="2" t="s">
        <v>3609</v>
      </c>
      <c r="I676" s="2" t="s">
        <v>3610</v>
      </c>
      <c r="J676" s="2" t="s">
        <v>93</v>
      </c>
      <c r="K676" s="2" t="s">
        <v>1052</v>
      </c>
      <c r="L676" s="3">
        <v>133.24</v>
      </c>
      <c r="M676" s="3">
        <v>139.9</v>
      </c>
      <c r="N676" s="3">
        <v>279</v>
      </c>
      <c r="O676" s="2" t="s">
        <v>95</v>
      </c>
      <c r="P676" s="2" t="s">
        <v>142</v>
      </c>
      <c r="Q676" s="2" t="s">
        <v>97</v>
      </c>
      <c r="R676" s="2" t="s">
        <v>98</v>
      </c>
      <c r="S676" s="2" t="s">
        <v>98</v>
      </c>
      <c r="T676" s="2" t="s">
        <v>98</v>
      </c>
      <c r="U676" s="2" t="s">
        <v>117</v>
      </c>
      <c r="V676" s="2" t="s">
        <v>296</v>
      </c>
      <c r="W676" s="2" t="s">
        <v>119</v>
      </c>
      <c r="X676" s="2" t="s">
        <v>963</v>
      </c>
      <c r="Y676" s="2" t="s">
        <v>1922</v>
      </c>
      <c r="Z676" s="4">
        <v>40</v>
      </c>
      <c r="AA676" s="4">
        <f>=ROUNDDOWN(20,0)</f>
      </c>
      <c r="AB676" s="5">
        <v>2</v>
      </c>
      <c r="AC676" s="2" t="s">
        <v>2222</v>
      </c>
      <c r="AD676" s="4">
        <v>70</v>
      </c>
      <c r="AE676" s="4">
        <v>70</v>
      </c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98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/>
      <c r="AW676" s="8"/>
      <c r="AX676" s="4"/>
      <c r="AY676" s="8"/>
      <c r="AZ676" s="7"/>
      <c r="BA676" s="7"/>
      <c r="BB676" s="7"/>
      <c r="BC676" s="4"/>
      <c r="BD676" s="8"/>
      <c r="BE676" s="4"/>
      <c r="BF676" s="8"/>
      <c r="BG676" s="7"/>
      <c r="BH676" s="7"/>
      <c r="BI676" s="7"/>
      <c r="BJ676" s="4"/>
      <c r="BK676" s="8"/>
      <c r="BL676" s="2" t="s">
        <v>98</v>
      </c>
      <c r="BM676" s="7"/>
      <c r="BN676" s="7"/>
      <c r="BO676" s="4"/>
      <c r="BP676" s="8"/>
      <c r="BQ676" s="4"/>
      <c r="BR676" s="8"/>
      <c r="BS676" s="7"/>
      <c r="BT676" s="7"/>
      <c r="BU676" s="2" t="s">
        <v>1376</v>
      </c>
      <c r="BV676" s="2" t="s">
        <v>95</v>
      </c>
      <c r="BW676" s="2" t="s">
        <v>98</v>
      </c>
      <c r="BX676" s="2" t="s">
        <v>98</v>
      </c>
      <c r="BY676" s="2" t="s">
        <v>110</v>
      </c>
      <c r="BZ676" s="2" t="s">
        <v>98</v>
      </c>
    </row>
    <row r="677">
      <c r="A677" s="2" t="s">
        <v>3611</v>
      </c>
      <c r="B677" s="2" t="s">
        <v>1345</v>
      </c>
      <c r="C677" s="2" t="s">
        <v>952</v>
      </c>
      <c r="D677" s="2" t="s">
        <v>1346</v>
      </c>
      <c r="E677" s="2" t="s">
        <v>1346</v>
      </c>
      <c r="F677" s="2" t="s">
        <v>3612</v>
      </c>
      <c r="G677" s="2" t="s">
        <v>3612</v>
      </c>
      <c r="H677" s="2" t="s">
        <v>3612</v>
      </c>
      <c r="I677" s="2" t="s">
        <v>3613</v>
      </c>
      <c r="J677" s="2" t="s">
        <v>93</v>
      </c>
      <c r="K677" s="2" t="s">
        <v>133</v>
      </c>
      <c r="L677" s="3">
        <v>117.04</v>
      </c>
      <c r="M677" s="3">
        <v>122.89</v>
      </c>
      <c r="N677" s="3">
        <v>249</v>
      </c>
      <c r="O677" s="2" t="s">
        <v>95</v>
      </c>
      <c r="P677" s="2" t="s">
        <v>115</v>
      </c>
      <c r="Q677" s="2" t="s">
        <v>97</v>
      </c>
      <c r="R677" s="2" t="s">
        <v>98</v>
      </c>
      <c r="S677" s="2" t="s">
        <v>98</v>
      </c>
      <c r="T677" s="2" t="s">
        <v>98</v>
      </c>
      <c r="U677" s="2" t="s">
        <v>117</v>
      </c>
      <c r="V677" s="2" t="s">
        <v>296</v>
      </c>
      <c r="W677" s="2" t="s">
        <v>103</v>
      </c>
      <c r="X677" s="2" t="s">
        <v>98</v>
      </c>
      <c r="Y677" s="2" t="s">
        <v>289</v>
      </c>
      <c r="Z677" s="4">
        <v>38</v>
      </c>
      <c r="AA677" s="4">
        <f>=ROUNDDOWN(12.6666666666667,0)</f>
      </c>
      <c r="AB677" s="5">
        <v>3</v>
      </c>
      <c r="AC677" s="2" t="s">
        <v>98</v>
      </c>
      <c r="AD677" s="4"/>
      <c r="AE677" s="4"/>
      <c r="AF677" s="6">
        <v>67</v>
      </c>
      <c r="AG677" s="6"/>
      <c r="AH677" s="7">
        <v>1</v>
      </c>
      <c r="AI677" s="4"/>
      <c r="AJ677" s="4">
        <f>=ROUNDDOWN({0},0)</f>
      </c>
      <c r="AK677" s="5"/>
      <c r="AL677" s="2" t="s">
        <v>98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/>
      <c r="AW677" s="8"/>
      <c r="AX677" s="4"/>
      <c r="AY677" s="8"/>
      <c r="AZ677" s="7"/>
      <c r="BA677" s="7"/>
      <c r="BB677" s="7"/>
      <c r="BC677" s="4"/>
      <c r="BD677" s="8"/>
      <c r="BE677" s="4"/>
      <c r="BF677" s="8"/>
      <c r="BG677" s="7"/>
      <c r="BH677" s="7"/>
      <c r="BI677" s="7"/>
      <c r="BJ677" s="4">
        <v>1</v>
      </c>
      <c r="BK677" s="8">
        <v>113.92</v>
      </c>
      <c r="BL677" s="2" t="s">
        <v>895</v>
      </c>
      <c r="BM677" s="7"/>
      <c r="BN677" s="7"/>
      <c r="BO677" s="4"/>
      <c r="BP677" s="8"/>
      <c r="BQ677" s="4"/>
      <c r="BR677" s="8"/>
      <c r="BS677" s="7"/>
      <c r="BT677" s="7"/>
      <c r="BU677" s="2" t="s">
        <v>1376</v>
      </c>
      <c r="BV677" s="2" t="s">
        <v>95</v>
      </c>
      <c r="BW677" s="2" t="s">
        <v>98</v>
      </c>
      <c r="BX677" s="2" t="s">
        <v>98</v>
      </c>
      <c r="BY677" s="2" t="s">
        <v>110</v>
      </c>
      <c r="BZ677" s="2" t="s">
        <v>98</v>
      </c>
    </row>
    <row r="678">
      <c r="A678" s="2" t="s">
        <v>3614</v>
      </c>
      <c r="B678" s="2" t="s">
        <v>1345</v>
      </c>
      <c r="C678" s="2" t="s">
        <v>952</v>
      </c>
      <c r="D678" s="2" t="s">
        <v>1346</v>
      </c>
      <c r="E678" s="2" t="s">
        <v>1934</v>
      </c>
      <c r="F678" s="2" t="s">
        <v>3287</v>
      </c>
      <c r="G678" s="2" t="s">
        <v>3287</v>
      </c>
      <c r="H678" s="2" t="s">
        <v>3287</v>
      </c>
      <c r="I678" s="2" t="s">
        <v>3615</v>
      </c>
      <c r="J678" s="2" t="s">
        <v>93</v>
      </c>
      <c r="K678" s="2" t="s">
        <v>127</v>
      </c>
      <c r="L678" s="3">
        <v>262.38</v>
      </c>
      <c r="M678" s="3">
        <v>275.5</v>
      </c>
      <c r="N678" s="3">
        <v>549</v>
      </c>
      <c r="O678" s="2" t="s">
        <v>95</v>
      </c>
      <c r="P678" s="2" t="s">
        <v>142</v>
      </c>
      <c r="Q678" s="2" t="s">
        <v>97</v>
      </c>
      <c r="R678" s="2" t="s">
        <v>98</v>
      </c>
      <c r="S678" s="2" t="s">
        <v>98</v>
      </c>
      <c r="T678" s="2" t="s">
        <v>98</v>
      </c>
      <c r="U678" s="2" t="s">
        <v>117</v>
      </c>
      <c r="V678" s="2" t="s">
        <v>439</v>
      </c>
      <c r="W678" s="2" t="s">
        <v>102</v>
      </c>
      <c r="X678" s="2" t="s">
        <v>146</v>
      </c>
      <c r="Y678" s="2" t="s">
        <v>3616</v>
      </c>
      <c r="Z678" s="4">
        <v>125</v>
      </c>
      <c r="AA678" s="4">
        <f>=ROUNDDOWN(125,0)</f>
      </c>
      <c r="AB678" s="5">
        <v>1</v>
      </c>
      <c r="AC678" s="2" t="s">
        <v>98</v>
      </c>
      <c r="AD678" s="4"/>
      <c r="AE678" s="4"/>
      <c r="AF678" s="6">
        <v>76</v>
      </c>
      <c r="AG678" s="6"/>
      <c r="AH678" s="7">
        <v>1</v>
      </c>
      <c r="AI678" s="4"/>
      <c r="AJ678" s="4">
        <f>=ROUNDDOWN({0},0)</f>
      </c>
      <c r="AK678" s="5"/>
      <c r="AL678" s="2" t="s">
        <v>98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/>
      <c r="AW678" s="8"/>
      <c r="AX678" s="4"/>
      <c r="AY678" s="8"/>
      <c r="AZ678" s="7"/>
      <c r="BA678" s="7"/>
      <c r="BB678" s="7"/>
      <c r="BC678" s="4"/>
      <c r="BD678" s="8"/>
      <c r="BE678" s="4"/>
      <c r="BF678" s="8"/>
      <c r="BG678" s="7"/>
      <c r="BH678" s="7"/>
      <c r="BI678" s="7"/>
      <c r="BJ678" s="4"/>
      <c r="BK678" s="8"/>
      <c r="BL678" s="2" t="s">
        <v>98</v>
      </c>
      <c r="BM678" s="7"/>
      <c r="BN678" s="7"/>
      <c r="BO678" s="4"/>
      <c r="BP678" s="8"/>
      <c r="BQ678" s="4"/>
      <c r="BR678" s="8"/>
      <c r="BS678" s="7"/>
      <c r="BT678" s="7"/>
      <c r="BU678" s="2" t="s">
        <v>1376</v>
      </c>
      <c r="BV678" s="2" t="s">
        <v>95</v>
      </c>
      <c r="BW678" s="2" t="s">
        <v>98</v>
      </c>
      <c r="BX678" s="2" t="s">
        <v>98</v>
      </c>
      <c r="BY678" s="2" t="s">
        <v>110</v>
      </c>
      <c r="BZ678" s="2" t="s">
        <v>98</v>
      </c>
    </row>
    <row r="679">
      <c r="A679" s="2" t="s">
        <v>3617</v>
      </c>
      <c r="B679" s="2" t="s">
        <v>1345</v>
      </c>
      <c r="C679" s="2" t="s">
        <v>952</v>
      </c>
      <c r="D679" s="2" t="s">
        <v>1346</v>
      </c>
      <c r="E679" s="2" t="s">
        <v>1934</v>
      </c>
      <c r="F679" s="2" t="s">
        <v>3618</v>
      </c>
      <c r="G679" s="2" t="s">
        <v>3618</v>
      </c>
      <c r="H679" s="2" t="s">
        <v>3618</v>
      </c>
      <c r="I679" s="2" t="s">
        <v>3619</v>
      </c>
      <c r="J679" s="2" t="s">
        <v>93</v>
      </c>
      <c r="K679" s="2" t="s">
        <v>1052</v>
      </c>
      <c r="L679" s="3">
        <v>205.2</v>
      </c>
      <c r="M679" s="3">
        <v>215.46</v>
      </c>
      <c r="N679" s="3">
        <v>429</v>
      </c>
      <c r="O679" s="2" t="s">
        <v>95</v>
      </c>
      <c r="P679" s="2" t="s">
        <v>142</v>
      </c>
      <c r="Q679" s="2" t="s">
        <v>97</v>
      </c>
      <c r="R679" s="2" t="s">
        <v>98</v>
      </c>
      <c r="S679" s="2" t="s">
        <v>98</v>
      </c>
      <c r="T679" s="2" t="s">
        <v>98</v>
      </c>
      <c r="U679" s="2" t="s">
        <v>117</v>
      </c>
      <c r="V679" s="2" t="s">
        <v>296</v>
      </c>
      <c r="W679" s="2" t="s">
        <v>103</v>
      </c>
      <c r="X679" s="2" t="s">
        <v>314</v>
      </c>
      <c r="Y679" s="2" t="s">
        <v>1909</v>
      </c>
      <c r="Z679" s="4">
        <v>29</v>
      </c>
      <c r="AA679" s="4">
        <f>=ROUNDDOWN(14.5,0)</f>
      </c>
      <c r="AB679" s="5">
        <v>2</v>
      </c>
      <c r="AC679" s="2" t="s">
        <v>1470</v>
      </c>
      <c r="AD679" s="4">
        <v>100</v>
      </c>
      <c r="AE679" s="4">
        <v>100</v>
      </c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98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/>
      <c r="AW679" s="8"/>
      <c r="AX679" s="4"/>
      <c r="AY679" s="8"/>
      <c r="AZ679" s="7"/>
      <c r="BA679" s="7"/>
      <c r="BB679" s="7"/>
      <c r="BC679" s="4"/>
      <c r="BD679" s="8"/>
      <c r="BE679" s="4"/>
      <c r="BF679" s="8"/>
      <c r="BG679" s="7"/>
      <c r="BH679" s="7"/>
      <c r="BI679" s="7"/>
      <c r="BJ679" s="4"/>
      <c r="BK679" s="8"/>
      <c r="BL679" s="2" t="s">
        <v>98</v>
      </c>
      <c r="BM679" s="7"/>
      <c r="BN679" s="7"/>
      <c r="BO679" s="4"/>
      <c r="BP679" s="8"/>
      <c r="BQ679" s="4"/>
      <c r="BR679" s="8"/>
      <c r="BS679" s="7"/>
      <c r="BT679" s="7"/>
      <c r="BU679" s="2" t="s">
        <v>1376</v>
      </c>
      <c r="BV679" s="2" t="s">
        <v>95</v>
      </c>
      <c r="BW679" s="2" t="s">
        <v>98</v>
      </c>
      <c r="BX679" s="2" t="s">
        <v>98</v>
      </c>
      <c r="BY679" s="2" t="s">
        <v>110</v>
      </c>
      <c r="BZ679" s="2" t="s">
        <v>98</v>
      </c>
    </row>
    <row r="680">
      <c r="A680" s="2" t="s">
        <v>3620</v>
      </c>
      <c r="B680" s="2" t="s">
        <v>1345</v>
      </c>
      <c r="C680" s="2" t="s">
        <v>952</v>
      </c>
      <c r="D680" s="2" t="s">
        <v>1346</v>
      </c>
      <c r="E680" s="2" t="s">
        <v>1934</v>
      </c>
      <c r="F680" s="2" t="s">
        <v>3621</v>
      </c>
      <c r="G680" s="2" t="s">
        <v>3621</v>
      </c>
      <c r="H680" s="2" t="s">
        <v>3621</v>
      </c>
      <c r="I680" s="2" t="s">
        <v>1432</v>
      </c>
      <c r="J680" s="2" t="s">
        <v>93</v>
      </c>
      <c r="K680" s="2" t="s">
        <v>277</v>
      </c>
      <c r="L680" s="3">
        <v>148.5</v>
      </c>
      <c r="M680" s="3">
        <v>155.92</v>
      </c>
      <c r="N680" s="3">
        <v>319</v>
      </c>
      <c r="O680" s="2" t="s">
        <v>95</v>
      </c>
      <c r="P680" s="2" t="s">
        <v>115</v>
      </c>
      <c r="Q680" s="2" t="s">
        <v>97</v>
      </c>
      <c r="R680" s="2" t="s">
        <v>98</v>
      </c>
      <c r="S680" s="2" t="s">
        <v>98</v>
      </c>
      <c r="T680" s="2" t="s">
        <v>98</v>
      </c>
      <c r="U680" s="2" t="s">
        <v>117</v>
      </c>
      <c r="V680" s="2" t="s">
        <v>296</v>
      </c>
      <c r="W680" s="2" t="s">
        <v>963</v>
      </c>
      <c r="X680" s="2" t="s">
        <v>98</v>
      </c>
      <c r="Y680" s="2" t="s">
        <v>3622</v>
      </c>
      <c r="Z680" s="4">
        <v>18</v>
      </c>
      <c r="AA680" s="4">
        <f>=ROUNDDOWN(4.86486486486486,0)</f>
      </c>
      <c r="AB680" s="5">
        <v>3.7</v>
      </c>
      <c r="AC680" s="2" t="s">
        <v>98</v>
      </c>
      <c r="AD680" s="4"/>
      <c r="AE680" s="4"/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98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/>
      <c r="AW680" s="8"/>
      <c r="AX680" s="4"/>
      <c r="AY680" s="8"/>
      <c r="AZ680" s="7"/>
      <c r="BA680" s="7"/>
      <c r="BB680" s="7"/>
      <c r="BC680" s="4"/>
      <c r="BD680" s="8"/>
      <c r="BE680" s="4"/>
      <c r="BF680" s="8"/>
      <c r="BG680" s="7"/>
      <c r="BH680" s="7"/>
      <c r="BI680" s="7"/>
      <c r="BJ680" s="4">
        <v>8</v>
      </c>
      <c r="BK680" s="8">
        <v>1242.84</v>
      </c>
      <c r="BL680" s="2" t="s">
        <v>3623</v>
      </c>
      <c r="BM680" s="7"/>
      <c r="BN680" s="7"/>
      <c r="BO680" s="4"/>
      <c r="BP680" s="8"/>
      <c r="BQ680" s="4"/>
      <c r="BR680" s="8"/>
      <c r="BS680" s="7"/>
      <c r="BT680" s="7"/>
      <c r="BU680" s="2" t="s">
        <v>1376</v>
      </c>
      <c r="BV680" s="2" t="s">
        <v>95</v>
      </c>
      <c r="BW680" s="2" t="s">
        <v>98</v>
      </c>
      <c r="BX680" s="2" t="s">
        <v>98</v>
      </c>
      <c r="BY680" s="2" t="s">
        <v>110</v>
      </c>
      <c r="BZ680" s="2" t="s">
        <v>98</v>
      </c>
    </row>
    <row r="681">
      <c r="A681" s="2" t="s">
        <v>3624</v>
      </c>
      <c r="B681" s="2" t="s">
        <v>1345</v>
      </c>
      <c r="C681" s="2" t="s">
        <v>952</v>
      </c>
      <c r="D681" s="2" t="s">
        <v>1346</v>
      </c>
      <c r="E681" s="2" t="s">
        <v>1934</v>
      </c>
      <c r="F681" s="2" t="s">
        <v>3625</v>
      </c>
      <c r="G681" s="2" t="s">
        <v>3625</v>
      </c>
      <c r="H681" s="2" t="s">
        <v>3625</v>
      </c>
      <c r="I681" s="2" t="s">
        <v>3626</v>
      </c>
      <c r="J681" s="2" t="s">
        <v>93</v>
      </c>
      <c r="K681" s="2" t="s">
        <v>514</v>
      </c>
      <c r="L681" s="3">
        <v>140.25</v>
      </c>
      <c r="M681" s="3">
        <v>147.26</v>
      </c>
      <c r="N681" s="3">
        <v>299</v>
      </c>
      <c r="O681" s="2" t="s">
        <v>155</v>
      </c>
      <c r="P681" s="2" t="s">
        <v>115</v>
      </c>
      <c r="Q681" s="2" t="s">
        <v>97</v>
      </c>
      <c r="R681" s="2" t="s">
        <v>98</v>
      </c>
      <c r="S681" s="2" t="s">
        <v>98</v>
      </c>
      <c r="T681" s="2" t="s">
        <v>98</v>
      </c>
      <c r="U681" s="2" t="s">
        <v>117</v>
      </c>
      <c r="V681" s="2" t="s">
        <v>296</v>
      </c>
      <c r="W681" s="2" t="s">
        <v>963</v>
      </c>
      <c r="X681" s="2" t="s">
        <v>98</v>
      </c>
      <c r="Y681" s="2" t="s">
        <v>1881</v>
      </c>
      <c r="Z681" s="4">
        <v>21</v>
      </c>
      <c r="AA681" s="4">
        <f>=ROUNDDOWN(15,0)</f>
      </c>
      <c r="AB681" s="5">
        <v>1.4</v>
      </c>
      <c r="AC681" s="2" t="s">
        <v>98</v>
      </c>
      <c r="AD681" s="4"/>
      <c r="AE681" s="4"/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98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/>
      <c r="AW681" s="8"/>
      <c r="AX681" s="4"/>
      <c r="AY681" s="8"/>
      <c r="AZ681" s="7"/>
      <c r="BA681" s="7"/>
      <c r="BB681" s="7"/>
      <c r="BC681" s="4"/>
      <c r="BD681" s="8"/>
      <c r="BE681" s="4"/>
      <c r="BF681" s="8"/>
      <c r="BG681" s="7"/>
      <c r="BH681" s="7"/>
      <c r="BI681" s="7"/>
      <c r="BJ681" s="4"/>
      <c r="BK681" s="8"/>
      <c r="BL681" s="2" t="s">
        <v>98</v>
      </c>
      <c r="BM681" s="7"/>
      <c r="BN681" s="7"/>
      <c r="BO681" s="4"/>
      <c r="BP681" s="8"/>
      <c r="BQ681" s="4"/>
      <c r="BR681" s="8"/>
      <c r="BS681" s="7"/>
      <c r="BT681" s="7"/>
      <c r="BU681" s="2" t="s">
        <v>1376</v>
      </c>
      <c r="BV681" s="2" t="s">
        <v>95</v>
      </c>
      <c r="BW681" s="2" t="s">
        <v>98</v>
      </c>
      <c r="BX681" s="2" t="s">
        <v>98</v>
      </c>
      <c r="BY681" s="2" t="s">
        <v>110</v>
      </c>
      <c r="BZ681" s="2" t="s">
        <v>98</v>
      </c>
    </row>
    <row r="682">
      <c r="A682" s="2" t="s">
        <v>3627</v>
      </c>
      <c r="B682" s="2" t="s">
        <v>1345</v>
      </c>
      <c r="C682" s="2" t="s">
        <v>952</v>
      </c>
      <c r="D682" s="2" t="s">
        <v>1346</v>
      </c>
      <c r="E682" s="2" t="s">
        <v>1934</v>
      </c>
      <c r="F682" s="2" t="s">
        <v>3628</v>
      </c>
      <c r="G682" s="2" t="s">
        <v>3628</v>
      </c>
      <c r="H682" s="2" t="s">
        <v>3628</v>
      </c>
      <c r="I682" s="2" t="s">
        <v>1432</v>
      </c>
      <c r="J682" s="2" t="s">
        <v>93</v>
      </c>
      <c r="K682" s="2" t="s">
        <v>133</v>
      </c>
      <c r="L682" s="3">
        <v>120</v>
      </c>
      <c r="M682" s="3">
        <v>126</v>
      </c>
      <c r="N682" s="3">
        <v>249</v>
      </c>
      <c r="O682" s="2" t="s">
        <v>155</v>
      </c>
      <c r="P682" s="2" t="s">
        <v>115</v>
      </c>
      <c r="Q682" s="2" t="s">
        <v>97</v>
      </c>
      <c r="R682" s="2" t="s">
        <v>98</v>
      </c>
      <c r="S682" s="2" t="s">
        <v>98</v>
      </c>
      <c r="T682" s="2" t="s">
        <v>98</v>
      </c>
      <c r="U682" s="2" t="s">
        <v>117</v>
      </c>
      <c r="V682" s="2" t="s">
        <v>296</v>
      </c>
      <c r="W682" s="2" t="s">
        <v>102</v>
      </c>
      <c r="X682" s="2" t="s">
        <v>98</v>
      </c>
      <c r="Y682" s="2" t="s">
        <v>3224</v>
      </c>
      <c r="Z682" s="4">
        <v>140</v>
      </c>
      <c r="AA682" s="4">
        <f>=ROUNDDOWN({0},0)</f>
      </c>
      <c r="AB682" s="5"/>
      <c r="AC682" s="2" t="s">
        <v>98</v>
      </c>
      <c r="AD682" s="4"/>
      <c r="AE682" s="4"/>
      <c r="AF682" s="6">
        <v>67</v>
      </c>
      <c r="AG682" s="6"/>
      <c r="AH682" s="7">
        <v>1</v>
      </c>
      <c r="AI682" s="4"/>
      <c r="AJ682" s="4">
        <f>=ROUNDDOWN({0},0)</f>
      </c>
      <c r="AK682" s="5"/>
      <c r="AL682" s="2" t="s">
        <v>98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/>
      <c r="AW682" s="8"/>
      <c r="AX682" s="4"/>
      <c r="AY682" s="8"/>
      <c r="AZ682" s="7"/>
      <c r="BA682" s="7"/>
      <c r="BB682" s="7"/>
      <c r="BC682" s="4"/>
      <c r="BD682" s="8"/>
      <c r="BE682" s="4"/>
      <c r="BF682" s="8"/>
      <c r="BG682" s="7"/>
      <c r="BH682" s="7"/>
      <c r="BI682" s="7"/>
      <c r="BJ682" s="4"/>
      <c r="BK682" s="8"/>
      <c r="BL682" s="2" t="s">
        <v>98</v>
      </c>
      <c r="BM682" s="7"/>
      <c r="BN682" s="7"/>
      <c r="BO682" s="4"/>
      <c r="BP682" s="8"/>
      <c r="BQ682" s="4"/>
      <c r="BR682" s="8"/>
      <c r="BS682" s="7"/>
      <c r="BT682" s="7"/>
      <c r="BU682" s="2" t="s">
        <v>1376</v>
      </c>
      <c r="BV682" s="2" t="s">
        <v>95</v>
      </c>
      <c r="BW682" s="2" t="s">
        <v>98</v>
      </c>
      <c r="BX682" s="2" t="s">
        <v>98</v>
      </c>
      <c r="BY682" s="2" t="s">
        <v>110</v>
      </c>
      <c r="BZ682" s="2" t="s">
        <v>98</v>
      </c>
    </row>
    <row r="683">
      <c r="A683" s="2" t="s">
        <v>3629</v>
      </c>
      <c r="B683" s="2" t="s">
        <v>1345</v>
      </c>
      <c r="C683" s="2" t="s">
        <v>952</v>
      </c>
      <c r="D683" s="2" t="s">
        <v>2390</v>
      </c>
      <c r="E683" s="2" t="s">
        <v>2391</v>
      </c>
      <c r="F683" s="2" t="s">
        <v>3630</v>
      </c>
      <c r="G683" s="2" t="s">
        <v>98</v>
      </c>
      <c r="H683" s="2" t="s">
        <v>98</v>
      </c>
      <c r="I683" s="2" t="s">
        <v>3631</v>
      </c>
      <c r="J683" s="2" t="s">
        <v>93</v>
      </c>
      <c r="K683" s="2" t="s">
        <v>133</v>
      </c>
      <c r="L683" s="3">
        <v>114</v>
      </c>
      <c r="M683" s="3">
        <v>119.7</v>
      </c>
      <c r="N683" s="3">
        <v>239</v>
      </c>
      <c r="O683" s="2" t="s">
        <v>95</v>
      </c>
      <c r="P683" s="2" t="s">
        <v>134</v>
      </c>
      <c r="Q683" s="2" t="s">
        <v>97</v>
      </c>
      <c r="R683" s="2" t="s">
        <v>98</v>
      </c>
      <c r="S683" s="2" t="s">
        <v>3632</v>
      </c>
      <c r="T683" s="2" t="s">
        <v>98</v>
      </c>
      <c r="U683" s="2" t="s">
        <v>98</v>
      </c>
      <c r="V683" s="2" t="s">
        <v>439</v>
      </c>
      <c r="W683" s="2" t="s">
        <v>968</v>
      </c>
      <c r="X683" s="2" t="s">
        <v>98</v>
      </c>
      <c r="Y683" s="2" t="s">
        <v>366</v>
      </c>
      <c r="Z683" s="4">
        <v>191</v>
      </c>
      <c r="AA683" s="4">
        <f>=ROUNDDOWN(15.9166666666667,0)</f>
      </c>
      <c r="AB683" s="5">
        <v>12</v>
      </c>
      <c r="AC683" s="2" t="s">
        <v>1932</v>
      </c>
      <c r="AD683" s="4">
        <v>390</v>
      </c>
      <c r="AE683" s="4">
        <v>390</v>
      </c>
      <c r="AF683" s="6">
        <v>76</v>
      </c>
      <c r="AG683" s="6">
        <v>62</v>
      </c>
      <c r="AH683" s="7">
        <v>1</v>
      </c>
      <c r="AI683" s="4"/>
      <c r="AJ683" s="4">
        <f>=ROUNDDOWN({0},0)</f>
      </c>
      <c r="AK683" s="5"/>
      <c r="AL683" s="2" t="s">
        <v>98</v>
      </c>
      <c r="AM683" s="4"/>
      <c r="AN683" s="4"/>
      <c r="AO683" s="7">
        <v>0</v>
      </c>
      <c r="AP683" s="4">
        <v>6</v>
      </c>
      <c r="AQ683" s="8">
        <v>630.18</v>
      </c>
      <c r="AR683" s="4"/>
      <c r="AS683" s="8"/>
      <c r="AT683" s="7"/>
      <c r="AU683" s="7"/>
      <c r="AV683" s="4">
        <v>6</v>
      </c>
      <c r="AW683" s="8">
        <v>630.18</v>
      </c>
      <c r="AX683" s="4"/>
      <c r="AY683" s="8"/>
      <c r="AZ683" s="7"/>
      <c r="BA683" s="7"/>
      <c r="BB683" s="7">
        <v>1</v>
      </c>
      <c r="BC683" s="4">
        <v>6</v>
      </c>
      <c r="BD683" s="8">
        <v>630.18</v>
      </c>
      <c r="BE683" s="4" t="s">
        <v>98</v>
      </c>
      <c r="BF683" s="8" t="s">
        <v>98</v>
      </c>
      <c r="BG683" s="7" t="s">
        <v>98</v>
      </c>
      <c r="BH683" s="7" t="s">
        <v>98</v>
      </c>
      <c r="BI683" s="7">
        <v>1</v>
      </c>
      <c r="BJ683" s="4">
        <v>6</v>
      </c>
      <c r="BK683" s="8">
        <v>630.18</v>
      </c>
      <c r="BL683" s="2" t="s">
        <v>2244</v>
      </c>
      <c r="BM683" s="7">
        <v>1</v>
      </c>
      <c r="BN683" s="7">
        <v>1</v>
      </c>
      <c r="BO683" s="4">
        <v>6</v>
      </c>
      <c r="BP683" s="8">
        <v>630.18</v>
      </c>
      <c r="BQ683" s="4"/>
      <c r="BR683" s="8"/>
      <c r="BS683" s="7"/>
      <c r="BT683" s="7"/>
      <c r="BU683" s="2" t="s">
        <v>107</v>
      </c>
      <c r="BV683" s="2" t="s">
        <v>1355</v>
      </c>
      <c r="BW683" s="2" t="s">
        <v>1356</v>
      </c>
      <c r="BX683" s="2" t="s">
        <v>3633</v>
      </c>
      <c r="BY683" s="2" t="s">
        <v>110</v>
      </c>
      <c r="BZ683" s="2" t="s">
        <v>98</v>
      </c>
    </row>
    <row r="684">
      <c r="A684" s="2" t="s">
        <v>3634</v>
      </c>
      <c r="B684" s="2" t="s">
        <v>1345</v>
      </c>
      <c r="C684" s="2" t="s">
        <v>952</v>
      </c>
      <c r="D684" s="2" t="s">
        <v>2390</v>
      </c>
      <c r="E684" s="2" t="s">
        <v>2391</v>
      </c>
      <c r="F684" s="2" t="s">
        <v>3630</v>
      </c>
      <c r="G684" s="2" t="s">
        <v>3630</v>
      </c>
      <c r="H684" s="2" t="s">
        <v>3630</v>
      </c>
      <c r="I684" s="2" t="s">
        <v>3631</v>
      </c>
      <c r="J684" s="2" t="s">
        <v>93</v>
      </c>
      <c r="K684" s="2" t="s">
        <v>473</v>
      </c>
      <c r="L684" s="3">
        <v>114</v>
      </c>
      <c r="M684" s="3">
        <v>119.7</v>
      </c>
      <c r="N684" s="3">
        <v>239</v>
      </c>
      <c r="O684" s="2" t="s">
        <v>95</v>
      </c>
      <c r="P684" s="2" t="s">
        <v>134</v>
      </c>
      <c r="Q684" s="2" t="s">
        <v>97</v>
      </c>
      <c r="R684" s="2" t="s">
        <v>98</v>
      </c>
      <c r="S684" s="2" t="s">
        <v>3635</v>
      </c>
      <c r="T684" s="2" t="s">
        <v>98</v>
      </c>
      <c r="U684" s="2" t="s">
        <v>98</v>
      </c>
      <c r="V684" s="2" t="s">
        <v>439</v>
      </c>
      <c r="W684" s="2" t="s">
        <v>968</v>
      </c>
      <c r="X684" s="2" t="s">
        <v>98</v>
      </c>
      <c r="Y684" s="2" t="s">
        <v>1999</v>
      </c>
      <c r="Z684" s="4">
        <v>69</v>
      </c>
      <c r="AA684" s="4">
        <f>=ROUNDDOWN(11.5,0)</f>
      </c>
      <c r="AB684" s="5">
        <v>6</v>
      </c>
      <c r="AC684" s="2" t="s">
        <v>1932</v>
      </c>
      <c r="AD684" s="4">
        <v>180</v>
      </c>
      <c r="AE684" s="4">
        <v>180</v>
      </c>
      <c r="AF684" s="6">
        <v>76</v>
      </c>
      <c r="AG684" s="6">
        <v>62</v>
      </c>
      <c r="AH684" s="7">
        <v>1</v>
      </c>
      <c r="AI684" s="4"/>
      <c r="AJ684" s="4">
        <f>=ROUNDDOWN({0},0)</f>
      </c>
      <c r="AK684" s="5"/>
      <c r="AL684" s="2" t="s">
        <v>98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/>
      <c r="AW684" s="8"/>
      <c r="AX684" s="4"/>
      <c r="AY684" s="8"/>
      <c r="AZ684" s="7"/>
      <c r="BA684" s="7"/>
      <c r="BB684" s="7"/>
      <c r="BC684" s="4" t="s">
        <v>98</v>
      </c>
      <c r="BD684" s="8" t="s">
        <v>98</v>
      </c>
      <c r="BE684" s="4" t="s">
        <v>98</v>
      </c>
      <c r="BF684" s="8" t="s">
        <v>98</v>
      </c>
      <c r="BG684" s="7" t="s">
        <v>98</v>
      </c>
      <c r="BH684" s="7" t="s">
        <v>98</v>
      </c>
      <c r="BI684" s="7"/>
      <c r="BJ684" s="4"/>
      <c r="BK684" s="8"/>
      <c r="BL684" s="2" t="s">
        <v>98</v>
      </c>
      <c r="BM684" s="7"/>
      <c r="BN684" s="7"/>
      <c r="BO684" s="4"/>
      <c r="BP684" s="8"/>
      <c r="BQ684" s="4"/>
      <c r="BR684" s="8"/>
      <c r="BS684" s="7"/>
      <c r="BT684" s="7"/>
      <c r="BU684" s="2" t="s">
        <v>107</v>
      </c>
      <c r="BV684" s="2" t="s">
        <v>1355</v>
      </c>
      <c r="BW684" s="2" t="s">
        <v>1550</v>
      </c>
      <c r="BX684" s="2" t="s">
        <v>3636</v>
      </c>
      <c r="BY684" s="2" t="s">
        <v>110</v>
      </c>
      <c r="BZ684" s="2" t="s">
        <v>98</v>
      </c>
    </row>
    <row r="685">
      <c r="A685" s="2" t="s">
        <v>3637</v>
      </c>
      <c r="B685" s="2" t="s">
        <v>1345</v>
      </c>
      <c r="C685" s="2" t="s">
        <v>952</v>
      </c>
      <c r="D685" s="2" t="s">
        <v>2390</v>
      </c>
      <c r="E685" s="2" t="s">
        <v>2391</v>
      </c>
      <c r="F685" s="2" t="s">
        <v>3638</v>
      </c>
      <c r="G685" s="2" t="s">
        <v>3638</v>
      </c>
      <c r="H685" s="2" t="s">
        <v>3638</v>
      </c>
      <c r="I685" s="2" t="s">
        <v>3639</v>
      </c>
      <c r="J685" s="2" t="s">
        <v>93</v>
      </c>
      <c r="K685" s="2" t="s">
        <v>133</v>
      </c>
      <c r="L685" s="3">
        <v>85.5</v>
      </c>
      <c r="M685" s="3">
        <v>89.78</v>
      </c>
      <c r="N685" s="3">
        <v>179</v>
      </c>
      <c r="O685" s="2" t="s">
        <v>95</v>
      </c>
      <c r="P685" s="2" t="s">
        <v>142</v>
      </c>
      <c r="Q685" s="2" t="s">
        <v>97</v>
      </c>
      <c r="R685" s="2" t="s">
        <v>98</v>
      </c>
      <c r="S685" s="2" t="s">
        <v>98</v>
      </c>
      <c r="T685" s="2" t="s">
        <v>98</v>
      </c>
      <c r="U685" s="2" t="s">
        <v>117</v>
      </c>
      <c r="V685" s="2" t="s">
        <v>296</v>
      </c>
      <c r="W685" s="2" t="s">
        <v>102</v>
      </c>
      <c r="X685" s="2" t="s">
        <v>98</v>
      </c>
      <c r="Y685" s="2" t="s">
        <v>3640</v>
      </c>
      <c r="Z685" s="4">
        <v>58</v>
      </c>
      <c r="AA685" s="4">
        <f>=ROUNDDOWN(14.5,0)</f>
      </c>
      <c r="AB685" s="5">
        <v>4</v>
      </c>
      <c r="AC685" s="2" t="s">
        <v>1088</v>
      </c>
      <c r="AD685" s="4">
        <v>160</v>
      </c>
      <c r="AE685" s="4">
        <v>160</v>
      </c>
      <c r="AF685" s="6">
        <v>65</v>
      </c>
      <c r="AG685" s="6">
        <v>48</v>
      </c>
      <c r="AH685" s="7">
        <v>1</v>
      </c>
      <c r="AI685" s="4"/>
      <c r="AJ685" s="4">
        <f>=ROUNDDOWN({0},0)</f>
      </c>
      <c r="AK685" s="5"/>
      <c r="AL685" s="2" t="s">
        <v>98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/>
      <c r="AW685" s="8"/>
      <c r="AX685" s="4"/>
      <c r="AY685" s="8"/>
      <c r="AZ685" s="7"/>
      <c r="BA685" s="7"/>
      <c r="BB685" s="7"/>
      <c r="BC685" s="4"/>
      <c r="BD685" s="8"/>
      <c r="BE685" s="4"/>
      <c r="BF685" s="8"/>
      <c r="BG685" s="7"/>
      <c r="BH685" s="7"/>
      <c r="BI685" s="7"/>
      <c r="BJ685" s="4"/>
      <c r="BK685" s="8"/>
      <c r="BL685" s="2" t="s">
        <v>2662</v>
      </c>
      <c r="BM685" s="7"/>
      <c r="BN685" s="7"/>
      <c r="BO685" s="4"/>
      <c r="BP685" s="8"/>
      <c r="BQ685" s="4"/>
      <c r="BR685" s="8"/>
      <c r="BS685" s="7"/>
      <c r="BT685" s="7"/>
      <c r="BU685" s="2" t="s">
        <v>1376</v>
      </c>
      <c r="BV685" s="2" t="s">
        <v>95</v>
      </c>
      <c r="BW685" s="2" t="s">
        <v>98</v>
      </c>
      <c r="BX685" s="2" t="s">
        <v>98</v>
      </c>
      <c r="BY685" s="2" t="s">
        <v>110</v>
      </c>
      <c r="BZ685" s="2" t="s">
        <v>98</v>
      </c>
    </row>
    <row r="686">
      <c r="A686" s="2" t="s">
        <v>3641</v>
      </c>
      <c r="B686" s="2" t="s">
        <v>1345</v>
      </c>
      <c r="C686" s="2" t="s">
        <v>952</v>
      </c>
      <c r="D686" s="2" t="s">
        <v>2390</v>
      </c>
      <c r="E686" s="2" t="s">
        <v>2391</v>
      </c>
      <c r="F686" s="2" t="s">
        <v>3517</v>
      </c>
      <c r="G686" s="2" t="s">
        <v>3517</v>
      </c>
      <c r="H686" s="2" t="s">
        <v>3517</v>
      </c>
      <c r="I686" s="2" t="s">
        <v>2433</v>
      </c>
      <c r="J686" s="2" t="s">
        <v>93</v>
      </c>
      <c r="K686" s="2" t="s">
        <v>1915</v>
      </c>
      <c r="L686" s="3">
        <v>119.7</v>
      </c>
      <c r="M686" s="3">
        <v>125.68</v>
      </c>
      <c r="N686" s="3">
        <v>249</v>
      </c>
      <c r="O686" s="2" t="s">
        <v>95</v>
      </c>
      <c r="P686" s="2" t="s">
        <v>96</v>
      </c>
      <c r="Q686" s="2" t="s">
        <v>97</v>
      </c>
      <c r="R686" s="2" t="s">
        <v>98</v>
      </c>
      <c r="S686" s="2" t="s">
        <v>3642</v>
      </c>
      <c r="T686" s="2" t="s">
        <v>98</v>
      </c>
      <c r="U686" s="2" t="s">
        <v>117</v>
      </c>
      <c r="V686" s="2" t="s">
        <v>439</v>
      </c>
      <c r="W686" s="2" t="s">
        <v>963</v>
      </c>
      <c r="X686" s="2" t="s">
        <v>98</v>
      </c>
      <c r="Y686" s="2" t="s">
        <v>3643</v>
      </c>
      <c r="Z686" s="4">
        <v>177</v>
      </c>
      <c r="AA686" s="4">
        <f>=ROUNDDOWN(8.42857142857143,0)</f>
      </c>
      <c r="AB686" s="5">
        <v>21</v>
      </c>
      <c r="AC686" s="2" t="s">
        <v>1643</v>
      </c>
      <c r="AD686" s="4">
        <v>59</v>
      </c>
      <c r="AE686" s="4">
        <v>420</v>
      </c>
      <c r="AF686" s="6">
        <v>65</v>
      </c>
      <c r="AG686" s="6">
        <v>48</v>
      </c>
      <c r="AH686" s="7">
        <v>1</v>
      </c>
      <c r="AI686" s="4"/>
      <c r="AJ686" s="4">
        <f>=ROUNDDOWN({0},0)</f>
      </c>
      <c r="AK686" s="5"/>
      <c r="AL686" s="2" t="s">
        <v>98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/>
      <c r="AW686" s="8"/>
      <c r="AX686" s="4"/>
      <c r="AY686" s="8"/>
      <c r="AZ686" s="7"/>
      <c r="BA686" s="7"/>
      <c r="BB686" s="7"/>
      <c r="BC686" s="4" t="s">
        <v>98</v>
      </c>
      <c r="BD686" s="8" t="s">
        <v>98</v>
      </c>
      <c r="BE686" s="4" t="s">
        <v>98</v>
      </c>
      <c r="BF686" s="8" t="s">
        <v>98</v>
      </c>
      <c r="BG686" s="7" t="s">
        <v>98</v>
      </c>
      <c r="BH686" s="7" t="s">
        <v>98</v>
      </c>
      <c r="BI686" s="7"/>
      <c r="BJ686" s="4">
        <v>3</v>
      </c>
      <c r="BK686" s="8">
        <v>413.16</v>
      </c>
      <c r="BL686" s="2" t="s">
        <v>1701</v>
      </c>
      <c r="BM686" s="7"/>
      <c r="BN686" s="7"/>
      <c r="BO686" s="4"/>
      <c r="BP686" s="8"/>
      <c r="BQ686" s="4"/>
      <c r="BR686" s="8"/>
      <c r="BS686" s="7"/>
      <c r="BT686" s="7"/>
      <c r="BU686" s="2" t="s">
        <v>107</v>
      </c>
      <c r="BV686" s="2" t="s">
        <v>1355</v>
      </c>
      <c r="BW686" s="2" t="s">
        <v>1777</v>
      </c>
      <c r="BX686" s="2" t="s">
        <v>434</v>
      </c>
      <c r="BY686" s="2" t="s">
        <v>110</v>
      </c>
      <c r="BZ686" s="2" t="s">
        <v>98</v>
      </c>
    </row>
    <row r="687">
      <c r="A687" s="2" t="s">
        <v>3644</v>
      </c>
      <c r="B687" s="2" t="s">
        <v>1345</v>
      </c>
      <c r="C687" s="2" t="s">
        <v>952</v>
      </c>
      <c r="D687" s="2" t="s">
        <v>2390</v>
      </c>
      <c r="E687" s="2" t="s">
        <v>2391</v>
      </c>
      <c r="F687" s="2" t="s">
        <v>3517</v>
      </c>
      <c r="G687" s="2" t="s">
        <v>3517</v>
      </c>
      <c r="H687" s="2" t="s">
        <v>3517</v>
      </c>
      <c r="I687" s="2" t="s">
        <v>2433</v>
      </c>
      <c r="J687" s="2" t="s">
        <v>93</v>
      </c>
      <c r="K687" s="2" t="s">
        <v>357</v>
      </c>
      <c r="L687" s="3">
        <v>119.7</v>
      </c>
      <c r="M687" s="3">
        <v>125.68</v>
      </c>
      <c r="N687" s="3">
        <v>249</v>
      </c>
      <c r="O687" s="2" t="s">
        <v>95</v>
      </c>
      <c r="P687" s="2" t="s">
        <v>134</v>
      </c>
      <c r="Q687" s="2" t="s">
        <v>97</v>
      </c>
      <c r="R687" s="2" t="s">
        <v>98</v>
      </c>
      <c r="S687" s="2" t="s">
        <v>98</v>
      </c>
      <c r="T687" s="2" t="s">
        <v>98</v>
      </c>
      <c r="U687" s="2" t="s">
        <v>117</v>
      </c>
      <c r="V687" s="2" t="s">
        <v>439</v>
      </c>
      <c r="W687" s="2" t="s">
        <v>963</v>
      </c>
      <c r="X687" s="2" t="s">
        <v>98</v>
      </c>
      <c r="Y687" s="2" t="s">
        <v>3645</v>
      </c>
      <c r="Z687" s="4">
        <v>151</v>
      </c>
      <c r="AA687" s="4">
        <f>=ROUNDDOWN(18.875,0)</f>
      </c>
      <c r="AB687" s="5">
        <v>8</v>
      </c>
      <c r="AC687" s="2" t="s">
        <v>1525</v>
      </c>
      <c r="AD687" s="4">
        <v>100</v>
      </c>
      <c r="AE687" s="4">
        <v>100</v>
      </c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98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/>
      <c r="AW687" s="8"/>
      <c r="AX687" s="4"/>
      <c r="AY687" s="8"/>
      <c r="AZ687" s="7"/>
      <c r="BA687" s="7"/>
      <c r="BB687" s="7"/>
      <c r="BC687" s="4" t="s">
        <v>98</v>
      </c>
      <c r="BD687" s="8" t="s">
        <v>98</v>
      </c>
      <c r="BE687" s="4" t="s">
        <v>98</v>
      </c>
      <c r="BF687" s="8" t="s">
        <v>98</v>
      </c>
      <c r="BG687" s="7" t="s">
        <v>98</v>
      </c>
      <c r="BH687" s="7" t="s">
        <v>98</v>
      </c>
      <c r="BI687" s="7"/>
      <c r="BJ687" s="4">
        <v>3</v>
      </c>
      <c r="BK687" s="8">
        <v>367.92</v>
      </c>
      <c r="BL687" s="2" t="s">
        <v>1379</v>
      </c>
      <c r="BM687" s="7"/>
      <c r="BN687" s="7"/>
      <c r="BO687" s="4"/>
      <c r="BP687" s="8"/>
      <c r="BQ687" s="4"/>
      <c r="BR687" s="8"/>
      <c r="BS687" s="7"/>
      <c r="BT687" s="7"/>
      <c r="BU687" s="2" t="s">
        <v>1376</v>
      </c>
      <c r="BV687" s="2" t="s">
        <v>95</v>
      </c>
      <c r="BW687" s="2" t="s">
        <v>98</v>
      </c>
      <c r="BX687" s="2" t="s">
        <v>98</v>
      </c>
      <c r="BY687" s="2" t="s">
        <v>110</v>
      </c>
      <c r="BZ687" s="2" t="s">
        <v>98</v>
      </c>
    </row>
    <row r="688">
      <c r="A688" s="2" t="s">
        <v>3646</v>
      </c>
      <c r="B688" s="2" t="s">
        <v>1345</v>
      </c>
      <c r="C688" s="2" t="s">
        <v>952</v>
      </c>
      <c r="D688" s="2" t="s">
        <v>2390</v>
      </c>
      <c r="E688" s="2" t="s">
        <v>2391</v>
      </c>
      <c r="F688" s="2" t="s">
        <v>3525</v>
      </c>
      <c r="G688" s="2" t="s">
        <v>3525</v>
      </c>
      <c r="H688" s="2" t="s">
        <v>3525</v>
      </c>
      <c r="I688" s="2" t="s">
        <v>2433</v>
      </c>
      <c r="J688" s="2" t="s">
        <v>93</v>
      </c>
      <c r="K688" s="2" t="s">
        <v>1915</v>
      </c>
      <c r="L688" s="3">
        <v>133</v>
      </c>
      <c r="M688" s="3">
        <v>139.65</v>
      </c>
      <c r="N688" s="3">
        <v>279</v>
      </c>
      <c r="O688" s="2" t="s">
        <v>95</v>
      </c>
      <c r="P688" s="2" t="s">
        <v>96</v>
      </c>
      <c r="Q688" s="2" t="s">
        <v>97</v>
      </c>
      <c r="R688" s="2" t="s">
        <v>98</v>
      </c>
      <c r="S688" s="2" t="s">
        <v>3647</v>
      </c>
      <c r="T688" s="2" t="s">
        <v>98</v>
      </c>
      <c r="U688" s="2" t="s">
        <v>98</v>
      </c>
      <c r="V688" s="2" t="s">
        <v>439</v>
      </c>
      <c r="W688" s="2" t="s">
        <v>103</v>
      </c>
      <c r="X688" s="2" t="s">
        <v>98</v>
      </c>
      <c r="Y688" s="2" t="s">
        <v>366</v>
      </c>
      <c r="Z688" s="4">
        <v>246</v>
      </c>
      <c r="AA688" s="4">
        <f>=ROUNDDOWN(13.6666666666667,0)</f>
      </c>
      <c r="AB688" s="5">
        <v>18</v>
      </c>
      <c r="AC688" s="2" t="s">
        <v>1353</v>
      </c>
      <c r="AD688" s="4">
        <v>454</v>
      </c>
      <c r="AE688" s="4">
        <v>934</v>
      </c>
      <c r="AF688" s="6">
        <v>65</v>
      </c>
      <c r="AG688" s="6">
        <v>48</v>
      </c>
      <c r="AH688" s="7">
        <v>1</v>
      </c>
      <c r="AI688" s="4"/>
      <c r="AJ688" s="4">
        <f>=ROUNDDOWN({0},0)</f>
      </c>
      <c r="AK688" s="5"/>
      <c r="AL688" s="2" t="s">
        <v>98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/>
      <c r="AW688" s="8"/>
      <c r="AX688" s="4"/>
      <c r="AY688" s="8"/>
      <c r="AZ688" s="7"/>
      <c r="BA688" s="7"/>
      <c r="BB688" s="7"/>
      <c r="BC688" s="4"/>
      <c r="BD688" s="8"/>
      <c r="BE688" s="4"/>
      <c r="BF688" s="8"/>
      <c r="BG688" s="7"/>
      <c r="BH688" s="7"/>
      <c r="BI688" s="7"/>
      <c r="BJ688" s="4">
        <v>15</v>
      </c>
      <c r="BK688" s="8">
        <v>1993.76</v>
      </c>
      <c r="BL688" s="2" t="s">
        <v>1575</v>
      </c>
      <c r="BM688" s="7"/>
      <c r="BN688" s="7"/>
      <c r="BO688" s="4"/>
      <c r="BP688" s="8"/>
      <c r="BQ688" s="4"/>
      <c r="BR688" s="8"/>
      <c r="BS688" s="7"/>
      <c r="BT688" s="7"/>
      <c r="BU688" s="2" t="s">
        <v>107</v>
      </c>
      <c r="BV688" s="2" t="s">
        <v>1355</v>
      </c>
      <c r="BW688" s="2" t="s">
        <v>1356</v>
      </c>
      <c r="BX688" s="2" t="s">
        <v>3648</v>
      </c>
      <c r="BY688" s="2" t="s">
        <v>110</v>
      </c>
      <c r="BZ688" s="2" t="s">
        <v>98</v>
      </c>
    </row>
    <row r="689">
      <c r="A689" s="2" t="s">
        <v>3649</v>
      </c>
      <c r="B689" s="2" t="s">
        <v>1345</v>
      </c>
      <c r="C689" s="2" t="s">
        <v>952</v>
      </c>
      <c r="D689" s="2" t="s">
        <v>2390</v>
      </c>
      <c r="E689" s="2" t="s">
        <v>2391</v>
      </c>
      <c r="F689" s="2" t="s">
        <v>3650</v>
      </c>
      <c r="G689" s="2" t="s">
        <v>98</v>
      </c>
      <c r="H689" s="2" t="s">
        <v>98</v>
      </c>
      <c r="I689" s="2" t="s">
        <v>3651</v>
      </c>
      <c r="J689" s="2" t="s">
        <v>93</v>
      </c>
      <c r="K689" s="2" t="s">
        <v>3652</v>
      </c>
      <c r="L689" s="3">
        <v>118.75</v>
      </c>
      <c r="M689" s="3">
        <v>124.69</v>
      </c>
      <c r="N689" s="3">
        <v>249</v>
      </c>
      <c r="O689" s="2" t="s">
        <v>95</v>
      </c>
      <c r="P689" s="2" t="s">
        <v>96</v>
      </c>
      <c r="Q689" s="2" t="s">
        <v>97</v>
      </c>
      <c r="R689" s="2" t="s">
        <v>98</v>
      </c>
      <c r="S689" s="2" t="s">
        <v>3653</v>
      </c>
      <c r="T689" s="2" t="s">
        <v>98</v>
      </c>
      <c r="U689" s="2" t="s">
        <v>98</v>
      </c>
      <c r="V689" s="2" t="s">
        <v>439</v>
      </c>
      <c r="W689" s="2" t="s">
        <v>968</v>
      </c>
      <c r="X689" s="2" t="s">
        <v>98</v>
      </c>
      <c r="Y689" s="2" t="s">
        <v>366</v>
      </c>
      <c r="Z689" s="4">
        <v>111</v>
      </c>
      <c r="AA689" s="4">
        <f>=ROUNDDOWN(4.44,0)</f>
      </c>
      <c r="AB689" s="5">
        <v>25</v>
      </c>
      <c r="AC689" s="2" t="s">
        <v>1353</v>
      </c>
      <c r="AD689" s="4">
        <v>250</v>
      </c>
      <c r="AE689" s="4">
        <v>710</v>
      </c>
      <c r="AF689" s="6">
        <v>74</v>
      </c>
      <c r="AG689" s="6">
        <v>60</v>
      </c>
      <c r="AH689" s="7">
        <v>1</v>
      </c>
      <c r="AI689" s="4"/>
      <c r="AJ689" s="4">
        <f>=ROUNDDOWN({0},0)</f>
      </c>
      <c r="AK689" s="5"/>
      <c r="AL689" s="2" t="s">
        <v>98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/>
      <c r="AW689" s="8"/>
      <c r="AX689" s="4"/>
      <c r="AY689" s="8"/>
      <c r="AZ689" s="7"/>
      <c r="BA689" s="7"/>
      <c r="BB689" s="7"/>
      <c r="BC689" s="4" t="s">
        <v>98</v>
      </c>
      <c r="BD689" s="8" t="s">
        <v>98</v>
      </c>
      <c r="BE689" s="4" t="s">
        <v>98</v>
      </c>
      <c r="BF689" s="8" t="s">
        <v>98</v>
      </c>
      <c r="BG689" s="7" t="s">
        <v>98</v>
      </c>
      <c r="BH689" s="7" t="s">
        <v>98</v>
      </c>
      <c r="BI689" s="7"/>
      <c r="BJ689" s="4">
        <v>4</v>
      </c>
      <c r="BK689" s="8">
        <v>502.08</v>
      </c>
      <c r="BL689" s="2" t="s">
        <v>1575</v>
      </c>
      <c r="BM689" s="7"/>
      <c r="BN689" s="7"/>
      <c r="BO689" s="4"/>
      <c r="BP689" s="8"/>
      <c r="BQ689" s="4"/>
      <c r="BR689" s="8"/>
      <c r="BS689" s="7"/>
      <c r="BT689" s="7"/>
      <c r="BU689" s="2" t="s">
        <v>107</v>
      </c>
      <c r="BV689" s="2" t="s">
        <v>1355</v>
      </c>
      <c r="BW689" s="2" t="s">
        <v>1356</v>
      </c>
      <c r="BX689" s="2" t="s">
        <v>3654</v>
      </c>
      <c r="BY689" s="2" t="s">
        <v>110</v>
      </c>
      <c r="BZ689" s="2" t="s">
        <v>98</v>
      </c>
    </row>
    <row r="690">
      <c r="A690" s="2" t="s">
        <v>3655</v>
      </c>
      <c r="B690" s="2" t="s">
        <v>1345</v>
      </c>
      <c r="C690" s="2" t="s">
        <v>952</v>
      </c>
      <c r="D690" s="2" t="s">
        <v>2390</v>
      </c>
      <c r="E690" s="2" t="s">
        <v>2391</v>
      </c>
      <c r="F690" s="2" t="s">
        <v>3650</v>
      </c>
      <c r="G690" s="2" t="s">
        <v>3650</v>
      </c>
      <c r="H690" s="2" t="s">
        <v>3650</v>
      </c>
      <c r="I690" s="2" t="s">
        <v>3651</v>
      </c>
      <c r="J690" s="2" t="s">
        <v>93</v>
      </c>
      <c r="K690" s="2" t="s">
        <v>3656</v>
      </c>
      <c r="L690" s="3">
        <v>118.75</v>
      </c>
      <c r="M690" s="3">
        <v>124.69</v>
      </c>
      <c r="N690" s="3">
        <v>249</v>
      </c>
      <c r="O690" s="2" t="s">
        <v>95</v>
      </c>
      <c r="P690" s="2" t="s">
        <v>134</v>
      </c>
      <c r="Q690" s="2" t="s">
        <v>97</v>
      </c>
      <c r="R690" s="2" t="s">
        <v>98</v>
      </c>
      <c r="S690" s="2" t="s">
        <v>98</v>
      </c>
      <c r="T690" s="2" t="s">
        <v>98</v>
      </c>
      <c r="U690" s="2" t="s">
        <v>117</v>
      </c>
      <c r="V690" s="2" t="s">
        <v>439</v>
      </c>
      <c r="W690" s="2" t="s">
        <v>968</v>
      </c>
      <c r="X690" s="2" t="s">
        <v>102</v>
      </c>
      <c r="Y690" s="2" t="s">
        <v>3657</v>
      </c>
      <c r="Z690" s="4">
        <v>91</v>
      </c>
      <c r="AA690" s="4">
        <f>=ROUNDDOWN(15.1666666666667,0)</f>
      </c>
      <c r="AB690" s="5">
        <v>6</v>
      </c>
      <c r="AC690" s="2" t="s">
        <v>2011</v>
      </c>
      <c r="AD690" s="4">
        <v>200</v>
      </c>
      <c r="AE690" s="4">
        <v>200</v>
      </c>
      <c r="AF690" s="6">
        <v>74</v>
      </c>
      <c r="AG690" s="6">
        <v>60</v>
      </c>
      <c r="AH690" s="7">
        <v>1</v>
      </c>
      <c r="AI690" s="4"/>
      <c r="AJ690" s="4">
        <f>=ROUNDDOWN({0},0)</f>
      </c>
      <c r="AK690" s="5"/>
      <c r="AL690" s="2" t="s">
        <v>98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/>
      <c r="AW690" s="8"/>
      <c r="AX690" s="4"/>
      <c r="AY690" s="8"/>
      <c r="AZ690" s="7"/>
      <c r="BA690" s="7"/>
      <c r="BB690" s="7"/>
      <c r="BC690" s="4" t="s">
        <v>98</v>
      </c>
      <c r="BD690" s="8" t="s">
        <v>98</v>
      </c>
      <c r="BE690" s="4" t="s">
        <v>98</v>
      </c>
      <c r="BF690" s="8" t="s">
        <v>98</v>
      </c>
      <c r="BG690" s="7" t="s">
        <v>98</v>
      </c>
      <c r="BH690" s="7" t="s">
        <v>98</v>
      </c>
      <c r="BI690" s="7"/>
      <c r="BJ690" s="4">
        <v>1</v>
      </c>
      <c r="BK690" s="8">
        <v>125.52</v>
      </c>
      <c r="BL690" s="2" t="s">
        <v>3658</v>
      </c>
      <c r="BM690" s="7"/>
      <c r="BN690" s="7"/>
      <c r="BO690" s="4"/>
      <c r="BP690" s="8"/>
      <c r="BQ690" s="4"/>
      <c r="BR690" s="8"/>
      <c r="BS690" s="7"/>
      <c r="BT690" s="7"/>
      <c r="BU690" s="2" t="s">
        <v>1376</v>
      </c>
      <c r="BV690" s="2" t="s">
        <v>95</v>
      </c>
      <c r="BW690" s="2" t="s">
        <v>98</v>
      </c>
      <c r="BX690" s="2" t="s">
        <v>98</v>
      </c>
      <c r="BY690" s="2" t="s">
        <v>110</v>
      </c>
      <c r="BZ690" s="2" t="s">
        <v>98</v>
      </c>
    </row>
    <row r="691">
      <c r="A691" s="2" t="s">
        <v>3659</v>
      </c>
      <c r="B691" s="2" t="s">
        <v>1345</v>
      </c>
      <c r="C691" s="2" t="s">
        <v>952</v>
      </c>
      <c r="D691" s="2" t="s">
        <v>2390</v>
      </c>
      <c r="E691" s="2" t="s">
        <v>2391</v>
      </c>
      <c r="F691" s="2" t="s">
        <v>3660</v>
      </c>
      <c r="G691" s="2" t="s">
        <v>3660</v>
      </c>
      <c r="H691" s="2" t="s">
        <v>3660</v>
      </c>
      <c r="I691" s="2" t="s">
        <v>3661</v>
      </c>
      <c r="J691" s="2" t="s">
        <v>93</v>
      </c>
      <c r="K691" s="2" t="s">
        <v>967</v>
      </c>
      <c r="L691" s="3">
        <v>66.5</v>
      </c>
      <c r="M691" s="3">
        <v>69.82</v>
      </c>
      <c r="N691" s="3">
        <v>139</v>
      </c>
      <c r="O691" s="2" t="s">
        <v>95</v>
      </c>
      <c r="P691" s="2" t="s">
        <v>134</v>
      </c>
      <c r="Q691" s="2" t="s">
        <v>97</v>
      </c>
      <c r="R691" s="2" t="s">
        <v>98</v>
      </c>
      <c r="S691" s="2" t="s">
        <v>98</v>
      </c>
      <c r="T691" s="2" t="s">
        <v>98</v>
      </c>
      <c r="U691" s="2" t="s">
        <v>117</v>
      </c>
      <c r="V691" s="2" t="s">
        <v>296</v>
      </c>
      <c r="W691" s="2" t="s">
        <v>102</v>
      </c>
      <c r="X691" s="2" t="s">
        <v>98</v>
      </c>
      <c r="Y691" s="2" t="s">
        <v>3662</v>
      </c>
      <c r="Z691" s="4">
        <v>351</v>
      </c>
      <c r="AA691" s="4">
        <f>=ROUNDDOWN(29.25,0)</f>
      </c>
      <c r="AB691" s="5">
        <v>12</v>
      </c>
      <c r="AC691" s="2" t="s">
        <v>1457</v>
      </c>
      <c r="AD691" s="4">
        <v>400</v>
      </c>
      <c r="AE691" s="4">
        <v>530</v>
      </c>
      <c r="AF691" s="6">
        <v>67</v>
      </c>
      <c r="AG691" s="6"/>
      <c r="AH691" s="7">
        <v>1</v>
      </c>
      <c r="AI691" s="4"/>
      <c r="AJ691" s="4">
        <f>=ROUNDDOWN({0},0)</f>
      </c>
      <c r="AK691" s="5"/>
      <c r="AL691" s="2" t="s">
        <v>98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/>
      <c r="AW691" s="8"/>
      <c r="AX691" s="4"/>
      <c r="AY691" s="8"/>
      <c r="AZ691" s="7"/>
      <c r="BA691" s="7"/>
      <c r="BB691" s="7"/>
      <c r="BC691" s="4"/>
      <c r="BD691" s="8"/>
      <c r="BE691" s="4"/>
      <c r="BF691" s="8"/>
      <c r="BG691" s="7"/>
      <c r="BH691" s="7"/>
      <c r="BI691" s="7"/>
      <c r="BJ691" s="4">
        <v>2</v>
      </c>
      <c r="BK691" s="8">
        <v>153.62</v>
      </c>
      <c r="BL691" s="2" t="s">
        <v>269</v>
      </c>
      <c r="BM691" s="7"/>
      <c r="BN691" s="7"/>
      <c r="BO691" s="4"/>
      <c r="BP691" s="8"/>
      <c r="BQ691" s="4"/>
      <c r="BR691" s="8"/>
      <c r="BS691" s="7"/>
      <c r="BT691" s="7"/>
      <c r="BU691" s="2" t="s">
        <v>1376</v>
      </c>
      <c r="BV691" s="2" t="s">
        <v>95</v>
      </c>
      <c r="BW691" s="2" t="s">
        <v>98</v>
      </c>
      <c r="BX691" s="2" t="s">
        <v>98</v>
      </c>
      <c r="BY691" s="2" t="s">
        <v>110</v>
      </c>
      <c r="BZ691" s="2" t="s">
        <v>98</v>
      </c>
    </row>
    <row r="692">
      <c r="A692" s="2" t="s">
        <v>3663</v>
      </c>
      <c r="B692" s="2" t="s">
        <v>1345</v>
      </c>
      <c r="C692" s="2" t="s">
        <v>952</v>
      </c>
      <c r="D692" s="2" t="s">
        <v>2390</v>
      </c>
      <c r="E692" s="2" t="s">
        <v>2391</v>
      </c>
      <c r="F692" s="2" t="s">
        <v>3664</v>
      </c>
      <c r="G692" s="2" t="s">
        <v>3664</v>
      </c>
      <c r="H692" s="2" t="s">
        <v>3664</v>
      </c>
      <c r="I692" s="2" t="s">
        <v>2500</v>
      </c>
      <c r="J692" s="2" t="s">
        <v>93</v>
      </c>
      <c r="K692" s="2" t="s">
        <v>3665</v>
      </c>
      <c r="L692" s="3">
        <v>80.75</v>
      </c>
      <c r="M692" s="3">
        <v>84.79</v>
      </c>
      <c r="N692" s="3">
        <v>169</v>
      </c>
      <c r="O692" s="2" t="s">
        <v>95</v>
      </c>
      <c r="P692" s="2" t="s">
        <v>134</v>
      </c>
      <c r="Q692" s="2" t="s">
        <v>97</v>
      </c>
      <c r="R692" s="2" t="s">
        <v>98</v>
      </c>
      <c r="S692" s="2" t="s">
        <v>98</v>
      </c>
      <c r="T692" s="2" t="s">
        <v>98</v>
      </c>
      <c r="U692" s="2" t="s">
        <v>117</v>
      </c>
      <c r="V692" s="2" t="s">
        <v>439</v>
      </c>
      <c r="W692" s="2" t="s">
        <v>968</v>
      </c>
      <c r="X692" s="2" t="s">
        <v>98</v>
      </c>
      <c r="Y692" s="2" t="s">
        <v>2167</v>
      </c>
      <c r="Z692" s="4">
        <v>192</v>
      </c>
      <c r="AA692" s="4">
        <f>=ROUNDDOWN(7.38461538461539,0)</f>
      </c>
      <c r="AB692" s="5">
        <v>26</v>
      </c>
      <c r="AC692" s="2" t="s">
        <v>2011</v>
      </c>
      <c r="AD692" s="4">
        <v>200</v>
      </c>
      <c r="AE692" s="4">
        <v>560</v>
      </c>
      <c r="AF692" s="6">
        <v>74</v>
      </c>
      <c r="AG692" s="6">
        <v>60</v>
      </c>
      <c r="AH692" s="7">
        <v>1</v>
      </c>
      <c r="AI692" s="4"/>
      <c r="AJ692" s="4">
        <f>=ROUNDDOWN({0},0)</f>
      </c>
      <c r="AK692" s="5"/>
      <c r="AL692" s="2" t="s">
        <v>98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/>
      <c r="AW692" s="8"/>
      <c r="AX692" s="4"/>
      <c r="AY692" s="8"/>
      <c r="AZ692" s="7"/>
      <c r="BA692" s="7"/>
      <c r="BB692" s="7"/>
      <c r="BC692" s="4"/>
      <c r="BD692" s="8"/>
      <c r="BE692" s="4"/>
      <c r="BF692" s="8"/>
      <c r="BG692" s="7"/>
      <c r="BH692" s="7"/>
      <c r="BI692" s="7"/>
      <c r="BJ692" s="4">
        <v>9</v>
      </c>
      <c r="BK692" s="8">
        <v>719.23</v>
      </c>
      <c r="BL692" s="2" t="s">
        <v>1500</v>
      </c>
      <c r="BM692" s="7"/>
      <c r="BN692" s="7"/>
      <c r="BO692" s="4"/>
      <c r="BP692" s="8"/>
      <c r="BQ692" s="4"/>
      <c r="BR692" s="8"/>
      <c r="BS692" s="7"/>
      <c r="BT692" s="7"/>
      <c r="BU692" s="2" t="s">
        <v>107</v>
      </c>
      <c r="BV692" s="2" t="s">
        <v>1355</v>
      </c>
      <c r="BW692" s="2" t="s">
        <v>707</v>
      </c>
      <c r="BX692" s="2" t="s">
        <v>98</v>
      </c>
      <c r="BY692" s="2" t="s">
        <v>110</v>
      </c>
      <c r="BZ692" s="2" t="s">
        <v>98</v>
      </c>
    </row>
    <row r="693">
      <c r="A693" s="2" t="s">
        <v>3666</v>
      </c>
      <c r="B693" s="2" t="s">
        <v>1345</v>
      </c>
      <c r="C693" s="2" t="s">
        <v>952</v>
      </c>
      <c r="D693" s="2" t="s">
        <v>2390</v>
      </c>
      <c r="E693" s="2" t="s">
        <v>2391</v>
      </c>
      <c r="F693" s="2" t="s">
        <v>3609</v>
      </c>
      <c r="G693" s="2" t="s">
        <v>3609</v>
      </c>
      <c r="H693" s="2" t="s">
        <v>3609</v>
      </c>
      <c r="I693" s="2" t="s">
        <v>3667</v>
      </c>
      <c r="J693" s="2" t="s">
        <v>93</v>
      </c>
      <c r="K693" s="2" t="s">
        <v>1052</v>
      </c>
      <c r="L693" s="3">
        <v>131.75</v>
      </c>
      <c r="M693" s="3">
        <v>138.34</v>
      </c>
      <c r="N693" s="3">
        <v>279</v>
      </c>
      <c r="O693" s="2" t="s">
        <v>95</v>
      </c>
      <c r="P693" s="2" t="s">
        <v>134</v>
      </c>
      <c r="Q693" s="2" t="s">
        <v>97</v>
      </c>
      <c r="R693" s="2" t="s">
        <v>98</v>
      </c>
      <c r="S693" s="2" t="s">
        <v>98</v>
      </c>
      <c r="T693" s="2" t="s">
        <v>98</v>
      </c>
      <c r="U693" s="2" t="s">
        <v>117</v>
      </c>
      <c r="V693" s="2" t="s">
        <v>296</v>
      </c>
      <c r="W693" s="2" t="s">
        <v>119</v>
      </c>
      <c r="X693" s="2" t="s">
        <v>963</v>
      </c>
      <c r="Y693" s="2" t="s">
        <v>1922</v>
      </c>
      <c r="Z693" s="4">
        <v>186</v>
      </c>
      <c r="AA693" s="4">
        <f>=ROUNDDOWN(23.25,0)</f>
      </c>
      <c r="AB693" s="5">
        <v>8</v>
      </c>
      <c r="AC693" s="2" t="s">
        <v>2305</v>
      </c>
      <c r="AD693" s="4">
        <v>71</v>
      </c>
      <c r="AE693" s="4">
        <v>371</v>
      </c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98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/>
      <c r="AW693" s="8"/>
      <c r="AX693" s="4"/>
      <c r="AY693" s="8"/>
      <c r="AZ693" s="7"/>
      <c r="BA693" s="7"/>
      <c r="BB693" s="7"/>
      <c r="BC693" s="4"/>
      <c r="BD693" s="8"/>
      <c r="BE693" s="4"/>
      <c r="BF693" s="8"/>
      <c r="BG693" s="7"/>
      <c r="BH693" s="7"/>
      <c r="BI693" s="7"/>
      <c r="BJ693" s="4">
        <v>9</v>
      </c>
      <c r="BK693" s="8">
        <v>1321.13</v>
      </c>
      <c r="BL693" s="2" t="s">
        <v>1379</v>
      </c>
      <c r="BM693" s="7"/>
      <c r="BN693" s="7"/>
      <c r="BO693" s="4"/>
      <c r="BP693" s="8"/>
      <c r="BQ693" s="4"/>
      <c r="BR693" s="8"/>
      <c r="BS693" s="7"/>
      <c r="BT693" s="7"/>
      <c r="BU693" s="2" t="s">
        <v>1376</v>
      </c>
      <c r="BV693" s="2" t="s">
        <v>95</v>
      </c>
      <c r="BW693" s="2" t="s">
        <v>98</v>
      </c>
      <c r="BX693" s="2" t="s">
        <v>98</v>
      </c>
      <c r="BY693" s="2" t="s">
        <v>110</v>
      </c>
      <c r="BZ693" s="2" t="s">
        <v>98</v>
      </c>
    </row>
    <row r="694">
      <c r="A694" s="2" t="s">
        <v>3668</v>
      </c>
      <c r="B694" s="2" t="s">
        <v>1345</v>
      </c>
      <c r="C694" s="2" t="s">
        <v>952</v>
      </c>
      <c r="D694" s="2" t="s">
        <v>2390</v>
      </c>
      <c r="E694" s="2" t="s">
        <v>2391</v>
      </c>
      <c r="F694" s="2" t="s">
        <v>3669</v>
      </c>
      <c r="G694" s="2" t="s">
        <v>3669</v>
      </c>
      <c r="H694" s="2" t="s">
        <v>3669</v>
      </c>
      <c r="I694" s="2" t="s">
        <v>3670</v>
      </c>
      <c r="J694" s="2" t="s">
        <v>93</v>
      </c>
      <c r="K694" s="2" t="s">
        <v>1838</v>
      </c>
      <c r="L694" s="3">
        <v>123</v>
      </c>
      <c r="M694" s="3">
        <v>129.15</v>
      </c>
      <c r="N694" s="3">
        <v>259</v>
      </c>
      <c r="O694" s="2" t="s">
        <v>95</v>
      </c>
      <c r="P694" s="2" t="s">
        <v>295</v>
      </c>
      <c r="Q694" s="2" t="s">
        <v>97</v>
      </c>
      <c r="R694" s="2" t="s">
        <v>98</v>
      </c>
      <c r="S694" s="2" t="s">
        <v>98</v>
      </c>
      <c r="T694" s="2" t="s">
        <v>98</v>
      </c>
      <c r="U694" s="2" t="s">
        <v>117</v>
      </c>
      <c r="V694" s="2" t="s">
        <v>296</v>
      </c>
      <c r="W694" s="2" t="s">
        <v>102</v>
      </c>
      <c r="X694" s="2" t="s">
        <v>119</v>
      </c>
      <c r="Y694" s="2" t="s">
        <v>2458</v>
      </c>
      <c r="Z694" s="4">
        <v>101</v>
      </c>
      <c r="AA694" s="4">
        <f>=ROUNDDOWN({0},0)</f>
      </c>
      <c r="AB694" s="5"/>
      <c r="AC694" s="2" t="s">
        <v>98</v>
      </c>
      <c r="AD694" s="4"/>
      <c r="AE694" s="4"/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98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/>
      <c r="AW694" s="8"/>
      <c r="AX694" s="4"/>
      <c r="AY694" s="8"/>
      <c r="AZ694" s="7"/>
      <c r="BA694" s="7"/>
      <c r="BB694" s="7"/>
      <c r="BC694" s="4"/>
      <c r="BD694" s="8"/>
      <c r="BE694" s="4"/>
      <c r="BF694" s="8"/>
      <c r="BG694" s="7"/>
      <c r="BH694" s="7"/>
      <c r="BI694" s="7"/>
      <c r="BJ694" s="4"/>
      <c r="BK694" s="8"/>
      <c r="BL694" s="2" t="s">
        <v>98</v>
      </c>
      <c r="BM694" s="7"/>
      <c r="BN694" s="7"/>
      <c r="BO694" s="4"/>
      <c r="BP694" s="8"/>
      <c r="BQ694" s="4"/>
      <c r="BR694" s="8"/>
      <c r="BS694" s="7"/>
      <c r="BT694" s="7"/>
      <c r="BU694" s="2" t="s">
        <v>1376</v>
      </c>
      <c r="BV694" s="2" t="s">
        <v>95</v>
      </c>
      <c r="BW694" s="2" t="s">
        <v>98</v>
      </c>
      <c r="BX694" s="2" t="s">
        <v>98</v>
      </c>
      <c r="BY694" s="2" t="s">
        <v>110</v>
      </c>
      <c r="BZ694" s="2" t="s">
        <v>98</v>
      </c>
    </row>
    <row r="695">
      <c r="A695" s="2" t="s">
        <v>3671</v>
      </c>
      <c r="B695" s="2" t="s">
        <v>1345</v>
      </c>
      <c r="C695" s="2" t="s">
        <v>952</v>
      </c>
      <c r="D695" s="2" t="s">
        <v>2390</v>
      </c>
      <c r="E695" s="2" t="s">
        <v>2391</v>
      </c>
      <c r="F695" s="2" t="s">
        <v>3672</v>
      </c>
      <c r="G695" s="2" t="s">
        <v>98</v>
      </c>
      <c r="H695" s="2" t="s">
        <v>98</v>
      </c>
      <c r="I695" s="2" t="s">
        <v>2433</v>
      </c>
      <c r="J695" s="2" t="s">
        <v>93</v>
      </c>
      <c r="K695" s="2" t="s">
        <v>3673</v>
      </c>
      <c r="L695" s="3">
        <v>75</v>
      </c>
      <c r="M695" s="3">
        <v>78.75</v>
      </c>
      <c r="N695" s="3">
        <v>159</v>
      </c>
      <c r="O695" s="2" t="s">
        <v>95</v>
      </c>
      <c r="P695" s="2" t="s">
        <v>134</v>
      </c>
      <c r="Q695" s="2" t="s">
        <v>97</v>
      </c>
      <c r="R695" s="2" t="s">
        <v>98</v>
      </c>
      <c r="S695" s="2" t="s">
        <v>3674</v>
      </c>
      <c r="T695" s="2" t="s">
        <v>98</v>
      </c>
      <c r="U695" s="2" t="s">
        <v>98</v>
      </c>
      <c r="V695" s="2" t="s">
        <v>439</v>
      </c>
      <c r="W695" s="2" t="s">
        <v>968</v>
      </c>
      <c r="X695" s="2" t="s">
        <v>98</v>
      </c>
      <c r="Y695" s="2" t="s">
        <v>3675</v>
      </c>
      <c r="Z695" s="4">
        <v>120</v>
      </c>
      <c r="AA695" s="4">
        <f>=ROUNDDOWN(8.57142857142857,0)</f>
      </c>
      <c r="AB695" s="5">
        <v>14</v>
      </c>
      <c r="AC695" s="2" t="s">
        <v>1374</v>
      </c>
      <c r="AD695" s="4">
        <v>140</v>
      </c>
      <c r="AE695" s="4">
        <v>290</v>
      </c>
      <c r="AF695" s="6">
        <v>74</v>
      </c>
      <c r="AG695" s="6">
        <v>60</v>
      </c>
      <c r="AH695" s="7">
        <v>1</v>
      </c>
      <c r="AI695" s="4"/>
      <c r="AJ695" s="4">
        <f>=ROUNDDOWN({0},0)</f>
      </c>
      <c r="AK695" s="5"/>
      <c r="AL695" s="2" t="s">
        <v>98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/>
      <c r="AW695" s="8"/>
      <c r="AX695" s="4"/>
      <c r="AY695" s="8"/>
      <c r="AZ695" s="7"/>
      <c r="BA695" s="7"/>
      <c r="BB695" s="7"/>
      <c r="BC695" s="4"/>
      <c r="BD695" s="8"/>
      <c r="BE695" s="4"/>
      <c r="BF695" s="8"/>
      <c r="BG695" s="7"/>
      <c r="BH695" s="7"/>
      <c r="BI695" s="7"/>
      <c r="BJ695" s="4">
        <v>15</v>
      </c>
      <c r="BK695" s="8">
        <v>1201.68</v>
      </c>
      <c r="BL695" s="2" t="s">
        <v>2501</v>
      </c>
      <c r="BM695" s="7"/>
      <c r="BN695" s="7"/>
      <c r="BO695" s="4"/>
      <c r="BP695" s="8"/>
      <c r="BQ695" s="4"/>
      <c r="BR695" s="8"/>
      <c r="BS695" s="7"/>
      <c r="BT695" s="7"/>
      <c r="BU695" s="2" t="s">
        <v>107</v>
      </c>
      <c r="BV695" s="2" t="s">
        <v>1355</v>
      </c>
      <c r="BW695" s="2" t="s">
        <v>1436</v>
      </c>
      <c r="BX695" s="2" t="s">
        <v>3676</v>
      </c>
      <c r="BY695" s="2" t="s">
        <v>110</v>
      </c>
      <c r="BZ695" s="2" t="s">
        <v>98</v>
      </c>
    </row>
    <row r="696">
      <c r="A696" s="2" t="s">
        <v>3677</v>
      </c>
      <c r="B696" s="2" t="s">
        <v>1345</v>
      </c>
      <c r="C696" s="2" t="s">
        <v>952</v>
      </c>
      <c r="D696" s="2" t="s">
        <v>2390</v>
      </c>
      <c r="E696" s="2" t="s">
        <v>2390</v>
      </c>
      <c r="F696" s="2" t="s">
        <v>3525</v>
      </c>
      <c r="G696" s="2" t="s">
        <v>98</v>
      </c>
      <c r="H696" s="2" t="s">
        <v>98</v>
      </c>
      <c r="I696" s="2" t="s">
        <v>3678</v>
      </c>
      <c r="J696" s="2" t="s">
        <v>93</v>
      </c>
      <c r="K696" s="2" t="s">
        <v>1915</v>
      </c>
      <c r="L696" s="3">
        <v>138</v>
      </c>
      <c r="M696" s="3">
        <v>144.9</v>
      </c>
      <c r="N696" s="3">
        <v>289</v>
      </c>
      <c r="O696" s="2" t="s">
        <v>95</v>
      </c>
      <c r="P696" s="2" t="s">
        <v>134</v>
      </c>
      <c r="Q696" s="2" t="s">
        <v>97</v>
      </c>
      <c r="R696" s="2" t="s">
        <v>98</v>
      </c>
      <c r="S696" s="2" t="s">
        <v>3679</v>
      </c>
      <c r="T696" s="2" t="s">
        <v>98</v>
      </c>
      <c r="U696" s="2" t="s">
        <v>98</v>
      </c>
      <c r="V696" s="2" t="s">
        <v>439</v>
      </c>
      <c r="W696" s="2" t="s">
        <v>103</v>
      </c>
      <c r="X696" s="2" t="s">
        <v>98</v>
      </c>
      <c r="Y696" s="2" t="s">
        <v>366</v>
      </c>
      <c r="Z696" s="4">
        <v>230</v>
      </c>
      <c r="AA696" s="4">
        <f>=ROUNDDOWN(32.8571428571429,0)</f>
      </c>
      <c r="AB696" s="5">
        <v>7</v>
      </c>
      <c r="AC696" s="2" t="s">
        <v>1353</v>
      </c>
      <c r="AD696" s="4">
        <v>5</v>
      </c>
      <c r="AE696" s="4">
        <v>105</v>
      </c>
      <c r="AF696" s="6">
        <v>65</v>
      </c>
      <c r="AG696" s="6">
        <v>48</v>
      </c>
      <c r="AH696" s="7">
        <v>1</v>
      </c>
      <c r="AI696" s="4"/>
      <c r="AJ696" s="4">
        <f>=ROUNDDOWN({0},0)</f>
      </c>
      <c r="AK696" s="5"/>
      <c r="AL696" s="2" t="s">
        <v>98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/>
      <c r="AW696" s="8"/>
      <c r="AX696" s="4"/>
      <c r="AY696" s="8"/>
      <c r="AZ696" s="7"/>
      <c r="BA696" s="7"/>
      <c r="BB696" s="7"/>
      <c r="BC696" s="4"/>
      <c r="BD696" s="8"/>
      <c r="BE696" s="4"/>
      <c r="BF696" s="8"/>
      <c r="BG696" s="7"/>
      <c r="BH696" s="7"/>
      <c r="BI696" s="7"/>
      <c r="BJ696" s="4">
        <v>7</v>
      </c>
      <c r="BK696" s="8">
        <v>1046.98</v>
      </c>
      <c r="BL696" s="2" t="s">
        <v>1575</v>
      </c>
      <c r="BM696" s="7"/>
      <c r="BN696" s="7"/>
      <c r="BO696" s="4"/>
      <c r="BP696" s="8"/>
      <c r="BQ696" s="4"/>
      <c r="BR696" s="8"/>
      <c r="BS696" s="7"/>
      <c r="BT696" s="7"/>
      <c r="BU696" s="2" t="s">
        <v>107</v>
      </c>
      <c r="BV696" s="2" t="s">
        <v>1355</v>
      </c>
      <c r="BW696" s="2" t="s">
        <v>1356</v>
      </c>
      <c r="BX696" s="2" t="s">
        <v>3680</v>
      </c>
      <c r="BY696" s="2" t="s">
        <v>110</v>
      </c>
      <c r="BZ696" s="2" t="s">
        <v>98</v>
      </c>
    </row>
    <row r="697">
      <c r="A697" s="2" t="s">
        <v>3681</v>
      </c>
      <c r="B697" s="2" t="s">
        <v>1345</v>
      </c>
      <c r="C697" s="2" t="s">
        <v>952</v>
      </c>
      <c r="D697" s="2" t="s">
        <v>2390</v>
      </c>
      <c r="E697" s="2" t="s">
        <v>2390</v>
      </c>
      <c r="F697" s="2" t="s">
        <v>3682</v>
      </c>
      <c r="G697" s="2" t="s">
        <v>3682</v>
      </c>
      <c r="H697" s="2" t="s">
        <v>3682</v>
      </c>
      <c r="I697" s="2" t="s">
        <v>3683</v>
      </c>
      <c r="J697" s="2" t="s">
        <v>93</v>
      </c>
      <c r="K697" s="2" t="s">
        <v>1052</v>
      </c>
      <c r="L697" s="3">
        <v>126</v>
      </c>
      <c r="M697" s="3">
        <v>132.3</v>
      </c>
      <c r="N697" s="3">
        <v>269</v>
      </c>
      <c r="O697" s="2" t="s">
        <v>155</v>
      </c>
      <c r="P697" s="2" t="s">
        <v>115</v>
      </c>
      <c r="Q697" s="2" t="s">
        <v>97</v>
      </c>
      <c r="R697" s="2" t="s">
        <v>98</v>
      </c>
      <c r="S697" s="2" t="s">
        <v>98</v>
      </c>
      <c r="T697" s="2" t="s">
        <v>98</v>
      </c>
      <c r="U697" s="2" t="s">
        <v>117</v>
      </c>
      <c r="V697" s="2" t="s">
        <v>439</v>
      </c>
      <c r="W697" s="2" t="s">
        <v>963</v>
      </c>
      <c r="X697" s="2" t="s">
        <v>98</v>
      </c>
      <c r="Y697" s="2" t="s">
        <v>2269</v>
      </c>
      <c r="Z697" s="4">
        <v>86</v>
      </c>
      <c r="AA697" s="4">
        <f>=ROUNDDOWN({0},0)</f>
      </c>
      <c r="AB697" s="5"/>
      <c r="AC697" s="2" t="s">
        <v>98</v>
      </c>
      <c r="AD697" s="4"/>
      <c r="AE697" s="4"/>
      <c r="AF697" s="6">
        <v>74</v>
      </c>
      <c r="AG697" s="6">
        <v>60</v>
      </c>
      <c r="AH697" s="7">
        <v>1</v>
      </c>
      <c r="AI697" s="4"/>
      <c r="AJ697" s="4">
        <f>=ROUNDDOWN({0},0)</f>
      </c>
      <c r="AK697" s="5"/>
      <c r="AL697" s="2" t="s">
        <v>98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 t="s">
        <v>98</v>
      </c>
      <c r="AW697" s="8" t="s">
        <v>98</v>
      </c>
      <c r="AX697" s="4" t="s">
        <v>98</v>
      </c>
      <c r="AY697" s="8" t="s">
        <v>98</v>
      </c>
      <c r="AZ697" s="7" t="s">
        <v>98</v>
      </c>
      <c r="BA697" s="7" t="s">
        <v>98</v>
      </c>
      <c r="BB697" s="7" t="s">
        <v>98</v>
      </c>
      <c r="BC697" s="4" t="s">
        <v>98</v>
      </c>
      <c r="BD697" s="8" t="s">
        <v>98</v>
      </c>
      <c r="BE697" s="4" t="s">
        <v>98</v>
      </c>
      <c r="BF697" s="8" t="s">
        <v>98</v>
      </c>
      <c r="BG697" s="7" t="s">
        <v>98</v>
      </c>
      <c r="BH697" s="7" t="s">
        <v>98</v>
      </c>
      <c r="BI697" s="7"/>
      <c r="BJ697" s="4"/>
      <c r="BK697" s="8"/>
      <c r="BL697" s="2" t="s">
        <v>98</v>
      </c>
      <c r="BM697" s="7"/>
      <c r="BN697" s="7"/>
      <c r="BO697" s="4"/>
      <c r="BP697" s="8"/>
      <c r="BQ697" s="4"/>
      <c r="BR697" s="8"/>
      <c r="BS697" s="7"/>
      <c r="BT697" s="7"/>
      <c r="BU697" s="2" t="s">
        <v>107</v>
      </c>
      <c r="BV697" s="2" t="s">
        <v>1355</v>
      </c>
      <c r="BW697" s="2" t="s">
        <v>707</v>
      </c>
      <c r="BX697" s="2" t="s">
        <v>2097</v>
      </c>
      <c r="BY697" s="2" t="s">
        <v>110</v>
      </c>
      <c r="BZ697" s="2" t="s">
        <v>98</v>
      </c>
    </row>
    <row r="698">
      <c r="A698" s="2" t="s">
        <v>3684</v>
      </c>
      <c r="B698" s="2" t="s">
        <v>1345</v>
      </c>
      <c r="C698" s="2" t="s">
        <v>952</v>
      </c>
      <c r="D698" s="2" t="s">
        <v>2390</v>
      </c>
      <c r="E698" s="2" t="s">
        <v>2390</v>
      </c>
      <c r="F698" s="2" t="s">
        <v>3682</v>
      </c>
      <c r="G698" s="2" t="s">
        <v>3682</v>
      </c>
      <c r="H698" s="2" t="s">
        <v>98</v>
      </c>
      <c r="I698" s="2" t="s">
        <v>3685</v>
      </c>
      <c r="J698" s="2" t="s">
        <v>93</v>
      </c>
      <c r="K698" s="2" t="s">
        <v>1052</v>
      </c>
      <c r="L698" s="3">
        <v>81</v>
      </c>
      <c r="M698" s="3">
        <v>85.05</v>
      </c>
      <c r="N698" s="3">
        <v>169</v>
      </c>
      <c r="O698" s="2" t="s">
        <v>95</v>
      </c>
      <c r="P698" s="2" t="s">
        <v>134</v>
      </c>
      <c r="Q698" s="2" t="s">
        <v>97</v>
      </c>
      <c r="R698" s="2" t="s">
        <v>98</v>
      </c>
      <c r="S698" s="2" t="s">
        <v>3686</v>
      </c>
      <c r="T698" s="2" t="s">
        <v>98</v>
      </c>
      <c r="U698" s="2" t="s">
        <v>98</v>
      </c>
      <c r="V698" s="2" t="s">
        <v>439</v>
      </c>
      <c r="W698" s="2" t="s">
        <v>968</v>
      </c>
      <c r="X698" s="2" t="s">
        <v>98</v>
      </c>
      <c r="Y698" s="2" t="s">
        <v>366</v>
      </c>
      <c r="Z698" s="4">
        <v>71</v>
      </c>
      <c r="AA698" s="4">
        <f>=ROUNDDOWN(7.88888888888889,0)</f>
      </c>
      <c r="AB698" s="5">
        <v>9</v>
      </c>
      <c r="AC698" s="2" t="s">
        <v>1700</v>
      </c>
      <c r="AD698" s="4">
        <v>80</v>
      </c>
      <c r="AE698" s="4">
        <v>180</v>
      </c>
      <c r="AF698" s="6">
        <v>74</v>
      </c>
      <c r="AG698" s="6">
        <v>60</v>
      </c>
      <c r="AH698" s="7">
        <v>1</v>
      </c>
      <c r="AI698" s="4"/>
      <c r="AJ698" s="4">
        <f>=ROUNDDOWN({0},0)</f>
      </c>
      <c r="AK698" s="5"/>
      <c r="AL698" s="2" t="s">
        <v>98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 t="s">
        <v>98</v>
      </c>
      <c r="AW698" s="8" t="s">
        <v>98</v>
      </c>
      <c r="AX698" s="4" t="s">
        <v>98</v>
      </c>
      <c r="AY698" s="8" t="s">
        <v>98</v>
      </c>
      <c r="AZ698" s="7" t="s">
        <v>98</v>
      </c>
      <c r="BA698" s="7" t="s">
        <v>98</v>
      </c>
      <c r="BB698" s="7" t="s">
        <v>98</v>
      </c>
      <c r="BC698" s="4" t="s">
        <v>98</v>
      </c>
      <c r="BD698" s="8" t="s">
        <v>98</v>
      </c>
      <c r="BE698" s="4" t="s">
        <v>98</v>
      </c>
      <c r="BF698" s="8" t="s">
        <v>98</v>
      </c>
      <c r="BG698" s="7" t="s">
        <v>98</v>
      </c>
      <c r="BH698" s="7" t="s">
        <v>98</v>
      </c>
      <c r="BI698" s="7"/>
      <c r="BJ698" s="4">
        <v>7</v>
      </c>
      <c r="BK698" s="8">
        <v>565.81</v>
      </c>
      <c r="BL698" s="2" t="s">
        <v>3687</v>
      </c>
      <c r="BM698" s="7"/>
      <c r="BN698" s="7"/>
      <c r="BO698" s="4"/>
      <c r="BP698" s="8"/>
      <c r="BQ698" s="4"/>
      <c r="BR698" s="8"/>
      <c r="BS698" s="7"/>
      <c r="BT698" s="7"/>
      <c r="BU698" s="2" t="s">
        <v>107</v>
      </c>
      <c r="BV698" s="2" t="s">
        <v>1355</v>
      </c>
      <c r="BW698" s="2" t="s">
        <v>2766</v>
      </c>
      <c r="BX698" s="2" t="s">
        <v>3688</v>
      </c>
      <c r="BY698" s="2" t="s">
        <v>110</v>
      </c>
      <c r="BZ698" s="2" t="s">
        <v>98</v>
      </c>
    </row>
    <row r="699">
      <c r="A699" s="2" t="s">
        <v>3689</v>
      </c>
      <c r="B699" s="2" t="s">
        <v>1345</v>
      </c>
      <c r="C699" s="2" t="s">
        <v>952</v>
      </c>
      <c r="D699" s="2" t="s">
        <v>2390</v>
      </c>
      <c r="E699" s="2" t="s">
        <v>2390</v>
      </c>
      <c r="F699" s="2" t="s">
        <v>3690</v>
      </c>
      <c r="G699" s="2" t="s">
        <v>3690</v>
      </c>
      <c r="H699" s="2" t="s">
        <v>3690</v>
      </c>
      <c r="I699" s="2" t="s">
        <v>2433</v>
      </c>
      <c r="J699" s="2" t="s">
        <v>93</v>
      </c>
      <c r="K699" s="2" t="s">
        <v>1404</v>
      </c>
      <c r="L699" s="3">
        <v>85</v>
      </c>
      <c r="M699" s="3">
        <v>89.25</v>
      </c>
      <c r="N699" s="3">
        <v>179</v>
      </c>
      <c r="O699" s="2" t="s">
        <v>155</v>
      </c>
      <c r="P699" s="2" t="s">
        <v>115</v>
      </c>
      <c r="Q699" s="2" t="s">
        <v>97</v>
      </c>
      <c r="R699" s="2" t="s">
        <v>98</v>
      </c>
      <c r="S699" s="2" t="s">
        <v>98</v>
      </c>
      <c r="T699" s="2" t="s">
        <v>98</v>
      </c>
      <c r="U699" s="2" t="s">
        <v>117</v>
      </c>
      <c r="V699" s="2" t="s">
        <v>296</v>
      </c>
      <c r="W699" s="2" t="s">
        <v>963</v>
      </c>
      <c r="X699" s="2" t="s">
        <v>968</v>
      </c>
      <c r="Y699" s="2" t="s">
        <v>3224</v>
      </c>
      <c r="Z699" s="4">
        <v>175</v>
      </c>
      <c r="AA699" s="4">
        <f>=ROUNDDOWN(875,0)</f>
      </c>
      <c r="AB699" s="5">
        <v>0.2</v>
      </c>
      <c r="AC699" s="2" t="s">
        <v>98</v>
      </c>
      <c r="AD699" s="4"/>
      <c r="AE699" s="4"/>
      <c r="AF699" s="6">
        <v>67</v>
      </c>
      <c r="AG699" s="6"/>
      <c r="AH699" s="7">
        <v>1</v>
      </c>
      <c r="AI699" s="4"/>
      <c r="AJ699" s="4">
        <f>=ROUNDDOWN({0},0)</f>
      </c>
      <c r="AK699" s="5"/>
      <c r="AL699" s="2" t="s">
        <v>98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/>
      <c r="AW699" s="8"/>
      <c r="AX699" s="4"/>
      <c r="AY699" s="8"/>
      <c r="AZ699" s="7"/>
      <c r="BA699" s="7"/>
      <c r="BB699" s="7"/>
      <c r="BC699" s="4"/>
      <c r="BD699" s="8"/>
      <c r="BE699" s="4"/>
      <c r="BF699" s="8"/>
      <c r="BG699" s="7"/>
      <c r="BH699" s="7"/>
      <c r="BI699" s="7"/>
      <c r="BJ699" s="4"/>
      <c r="BK699" s="8"/>
      <c r="BL699" s="2" t="s">
        <v>98</v>
      </c>
      <c r="BM699" s="7"/>
      <c r="BN699" s="7"/>
      <c r="BO699" s="4"/>
      <c r="BP699" s="8"/>
      <c r="BQ699" s="4"/>
      <c r="BR699" s="8"/>
      <c r="BS699" s="7"/>
      <c r="BT699" s="7"/>
      <c r="BU699" s="2" t="s">
        <v>1376</v>
      </c>
      <c r="BV699" s="2" t="s">
        <v>95</v>
      </c>
      <c r="BW699" s="2" t="s">
        <v>98</v>
      </c>
      <c r="BX699" s="2" t="s">
        <v>98</v>
      </c>
      <c r="BY699" s="2" t="s">
        <v>110</v>
      </c>
      <c r="BZ699" s="2" t="s">
        <v>98</v>
      </c>
    </row>
    <row r="700">
      <c r="A700" s="2" t="s">
        <v>3691</v>
      </c>
      <c r="B700" s="2" t="s">
        <v>1345</v>
      </c>
      <c r="C700" s="2" t="s">
        <v>952</v>
      </c>
      <c r="D700" s="2" t="s">
        <v>2390</v>
      </c>
      <c r="E700" s="2" t="s">
        <v>2390</v>
      </c>
      <c r="F700" s="2" t="s">
        <v>3664</v>
      </c>
      <c r="G700" s="2" t="s">
        <v>3664</v>
      </c>
      <c r="H700" s="2" t="s">
        <v>3664</v>
      </c>
      <c r="I700" s="2" t="s">
        <v>3692</v>
      </c>
      <c r="J700" s="2" t="s">
        <v>93</v>
      </c>
      <c r="K700" s="2" t="s">
        <v>1915</v>
      </c>
      <c r="L700" s="3">
        <v>85.5</v>
      </c>
      <c r="M700" s="3">
        <v>89.78</v>
      </c>
      <c r="N700" s="3">
        <v>179</v>
      </c>
      <c r="O700" s="2" t="s">
        <v>95</v>
      </c>
      <c r="P700" s="2" t="s">
        <v>142</v>
      </c>
      <c r="Q700" s="2" t="s">
        <v>97</v>
      </c>
      <c r="R700" s="2" t="s">
        <v>98</v>
      </c>
      <c r="S700" s="2" t="s">
        <v>3693</v>
      </c>
      <c r="T700" s="2" t="s">
        <v>98</v>
      </c>
      <c r="U700" s="2" t="s">
        <v>98</v>
      </c>
      <c r="V700" s="2" t="s">
        <v>439</v>
      </c>
      <c r="W700" s="2" t="s">
        <v>968</v>
      </c>
      <c r="X700" s="2" t="s">
        <v>98</v>
      </c>
      <c r="Y700" s="2" t="s">
        <v>2603</v>
      </c>
      <c r="Z700" s="4">
        <v>157</v>
      </c>
      <c r="AA700" s="4">
        <f>=ROUNDDOWN(31.4,0)</f>
      </c>
      <c r="AB700" s="5">
        <v>5</v>
      </c>
      <c r="AC700" s="2" t="s">
        <v>98</v>
      </c>
      <c r="AD700" s="4"/>
      <c r="AE700" s="4"/>
      <c r="AF700" s="6">
        <v>74</v>
      </c>
      <c r="AG700" s="6"/>
      <c r="AH700" s="7">
        <v>1</v>
      </c>
      <c r="AI700" s="4"/>
      <c r="AJ700" s="4">
        <f>=ROUNDDOWN({0},0)</f>
      </c>
      <c r="AK700" s="5"/>
      <c r="AL700" s="2" t="s">
        <v>98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/>
      <c r="AW700" s="8"/>
      <c r="AX700" s="4"/>
      <c r="AY700" s="8"/>
      <c r="AZ700" s="7"/>
      <c r="BA700" s="7"/>
      <c r="BB700" s="7"/>
      <c r="BC700" s="4"/>
      <c r="BD700" s="8"/>
      <c r="BE700" s="4"/>
      <c r="BF700" s="8"/>
      <c r="BG700" s="7"/>
      <c r="BH700" s="7"/>
      <c r="BI700" s="7"/>
      <c r="BJ700" s="4">
        <v>4</v>
      </c>
      <c r="BK700" s="8">
        <v>340</v>
      </c>
      <c r="BL700" s="2" t="s">
        <v>895</v>
      </c>
      <c r="BM700" s="7"/>
      <c r="BN700" s="7"/>
      <c r="BO700" s="4"/>
      <c r="BP700" s="8"/>
      <c r="BQ700" s="4"/>
      <c r="BR700" s="8"/>
      <c r="BS700" s="7"/>
      <c r="BT700" s="7"/>
      <c r="BU700" s="2" t="s">
        <v>107</v>
      </c>
      <c r="BV700" s="2" t="s">
        <v>1355</v>
      </c>
      <c r="BW700" s="2" t="s">
        <v>1454</v>
      </c>
      <c r="BX700" s="2" t="s">
        <v>3694</v>
      </c>
      <c r="BY700" s="2" t="s">
        <v>110</v>
      </c>
      <c r="BZ700" s="2" t="s">
        <v>98</v>
      </c>
    </row>
    <row r="701">
      <c r="A701" s="2" t="s">
        <v>3695</v>
      </c>
      <c r="B701" s="2" t="s">
        <v>1345</v>
      </c>
      <c r="C701" s="2" t="s">
        <v>952</v>
      </c>
      <c r="D701" s="2" t="s">
        <v>2390</v>
      </c>
      <c r="E701" s="2" t="s">
        <v>2390</v>
      </c>
      <c r="F701" s="2" t="s">
        <v>3630</v>
      </c>
      <c r="G701" s="2" t="s">
        <v>98</v>
      </c>
      <c r="H701" s="2" t="s">
        <v>98</v>
      </c>
      <c r="I701" s="2" t="s">
        <v>3678</v>
      </c>
      <c r="J701" s="2" t="s">
        <v>93</v>
      </c>
      <c r="K701" s="2" t="s">
        <v>133</v>
      </c>
      <c r="L701" s="3">
        <v>122</v>
      </c>
      <c r="M701" s="3">
        <v>128.1</v>
      </c>
      <c r="N701" s="3">
        <v>259</v>
      </c>
      <c r="O701" s="2" t="s">
        <v>1278</v>
      </c>
      <c r="P701" s="2" t="s">
        <v>115</v>
      </c>
      <c r="Q701" s="2" t="s">
        <v>97</v>
      </c>
      <c r="R701" s="2" t="s">
        <v>98</v>
      </c>
      <c r="S701" s="2" t="s">
        <v>3696</v>
      </c>
      <c r="T701" s="2" t="s">
        <v>98</v>
      </c>
      <c r="U701" s="2" t="s">
        <v>98</v>
      </c>
      <c r="V701" s="2" t="s">
        <v>439</v>
      </c>
      <c r="W701" s="2" t="s">
        <v>968</v>
      </c>
      <c r="X701" s="2" t="s">
        <v>98</v>
      </c>
      <c r="Y701" s="2" t="s">
        <v>366</v>
      </c>
      <c r="Z701" s="4">
        <v>1</v>
      </c>
      <c r="AA701" s="4">
        <f>=ROUNDDOWN(0.5,0)</f>
      </c>
      <c r="AB701" s="5">
        <v>2</v>
      </c>
      <c r="AC701" s="2" t="s">
        <v>98</v>
      </c>
      <c r="AD701" s="4"/>
      <c r="AE701" s="4"/>
      <c r="AF701" s="6">
        <v>75</v>
      </c>
      <c r="AG701" s="6"/>
      <c r="AH701" s="7">
        <v>1</v>
      </c>
      <c r="AI701" s="4"/>
      <c r="AJ701" s="4">
        <f>=ROUNDDOWN({0},0)</f>
      </c>
      <c r="AK701" s="5"/>
      <c r="AL701" s="2" t="s">
        <v>98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/>
      <c r="AW701" s="8"/>
      <c r="AX701" s="4"/>
      <c r="AY701" s="8"/>
      <c r="AZ701" s="7"/>
      <c r="BA701" s="7"/>
      <c r="BB701" s="7"/>
      <c r="BC701" s="4"/>
      <c r="BD701" s="8"/>
      <c r="BE701" s="4"/>
      <c r="BF701" s="8"/>
      <c r="BG701" s="7"/>
      <c r="BH701" s="7"/>
      <c r="BI701" s="7"/>
      <c r="BJ701" s="4"/>
      <c r="BK701" s="8"/>
      <c r="BL701" s="2" t="s">
        <v>98</v>
      </c>
      <c r="BM701" s="7"/>
      <c r="BN701" s="7"/>
      <c r="BO701" s="4"/>
      <c r="BP701" s="8"/>
      <c r="BQ701" s="4"/>
      <c r="BR701" s="8"/>
      <c r="BS701" s="7"/>
      <c r="BT701" s="7"/>
      <c r="BU701" s="2" t="s">
        <v>107</v>
      </c>
      <c r="BV701" s="2" t="s">
        <v>1355</v>
      </c>
      <c r="BW701" s="2" t="s">
        <v>1356</v>
      </c>
      <c r="BX701" s="2" t="s">
        <v>1600</v>
      </c>
      <c r="BY701" s="2" t="s">
        <v>110</v>
      </c>
      <c r="BZ701" s="2" t="s">
        <v>98</v>
      </c>
    </row>
    <row r="702">
      <c r="A702" s="2" t="s">
        <v>3697</v>
      </c>
      <c r="B702" s="2" t="s">
        <v>1345</v>
      </c>
      <c r="C702" s="2" t="s">
        <v>952</v>
      </c>
      <c r="D702" s="2" t="s">
        <v>2390</v>
      </c>
      <c r="E702" s="2" t="s">
        <v>3698</v>
      </c>
      <c r="F702" s="2" t="s">
        <v>3699</v>
      </c>
      <c r="G702" s="2" t="s">
        <v>3699</v>
      </c>
      <c r="H702" s="2" t="s">
        <v>98</v>
      </c>
      <c r="I702" s="2" t="s">
        <v>3700</v>
      </c>
      <c r="J702" s="2" t="s">
        <v>93</v>
      </c>
      <c r="K702" s="2" t="s">
        <v>3466</v>
      </c>
      <c r="L702" s="3">
        <v>147.6</v>
      </c>
      <c r="M702" s="3">
        <v>154.98</v>
      </c>
      <c r="N702" s="3">
        <v>309</v>
      </c>
      <c r="O702" s="2" t="s">
        <v>155</v>
      </c>
      <c r="P702" s="2" t="s">
        <v>115</v>
      </c>
      <c r="Q702" s="2" t="s">
        <v>97</v>
      </c>
      <c r="R702" s="2" t="s">
        <v>98</v>
      </c>
      <c r="S702" s="2" t="s">
        <v>3701</v>
      </c>
      <c r="T702" s="2" t="s">
        <v>98</v>
      </c>
      <c r="U702" s="2" t="s">
        <v>98</v>
      </c>
      <c r="V702" s="2" t="s">
        <v>439</v>
      </c>
      <c r="W702" s="2" t="s">
        <v>968</v>
      </c>
      <c r="X702" s="2" t="s">
        <v>98</v>
      </c>
      <c r="Y702" s="2" t="s">
        <v>3702</v>
      </c>
      <c r="Z702" s="4"/>
      <c r="AA702" s="4">
        <f>=ROUNDDOWN({0},0)</f>
      </c>
      <c r="AB702" s="5">
        <v>0.2</v>
      </c>
      <c r="AC702" s="2" t="s">
        <v>98</v>
      </c>
      <c r="AD702" s="4"/>
      <c r="AE702" s="4"/>
      <c r="AF702" s="6">
        <v>74</v>
      </c>
      <c r="AG702" s="6"/>
      <c r="AH702" s="7">
        <v>0</v>
      </c>
      <c r="AI702" s="4"/>
      <c r="AJ702" s="4">
        <f>=ROUNDDOWN({0},0)</f>
      </c>
      <c r="AK702" s="5"/>
      <c r="AL702" s="2" t="s">
        <v>98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/>
      <c r="AW702" s="8"/>
      <c r="AX702" s="4"/>
      <c r="AY702" s="8"/>
      <c r="AZ702" s="7"/>
      <c r="BA702" s="7"/>
      <c r="BB702" s="7"/>
      <c r="BC702" s="4"/>
      <c r="BD702" s="8"/>
      <c r="BE702" s="4"/>
      <c r="BF702" s="8"/>
      <c r="BG702" s="7"/>
      <c r="BH702" s="7"/>
      <c r="BI702" s="7"/>
      <c r="BJ702" s="4"/>
      <c r="BK702" s="8"/>
      <c r="BL702" s="2" t="s">
        <v>98</v>
      </c>
      <c r="BM702" s="7"/>
      <c r="BN702" s="7"/>
      <c r="BO702" s="4"/>
      <c r="BP702" s="8"/>
      <c r="BQ702" s="4"/>
      <c r="BR702" s="8"/>
      <c r="BS702" s="7"/>
      <c r="BT702" s="7"/>
      <c r="BU702" s="2" t="s">
        <v>107</v>
      </c>
      <c r="BV702" s="2" t="s">
        <v>1355</v>
      </c>
      <c r="BW702" s="2" t="s">
        <v>2766</v>
      </c>
      <c r="BX702" s="2" t="s">
        <v>3703</v>
      </c>
      <c r="BY702" s="2" t="s">
        <v>110</v>
      </c>
      <c r="BZ702" s="2" t="s">
        <v>98</v>
      </c>
    </row>
    <row r="703">
      <c r="A703" s="2" t="s">
        <v>3704</v>
      </c>
      <c r="B703" s="2" t="s">
        <v>1345</v>
      </c>
      <c r="C703" s="2" t="s">
        <v>952</v>
      </c>
      <c r="D703" s="2" t="s">
        <v>2390</v>
      </c>
      <c r="E703" s="2" t="s">
        <v>3705</v>
      </c>
      <c r="F703" s="2" t="s">
        <v>3650</v>
      </c>
      <c r="G703" s="2" t="s">
        <v>98</v>
      </c>
      <c r="H703" s="2" t="s">
        <v>98</v>
      </c>
      <c r="I703" s="2" t="s">
        <v>3706</v>
      </c>
      <c r="J703" s="2" t="s">
        <v>93</v>
      </c>
      <c r="K703" s="2" t="s">
        <v>3707</v>
      </c>
      <c r="L703" s="3">
        <v>128.25</v>
      </c>
      <c r="M703" s="3">
        <v>134.66</v>
      </c>
      <c r="N703" s="3">
        <v>269</v>
      </c>
      <c r="O703" s="2" t="s">
        <v>95</v>
      </c>
      <c r="P703" s="2" t="s">
        <v>134</v>
      </c>
      <c r="Q703" s="2" t="s">
        <v>97</v>
      </c>
      <c r="R703" s="2" t="s">
        <v>98</v>
      </c>
      <c r="S703" s="2" t="s">
        <v>3708</v>
      </c>
      <c r="T703" s="2" t="s">
        <v>98</v>
      </c>
      <c r="U703" s="2" t="s">
        <v>98</v>
      </c>
      <c r="V703" s="2" t="s">
        <v>439</v>
      </c>
      <c r="W703" s="2" t="s">
        <v>968</v>
      </c>
      <c r="X703" s="2" t="s">
        <v>102</v>
      </c>
      <c r="Y703" s="2" t="s">
        <v>3709</v>
      </c>
      <c r="Z703" s="4">
        <v>62</v>
      </c>
      <c r="AA703" s="4">
        <f>=ROUNDDOWN(5.16666666666667,0)</f>
      </c>
      <c r="AB703" s="5">
        <v>12</v>
      </c>
      <c r="AC703" s="2" t="s">
        <v>1651</v>
      </c>
      <c r="AD703" s="4">
        <v>150</v>
      </c>
      <c r="AE703" s="4">
        <v>300</v>
      </c>
      <c r="AF703" s="6">
        <v>74</v>
      </c>
      <c r="AG703" s="6">
        <v>60</v>
      </c>
      <c r="AH703" s="7">
        <v>1</v>
      </c>
      <c r="AI703" s="4"/>
      <c r="AJ703" s="4">
        <f>=ROUNDDOWN({0},0)</f>
      </c>
      <c r="AK703" s="5"/>
      <c r="AL703" s="2" t="s">
        <v>98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/>
      <c r="AW703" s="8"/>
      <c r="AX703" s="4"/>
      <c r="AY703" s="8"/>
      <c r="AZ703" s="7"/>
      <c r="BA703" s="7"/>
      <c r="BB703" s="7"/>
      <c r="BC703" s="4"/>
      <c r="BD703" s="8"/>
      <c r="BE703" s="4"/>
      <c r="BF703" s="8"/>
      <c r="BG703" s="7"/>
      <c r="BH703" s="7"/>
      <c r="BI703" s="7"/>
      <c r="BJ703" s="4"/>
      <c r="BK703" s="8"/>
      <c r="BL703" s="2" t="s">
        <v>98</v>
      </c>
      <c r="BM703" s="7"/>
      <c r="BN703" s="7"/>
      <c r="BO703" s="4"/>
      <c r="BP703" s="8"/>
      <c r="BQ703" s="4"/>
      <c r="BR703" s="8"/>
      <c r="BS703" s="7"/>
      <c r="BT703" s="7"/>
      <c r="BU703" s="2" t="s">
        <v>107</v>
      </c>
      <c r="BV703" s="2" t="s">
        <v>1355</v>
      </c>
      <c r="BW703" s="2" t="s">
        <v>1356</v>
      </c>
      <c r="BX703" s="2" t="s">
        <v>3710</v>
      </c>
      <c r="BY703" s="2" t="s">
        <v>110</v>
      </c>
      <c r="BZ703" s="2" t="s">
        <v>98</v>
      </c>
    </row>
    <row r="704">
      <c r="A704" s="2" t="s">
        <v>3711</v>
      </c>
      <c r="B704" s="2" t="s">
        <v>1345</v>
      </c>
      <c r="C704" s="2" t="s">
        <v>952</v>
      </c>
      <c r="D704" s="2" t="s">
        <v>2728</v>
      </c>
      <c r="E704" s="2" t="s">
        <v>2729</v>
      </c>
      <c r="F704" s="2" t="s">
        <v>3485</v>
      </c>
      <c r="G704" s="2" t="s">
        <v>3485</v>
      </c>
      <c r="H704" s="2" t="s">
        <v>3485</v>
      </c>
      <c r="I704" s="2" t="s">
        <v>3712</v>
      </c>
      <c r="J704" s="2" t="s">
        <v>93</v>
      </c>
      <c r="K704" s="2" t="s">
        <v>3713</v>
      </c>
      <c r="L704" s="3">
        <v>237.5</v>
      </c>
      <c r="M704" s="3">
        <v>249.38</v>
      </c>
      <c r="N704" s="3">
        <v>499</v>
      </c>
      <c r="O704" s="2" t="s">
        <v>95</v>
      </c>
      <c r="P704" s="2" t="s">
        <v>96</v>
      </c>
      <c r="Q704" s="2" t="s">
        <v>97</v>
      </c>
      <c r="R704" s="2" t="s">
        <v>98</v>
      </c>
      <c r="S704" s="2" t="s">
        <v>3714</v>
      </c>
      <c r="T704" s="2" t="s">
        <v>98</v>
      </c>
      <c r="U704" s="2" t="s">
        <v>98</v>
      </c>
      <c r="V704" s="2" t="s">
        <v>439</v>
      </c>
      <c r="W704" s="2" t="s">
        <v>963</v>
      </c>
      <c r="X704" s="2" t="s">
        <v>98</v>
      </c>
      <c r="Y704" s="2" t="s">
        <v>366</v>
      </c>
      <c r="Z704" s="4">
        <v>250</v>
      </c>
      <c r="AA704" s="4">
        <f>=ROUNDDOWN(13.1578947368421,0)</f>
      </c>
      <c r="AB704" s="5">
        <v>19</v>
      </c>
      <c r="AC704" s="2" t="s">
        <v>1516</v>
      </c>
      <c r="AD704" s="4">
        <v>85</v>
      </c>
      <c r="AE704" s="4">
        <v>470</v>
      </c>
      <c r="AF704" s="6">
        <v>65</v>
      </c>
      <c r="AG704" s="6">
        <v>48</v>
      </c>
      <c r="AH704" s="7">
        <v>1</v>
      </c>
      <c r="AI704" s="4"/>
      <c r="AJ704" s="4">
        <f>=ROUNDDOWN({0},0)</f>
      </c>
      <c r="AK704" s="5"/>
      <c r="AL704" s="2" t="s">
        <v>98</v>
      </c>
      <c r="AM704" s="4"/>
      <c r="AN704" s="4"/>
      <c r="AO704" s="7">
        <v>0</v>
      </c>
      <c r="AP704" s="4">
        <v>1</v>
      </c>
      <c r="AQ704" s="8">
        <v>203.68</v>
      </c>
      <c r="AR704" s="4">
        <v>2</v>
      </c>
      <c r="AS704" s="8">
        <v>452.62</v>
      </c>
      <c r="AT704" s="7">
        <v>-0.5</v>
      </c>
      <c r="AU704" s="7">
        <v>-0.55</v>
      </c>
      <c r="AV704" s="4">
        <v>1</v>
      </c>
      <c r="AW704" s="8">
        <v>203.68</v>
      </c>
      <c r="AX704" s="4">
        <v>2</v>
      </c>
      <c r="AY704" s="8">
        <v>452.62</v>
      </c>
      <c r="AZ704" s="7">
        <v>-0.5</v>
      </c>
      <c r="BA704" s="7">
        <v>-0.55</v>
      </c>
      <c r="BB704" s="7">
        <v>1</v>
      </c>
      <c r="BC704" s="4">
        <v>1</v>
      </c>
      <c r="BD704" s="8">
        <v>203.68</v>
      </c>
      <c r="BE704" s="4">
        <v>2</v>
      </c>
      <c r="BF704" s="8">
        <v>452.62</v>
      </c>
      <c r="BG704" s="7">
        <v>-0.5</v>
      </c>
      <c r="BH704" s="7">
        <v>-0.55</v>
      </c>
      <c r="BI704" s="7">
        <v>1</v>
      </c>
      <c r="BJ704" s="4">
        <v>6</v>
      </c>
      <c r="BK704" s="8">
        <v>1509.63</v>
      </c>
      <c r="BL704" s="2" t="s">
        <v>2777</v>
      </c>
      <c r="BM704" s="7">
        <v>0.1667</v>
      </c>
      <c r="BN704" s="7">
        <v>0.1349</v>
      </c>
      <c r="BO704" s="4">
        <v>1</v>
      </c>
      <c r="BP704" s="8">
        <v>203.68</v>
      </c>
      <c r="BQ704" s="4">
        <v>2</v>
      </c>
      <c r="BR704" s="8">
        <v>452.62</v>
      </c>
      <c r="BS704" s="7">
        <v>-0.5</v>
      </c>
      <c r="BT704" s="7">
        <v>-0.55</v>
      </c>
      <c r="BU704" s="2" t="s">
        <v>107</v>
      </c>
      <c r="BV704" s="2" t="s">
        <v>1355</v>
      </c>
      <c r="BW704" s="2" t="s">
        <v>1356</v>
      </c>
      <c r="BX704" s="2" t="s">
        <v>3633</v>
      </c>
      <c r="BY704" s="2" t="s">
        <v>110</v>
      </c>
      <c r="BZ704" s="2" t="s">
        <v>98</v>
      </c>
    </row>
    <row r="705">
      <c r="A705" s="2" t="s">
        <v>3715</v>
      </c>
      <c r="B705" s="2" t="s">
        <v>1345</v>
      </c>
      <c r="C705" s="2" t="s">
        <v>952</v>
      </c>
      <c r="D705" s="2" t="s">
        <v>2728</v>
      </c>
      <c r="E705" s="2" t="s">
        <v>2729</v>
      </c>
      <c r="F705" s="2" t="s">
        <v>3716</v>
      </c>
      <c r="G705" s="2" t="s">
        <v>3716</v>
      </c>
      <c r="H705" s="2" t="s">
        <v>3716</v>
      </c>
      <c r="I705" s="2" t="s">
        <v>2733</v>
      </c>
      <c r="J705" s="2" t="s">
        <v>93</v>
      </c>
      <c r="K705" s="2" t="s">
        <v>473</v>
      </c>
      <c r="L705" s="3">
        <v>194.75</v>
      </c>
      <c r="M705" s="3">
        <v>204.49</v>
      </c>
      <c r="N705" s="3">
        <v>409</v>
      </c>
      <c r="O705" s="2" t="s">
        <v>95</v>
      </c>
      <c r="P705" s="2" t="s">
        <v>142</v>
      </c>
      <c r="Q705" s="2" t="s">
        <v>97</v>
      </c>
      <c r="R705" s="2" t="s">
        <v>98</v>
      </c>
      <c r="S705" s="2" t="s">
        <v>98</v>
      </c>
      <c r="T705" s="2" t="s">
        <v>98</v>
      </c>
      <c r="U705" s="2" t="s">
        <v>117</v>
      </c>
      <c r="V705" s="2" t="s">
        <v>439</v>
      </c>
      <c r="W705" s="2" t="s">
        <v>963</v>
      </c>
      <c r="X705" s="2" t="s">
        <v>102</v>
      </c>
      <c r="Y705" s="2" t="s">
        <v>3717</v>
      </c>
      <c r="Z705" s="4">
        <v>99</v>
      </c>
      <c r="AA705" s="4">
        <f>=ROUNDDOWN(99,0)</f>
      </c>
      <c r="AB705" s="5">
        <v>1</v>
      </c>
      <c r="AC705" s="2" t="s">
        <v>3718</v>
      </c>
      <c r="AD705" s="4">
        <v>100</v>
      </c>
      <c r="AE705" s="4">
        <v>100</v>
      </c>
      <c r="AF705" s="6">
        <v>74</v>
      </c>
      <c r="AG705" s="6"/>
      <c r="AH705" s="7">
        <v>1</v>
      </c>
      <c r="AI705" s="4"/>
      <c r="AJ705" s="4">
        <f>=ROUNDDOWN({0},0)</f>
      </c>
      <c r="AK705" s="5"/>
      <c r="AL705" s="2" t="s">
        <v>98</v>
      </c>
      <c r="AM705" s="4"/>
      <c r="AN705" s="4"/>
      <c r="AO705" s="7">
        <v>0</v>
      </c>
      <c r="AP705" s="4">
        <v>1</v>
      </c>
      <c r="AQ705" s="8">
        <v>159.92</v>
      </c>
      <c r="AR705" s="4"/>
      <c r="AS705" s="8"/>
      <c r="AT705" s="7"/>
      <c r="AU705" s="7"/>
      <c r="AV705" s="4">
        <v>1</v>
      </c>
      <c r="AW705" s="8">
        <v>159.92</v>
      </c>
      <c r="AX705" s="4"/>
      <c r="AY705" s="8"/>
      <c r="AZ705" s="7"/>
      <c r="BA705" s="7"/>
      <c r="BB705" s="7">
        <v>1</v>
      </c>
      <c r="BC705" s="4">
        <v>1</v>
      </c>
      <c r="BD705" s="8">
        <v>159.92</v>
      </c>
      <c r="BE705" s="4" t="s">
        <v>98</v>
      </c>
      <c r="BF705" s="8" t="s">
        <v>98</v>
      </c>
      <c r="BG705" s="7" t="s">
        <v>98</v>
      </c>
      <c r="BH705" s="7" t="s">
        <v>98</v>
      </c>
      <c r="BI705" s="7">
        <v>1</v>
      </c>
      <c r="BJ705" s="4">
        <v>1</v>
      </c>
      <c r="BK705" s="8">
        <v>159.92</v>
      </c>
      <c r="BL705" s="2" t="s">
        <v>3719</v>
      </c>
      <c r="BM705" s="7">
        <v>1</v>
      </c>
      <c r="BN705" s="7">
        <v>1</v>
      </c>
      <c r="BO705" s="4">
        <v>1</v>
      </c>
      <c r="BP705" s="8">
        <v>159.92</v>
      </c>
      <c r="BQ705" s="4"/>
      <c r="BR705" s="8"/>
      <c r="BS705" s="7"/>
      <c r="BT705" s="7"/>
      <c r="BU705" s="2" t="s">
        <v>1376</v>
      </c>
      <c r="BV705" s="2" t="s">
        <v>95</v>
      </c>
      <c r="BW705" s="2" t="s">
        <v>98</v>
      </c>
      <c r="BX705" s="2" t="s">
        <v>98</v>
      </c>
      <c r="BY705" s="2" t="s">
        <v>110</v>
      </c>
      <c r="BZ705" s="2" t="s">
        <v>98</v>
      </c>
    </row>
    <row r="706">
      <c r="A706" s="2" t="s">
        <v>3720</v>
      </c>
      <c r="B706" s="2" t="s">
        <v>1345</v>
      </c>
      <c r="C706" s="2" t="s">
        <v>952</v>
      </c>
      <c r="D706" s="2" t="s">
        <v>2728</v>
      </c>
      <c r="E706" s="2" t="s">
        <v>2729</v>
      </c>
      <c r="F706" s="2" t="s">
        <v>3716</v>
      </c>
      <c r="G706" s="2" t="s">
        <v>98</v>
      </c>
      <c r="H706" s="2" t="s">
        <v>98</v>
      </c>
      <c r="I706" s="2" t="s">
        <v>2733</v>
      </c>
      <c r="J706" s="2" t="s">
        <v>93</v>
      </c>
      <c r="K706" s="2" t="s">
        <v>188</v>
      </c>
      <c r="L706" s="3">
        <v>194.75</v>
      </c>
      <c r="M706" s="3">
        <v>204.49</v>
      </c>
      <c r="N706" s="3">
        <v>409</v>
      </c>
      <c r="O706" s="2" t="s">
        <v>95</v>
      </c>
      <c r="P706" s="2" t="s">
        <v>134</v>
      </c>
      <c r="Q706" s="2" t="s">
        <v>97</v>
      </c>
      <c r="R706" s="2" t="s">
        <v>98</v>
      </c>
      <c r="S706" s="2" t="s">
        <v>3721</v>
      </c>
      <c r="T706" s="2" t="s">
        <v>98</v>
      </c>
      <c r="U706" s="2" t="s">
        <v>98</v>
      </c>
      <c r="V706" s="2" t="s">
        <v>439</v>
      </c>
      <c r="W706" s="2" t="s">
        <v>963</v>
      </c>
      <c r="X706" s="2" t="s">
        <v>98</v>
      </c>
      <c r="Y706" s="2" t="s">
        <v>366</v>
      </c>
      <c r="Z706" s="4">
        <v>166</v>
      </c>
      <c r="AA706" s="4">
        <f>=ROUNDDOWN(38.6046511627907,0)</f>
      </c>
      <c r="AB706" s="5">
        <v>4.3</v>
      </c>
      <c r="AC706" s="2" t="s">
        <v>194</v>
      </c>
      <c r="AD706" s="4">
        <v>100</v>
      </c>
      <c r="AE706" s="4">
        <v>100</v>
      </c>
      <c r="AF706" s="6">
        <v>74</v>
      </c>
      <c r="AG706" s="6">
        <v>60</v>
      </c>
      <c r="AH706" s="7">
        <v>1</v>
      </c>
      <c r="AI706" s="4"/>
      <c r="AJ706" s="4">
        <f>=ROUNDDOWN({0},0)</f>
      </c>
      <c r="AK706" s="5"/>
      <c r="AL706" s="2" t="s">
        <v>98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/>
      <c r="AW706" s="8"/>
      <c r="AX706" s="4"/>
      <c r="AY706" s="8"/>
      <c r="AZ706" s="7"/>
      <c r="BA706" s="7"/>
      <c r="BB706" s="7"/>
      <c r="BC706" s="4" t="s">
        <v>98</v>
      </c>
      <c r="BD706" s="8" t="s">
        <v>98</v>
      </c>
      <c r="BE706" s="4" t="s">
        <v>98</v>
      </c>
      <c r="BF706" s="8" t="s">
        <v>98</v>
      </c>
      <c r="BG706" s="7" t="s">
        <v>98</v>
      </c>
      <c r="BH706" s="7" t="s">
        <v>98</v>
      </c>
      <c r="BI706" s="7"/>
      <c r="BJ706" s="4">
        <v>3</v>
      </c>
      <c r="BK706" s="8">
        <v>563.31</v>
      </c>
      <c r="BL706" s="2" t="s">
        <v>1379</v>
      </c>
      <c r="BM706" s="7"/>
      <c r="BN706" s="7"/>
      <c r="BO706" s="4"/>
      <c r="BP706" s="8"/>
      <c r="BQ706" s="4"/>
      <c r="BR706" s="8"/>
      <c r="BS706" s="7"/>
      <c r="BT706" s="7"/>
      <c r="BU706" s="2" t="s">
        <v>107</v>
      </c>
      <c r="BV706" s="2" t="s">
        <v>1355</v>
      </c>
      <c r="BW706" s="2" t="s">
        <v>3352</v>
      </c>
      <c r="BX706" s="2" t="s">
        <v>2985</v>
      </c>
      <c r="BY706" s="2" t="s">
        <v>110</v>
      </c>
      <c r="BZ706" s="2" t="s">
        <v>98</v>
      </c>
    </row>
    <row r="707">
      <c r="A707" s="2" t="s">
        <v>3722</v>
      </c>
      <c r="B707" s="2" t="s">
        <v>1345</v>
      </c>
      <c r="C707" s="2" t="s">
        <v>952</v>
      </c>
      <c r="D707" s="2" t="s">
        <v>2728</v>
      </c>
      <c r="E707" s="2" t="s">
        <v>2729</v>
      </c>
      <c r="F707" s="2" t="s">
        <v>3723</v>
      </c>
      <c r="G707" s="2" t="s">
        <v>3723</v>
      </c>
      <c r="H707" s="2" t="s">
        <v>3723</v>
      </c>
      <c r="I707" s="2" t="s">
        <v>2733</v>
      </c>
      <c r="J707" s="2" t="s">
        <v>93</v>
      </c>
      <c r="K707" s="2" t="s">
        <v>1052</v>
      </c>
      <c r="L707" s="3">
        <v>125.54</v>
      </c>
      <c r="M707" s="3">
        <v>131.82</v>
      </c>
      <c r="N707" s="3">
        <v>269</v>
      </c>
      <c r="O707" s="2" t="s">
        <v>95</v>
      </c>
      <c r="P707" s="2" t="s">
        <v>96</v>
      </c>
      <c r="Q707" s="2" t="s">
        <v>97</v>
      </c>
      <c r="R707" s="2" t="s">
        <v>98</v>
      </c>
      <c r="S707" s="2" t="s">
        <v>3724</v>
      </c>
      <c r="T707" s="2" t="s">
        <v>98</v>
      </c>
      <c r="U707" s="2" t="s">
        <v>98</v>
      </c>
      <c r="V707" s="2" t="s">
        <v>439</v>
      </c>
      <c r="W707" s="2" t="s">
        <v>968</v>
      </c>
      <c r="X707" s="2" t="s">
        <v>98</v>
      </c>
      <c r="Y707" s="2" t="s">
        <v>1999</v>
      </c>
      <c r="Z707" s="4">
        <v>353</v>
      </c>
      <c r="AA707" s="4">
        <f>=ROUNDDOWN(18.5789473684211,0)</f>
      </c>
      <c r="AB707" s="5">
        <v>19</v>
      </c>
      <c r="AC707" s="2" t="s">
        <v>1374</v>
      </c>
      <c r="AD707" s="4">
        <v>140</v>
      </c>
      <c r="AE707" s="4">
        <v>386</v>
      </c>
      <c r="AF707" s="6">
        <v>74</v>
      </c>
      <c r="AG707" s="6">
        <v>60</v>
      </c>
      <c r="AH707" s="7">
        <v>1</v>
      </c>
      <c r="AI707" s="4"/>
      <c r="AJ707" s="4">
        <f>=ROUNDDOWN({0},0)</f>
      </c>
      <c r="AK707" s="5"/>
      <c r="AL707" s="2" t="s">
        <v>98</v>
      </c>
      <c r="AM707" s="4"/>
      <c r="AN707" s="4"/>
      <c r="AO707" s="7">
        <v>0</v>
      </c>
      <c r="AP707" s="4">
        <v>1</v>
      </c>
      <c r="AQ707" s="8">
        <v>115.92</v>
      </c>
      <c r="AR707" s="4"/>
      <c r="AS707" s="8"/>
      <c r="AT707" s="7"/>
      <c r="AU707" s="7"/>
      <c r="AV707" s="4">
        <v>1</v>
      </c>
      <c r="AW707" s="8">
        <v>115.92</v>
      </c>
      <c r="AX707" s="4"/>
      <c r="AY707" s="8"/>
      <c r="AZ707" s="7"/>
      <c r="BA707" s="7"/>
      <c r="BB707" s="7">
        <v>1</v>
      </c>
      <c r="BC707" s="4">
        <v>1</v>
      </c>
      <c r="BD707" s="8">
        <v>115.92</v>
      </c>
      <c r="BE707" s="4"/>
      <c r="BF707" s="8"/>
      <c r="BG707" s="7"/>
      <c r="BH707" s="7"/>
      <c r="BI707" s="7">
        <v>1</v>
      </c>
      <c r="BJ707" s="4">
        <v>6</v>
      </c>
      <c r="BK707" s="8">
        <v>806.44</v>
      </c>
      <c r="BL707" s="2" t="s">
        <v>3003</v>
      </c>
      <c r="BM707" s="7">
        <v>0.1667</v>
      </c>
      <c r="BN707" s="7">
        <v>0.1437</v>
      </c>
      <c r="BO707" s="4">
        <v>1</v>
      </c>
      <c r="BP707" s="8">
        <v>115.92</v>
      </c>
      <c r="BQ707" s="4"/>
      <c r="BR707" s="8"/>
      <c r="BS707" s="7"/>
      <c r="BT707" s="7"/>
      <c r="BU707" s="2" t="s">
        <v>107</v>
      </c>
      <c r="BV707" s="2" t="s">
        <v>1355</v>
      </c>
      <c r="BW707" s="2" t="s">
        <v>1454</v>
      </c>
      <c r="BX707" s="2" t="s">
        <v>3725</v>
      </c>
      <c r="BY707" s="2" t="s">
        <v>110</v>
      </c>
      <c r="BZ707" s="2" t="s">
        <v>98</v>
      </c>
    </row>
    <row r="708">
      <c r="A708" s="2" t="s">
        <v>3726</v>
      </c>
      <c r="B708" s="2" t="s">
        <v>1345</v>
      </c>
      <c r="C708" s="2" t="s">
        <v>952</v>
      </c>
      <c r="D708" s="2" t="s">
        <v>2728</v>
      </c>
      <c r="E708" s="2" t="s">
        <v>2729</v>
      </c>
      <c r="F708" s="2" t="s">
        <v>3727</v>
      </c>
      <c r="G708" s="2" t="s">
        <v>3727</v>
      </c>
      <c r="H708" s="2" t="s">
        <v>3727</v>
      </c>
      <c r="I708" s="2" t="s">
        <v>3728</v>
      </c>
      <c r="J708" s="2" t="s">
        <v>93</v>
      </c>
      <c r="K708" s="2" t="s">
        <v>1052</v>
      </c>
      <c r="L708" s="3">
        <v>99.18</v>
      </c>
      <c r="M708" s="3">
        <v>104.14</v>
      </c>
      <c r="N708" s="3">
        <v>209</v>
      </c>
      <c r="O708" s="2" t="s">
        <v>95</v>
      </c>
      <c r="P708" s="2" t="s">
        <v>163</v>
      </c>
      <c r="Q708" s="2" t="s">
        <v>97</v>
      </c>
      <c r="R708" s="2" t="s">
        <v>98</v>
      </c>
      <c r="S708" s="2" t="s">
        <v>3729</v>
      </c>
      <c r="T708" s="2" t="s">
        <v>98</v>
      </c>
      <c r="U708" s="2" t="s">
        <v>98</v>
      </c>
      <c r="V708" s="2" t="s">
        <v>439</v>
      </c>
      <c r="W708" s="2" t="s">
        <v>963</v>
      </c>
      <c r="X708" s="2" t="s">
        <v>98</v>
      </c>
      <c r="Y708" s="2" t="s">
        <v>366</v>
      </c>
      <c r="Z708" s="4">
        <v>461</v>
      </c>
      <c r="AA708" s="4">
        <f>=ROUNDDOWN(7.94827586206896,0)</f>
      </c>
      <c r="AB708" s="5">
        <v>58</v>
      </c>
      <c r="AC708" s="2" t="s">
        <v>1353</v>
      </c>
      <c r="AD708" s="4">
        <v>480</v>
      </c>
      <c r="AE708" s="4">
        <v>1870</v>
      </c>
      <c r="AF708" s="6">
        <v>74</v>
      </c>
      <c r="AG708" s="6">
        <v>60</v>
      </c>
      <c r="AH708" s="7">
        <v>1</v>
      </c>
      <c r="AI708" s="4"/>
      <c r="AJ708" s="4">
        <f>=ROUNDDOWN({0},0)</f>
      </c>
      <c r="AK708" s="5"/>
      <c r="AL708" s="2" t="s">
        <v>98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/>
      <c r="AW708" s="8"/>
      <c r="AX708" s="4"/>
      <c r="AY708" s="8"/>
      <c r="AZ708" s="7"/>
      <c r="BA708" s="7"/>
      <c r="BB708" s="7"/>
      <c r="BC708" s="4" t="s">
        <v>98</v>
      </c>
      <c r="BD708" s="8" t="s">
        <v>98</v>
      </c>
      <c r="BE708" s="4" t="s">
        <v>98</v>
      </c>
      <c r="BF708" s="8" t="s">
        <v>98</v>
      </c>
      <c r="BG708" s="7" t="s">
        <v>98</v>
      </c>
      <c r="BH708" s="7" t="s">
        <v>98</v>
      </c>
      <c r="BI708" s="7"/>
      <c r="BJ708" s="4">
        <v>41</v>
      </c>
      <c r="BK708" s="8">
        <v>4345.19</v>
      </c>
      <c r="BL708" s="2" t="s">
        <v>3730</v>
      </c>
      <c r="BM708" s="7"/>
      <c r="BN708" s="7"/>
      <c r="BO708" s="4"/>
      <c r="BP708" s="8"/>
      <c r="BQ708" s="4"/>
      <c r="BR708" s="8"/>
      <c r="BS708" s="7"/>
      <c r="BT708" s="7"/>
      <c r="BU708" s="2" t="s">
        <v>107</v>
      </c>
      <c r="BV708" s="2" t="s">
        <v>1355</v>
      </c>
      <c r="BW708" s="2" t="s">
        <v>1356</v>
      </c>
      <c r="BX708" s="2" t="s">
        <v>3731</v>
      </c>
      <c r="BY708" s="2" t="s">
        <v>110</v>
      </c>
      <c r="BZ708" s="2" t="s">
        <v>98</v>
      </c>
    </row>
    <row r="709">
      <c r="A709" s="2" t="s">
        <v>3732</v>
      </c>
      <c r="B709" s="2" t="s">
        <v>1345</v>
      </c>
      <c r="C709" s="2" t="s">
        <v>952</v>
      </c>
      <c r="D709" s="2" t="s">
        <v>2728</v>
      </c>
      <c r="E709" s="2" t="s">
        <v>2729</v>
      </c>
      <c r="F709" s="2" t="s">
        <v>3727</v>
      </c>
      <c r="G709" s="2" t="s">
        <v>3727</v>
      </c>
      <c r="H709" s="2" t="s">
        <v>3727</v>
      </c>
      <c r="I709" s="2" t="s">
        <v>3728</v>
      </c>
      <c r="J709" s="2" t="s">
        <v>93</v>
      </c>
      <c r="K709" s="2" t="s">
        <v>3466</v>
      </c>
      <c r="L709" s="3">
        <v>99.18</v>
      </c>
      <c r="M709" s="3">
        <v>104.14</v>
      </c>
      <c r="N709" s="3">
        <v>209</v>
      </c>
      <c r="O709" s="2" t="s">
        <v>95</v>
      </c>
      <c r="P709" s="2" t="s">
        <v>96</v>
      </c>
      <c r="Q709" s="2" t="s">
        <v>97</v>
      </c>
      <c r="R709" s="2" t="s">
        <v>98</v>
      </c>
      <c r="S709" s="2" t="s">
        <v>98</v>
      </c>
      <c r="T709" s="2" t="s">
        <v>98</v>
      </c>
      <c r="U709" s="2" t="s">
        <v>117</v>
      </c>
      <c r="V709" s="2" t="s">
        <v>439</v>
      </c>
      <c r="W709" s="2" t="s">
        <v>963</v>
      </c>
      <c r="X709" s="2" t="s">
        <v>102</v>
      </c>
      <c r="Y709" s="2" t="s">
        <v>2203</v>
      </c>
      <c r="Z709" s="4">
        <v>192</v>
      </c>
      <c r="AA709" s="4">
        <f>=ROUNDDOWN(9.6,0)</f>
      </c>
      <c r="AB709" s="5">
        <v>20</v>
      </c>
      <c r="AC709" s="2" t="s">
        <v>1353</v>
      </c>
      <c r="AD709" s="4">
        <v>160</v>
      </c>
      <c r="AE709" s="4">
        <v>620</v>
      </c>
      <c r="AF709" s="6">
        <v>74</v>
      </c>
      <c r="AG709" s="6">
        <v>60</v>
      </c>
      <c r="AH709" s="7">
        <v>1</v>
      </c>
      <c r="AI709" s="4"/>
      <c r="AJ709" s="4">
        <f>=ROUNDDOWN({0},0)</f>
      </c>
      <c r="AK709" s="5"/>
      <c r="AL709" s="2" t="s">
        <v>98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/>
      <c r="AW709" s="8"/>
      <c r="AX709" s="4"/>
      <c r="AY709" s="8"/>
      <c r="AZ709" s="7"/>
      <c r="BA709" s="7"/>
      <c r="BB709" s="7"/>
      <c r="BC709" s="4" t="s">
        <v>98</v>
      </c>
      <c r="BD709" s="8" t="s">
        <v>98</v>
      </c>
      <c r="BE709" s="4" t="s">
        <v>98</v>
      </c>
      <c r="BF709" s="8" t="s">
        <v>98</v>
      </c>
      <c r="BG709" s="7" t="s">
        <v>98</v>
      </c>
      <c r="BH709" s="7" t="s">
        <v>98</v>
      </c>
      <c r="BI709" s="7"/>
      <c r="BJ709" s="4">
        <v>13</v>
      </c>
      <c r="BK709" s="8">
        <v>1347.32</v>
      </c>
      <c r="BL709" s="2" t="s">
        <v>1990</v>
      </c>
      <c r="BM709" s="7"/>
      <c r="BN709" s="7"/>
      <c r="BO709" s="4"/>
      <c r="BP709" s="8"/>
      <c r="BQ709" s="4"/>
      <c r="BR709" s="8"/>
      <c r="BS709" s="7"/>
      <c r="BT709" s="7"/>
      <c r="BU709" s="2" t="s">
        <v>1376</v>
      </c>
      <c r="BV709" s="2" t="s">
        <v>95</v>
      </c>
      <c r="BW709" s="2" t="s">
        <v>98</v>
      </c>
      <c r="BX709" s="2" t="s">
        <v>98</v>
      </c>
      <c r="BY709" s="2" t="s">
        <v>110</v>
      </c>
      <c r="BZ709" s="2" t="s">
        <v>98</v>
      </c>
    </row>
    <row r="710">
      <c r="A710" s="2" t="s">
        <v>3733</v>
      </c>
      <c r="B710" s="2" t="s">
        <v>1345</v>
      </c>
      <c r="C710" s="2" t="s">
        <v>952</v>
      </c>
      <c r="D710" s="2" t="s">
        <v>2728</v>
      </c>
      <c r="E710" s="2" t="s">
        <v>2729</v>
      </c>
      <c r="F710" s="2" t="s">
        <v>3734</v>
      </c>
      <c r="G710" s="2" t="s">
        <v>3734</v>
      </c>
      <c r="H710" s="2" t="s">
        <v>3734</v>
      </c>
      <c r="I710" s="2" t="s">
        <v>3735</v>
      </c>
      <c r="J710" s="2" t="s">
        <v>93</v>
      </c>
      <c r="K710" s="2" t="s">
        <v>127</v>
      </c>
      <c r="L710" s="3">
        <v>189</v>
      </c>
      <c r="M710" s="3">
        <v>198.45</v>
      </c>
      <c r="N710" s="3">
        <v>399</v>
      </c>
      <c r="O710" s="2" t="s">
        <v>95</v>
      </c>
      <c r="P710" s="2" t="s">
        <v>295</v>
      </c>
      <c r="Q710" s="2" t="s">
        <v>97</v>
      </c>
      <c r="R710" s="2" t="s">
        <v>98</v>
      </c>
      <c r="S710" s="2" t="s">
        <v>98</v>
      </c>
      <c r="T710" s="2" t="s">
        <v>98</v>
      </c>
      <c r="U710" s="2" t="s">
        <v>117</v>
      </c>
      <c r="V710" s="2" t="s">
        <v>296</v>
      </c>
      <c r="W710" s="2" t="s">
        <v>102</v>
      </c>
      <c r="X710" s="2" t="s">
        <v>98</v>
      </c>
      <c r="Y710" s="2" t="s">
        <v>1062</v>
      </c>
      <c r="Z710" s="4">
        <v>73</v>
      </c>
      <c r="AA710" s="4">
        <f>=ROUNDDOWN(36.5,0)</f>
      </c>
      <c r="AB710" s="5">
        <v>2</v>
      </c>
      <c r="AC710" s="2" t="s">
        <v>98</v>
      </c>
      <c r="AD710" s="4"/>
      <c r="AE710" s="4"/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98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/>
      <c r="AW710" s="8"/>
      <c r="AX710" s="4"/>
      <c r="AY710" s="8"/>
      <c r="AZ710" s="7"/>
      <c r="BA710" s="7"/>
      <c r="BB710" s="7"/>
      <c r="BC710" s="4"/>
      <c r="BD710" s="8"/>
      <c r="BE710" s="4"/>
      <c r="BF710" s="8"/>
      <c r="BG710" s="7"/>
      <c r="BH710" s="7"/>
      <c r="BI710" s="7"/>
      <c r="BJ710" s="4">
        <v>1</v>
      </c>
      <c r="BK710" s="8">
        <v>218.3</v>
      </c>
      <c r="BL710" s="2" t="s">
        <v>269</v>
      </c>
      <c r="BM710" s="7"/>
      <c r="BN710" s="7"/>
      <c r="BO710" s="4"/>
      <c r="BP710" s="8"/>
      <c r="BQ710" s="4"/>
      <c r="BR710" s="8"/>
      <c r="BS710" s="7"/>
      <c r="BT710" s="7"/>
      <c r="BU710" s="2" t="s">
        <v>1376</v>
      </c>
      <c r="BV710" s="2" t="s">
        <v>95</v>
      </c>
      <c r="BW710" s="2" t="s">
        <v>98</v>
      </c>
      <c r="BX710" s="2" t="s">
        <v>98</v>
      </c>
      <c r="BY710" s="2" t="s">
        <v>110</v>
      </c>
      <c r="BZ710" s="2" t="s">
        <v>98</v>
      </c>
    </row>
    <row r="711">
      <c r="A711" s="2" t="s">
        <v>3736</v>
      </c>
      <c r="B711" s="2" t="s">
        <v>1345</v>
      </c>
      <c r="C711" s="2" t="s">
        <v>952</v>
      </c>
      <c r="D711" s="2" t="s">
        <v>2728</v>
      </c>
      <c r="E711" s="2" t="s">
        <v>2729</v>
      </c>
      <c r="F711" s="2" t="s">
        <v>3737</v>
      </c>
      <c r="G711" s="2" t="s">
        <v>3737</v>
      </c>
      <c r="H711" s="2" t="s">
        <v>3737</v>
      </c>
      <c r="I711" s="2" t="s">
        <v>3738</v>
      </c>
      <c r="J711" s="2" t="s">
        <v>93</v>
      </c>
      <c r="K711" s="2" t="s">
        <v>3739</v>
      </c>
      <c r="L711" s="3">
        <v>210</v>
      </c>
      <c r="M711" s="3">
        <v>220.5</v>
      </c>
      <c r="N711" s="3">
        <v>449</v>
      </c>
      <c r="O711" s="2" t="s">
        <v>95</v>
      </c>
      <c r="P711" s="2" t="s">
        <v>411</v>
      </c>
      <c r="Q711" s="2" t="s">
        <v>97</v>
      </c>
      <c r="R711" s="2" t="s">
        <v>98</v>
      </c>
      <c r="S711" s="2" t="s">
        <v>98</v>
      </c>
      <c r="T711" s="2" t="s">
        <v>98</v>
      </c>
      <c r="U711" s="2" t="s">
        <v>117</v>
      </c>
      <c r="V711" s="2" t="s">
        <v>296</v>
      </c>
      <c r="W711" s="2" t="s">
        <v>102</v>
      </c>
      <c r="X711" s="2" t="s">
        <v>119</v>
      </c>
      <c r="Y711" s="2" t="s">
        <v>98</v>
      </c>
      <c r="Z711" s="4"/>
      <c r="AA711" s="4">
        <f>=ROUNDDOWN({0},0)</f>
      </c>
      <c r="AB711" s="5"/>
      <c r="AC711" s="2" t="s">
        <v>3740</v>
      </c>
      <c r="AD711" s="4">
        <v>100</v>
      </c>
      <c r="AE711" s="4">
        <v>100</v>
      </c>
      <c r="AF711" s="6">
        <v>74</v>
      </c>
      <c r="AG711" s="6"/>
      <c r="AH711" s="7">
        <v>0</v>
      </c>
      <c r="AI711" s="4"/>
      <c r="AJ711" s="4">
        <f>=ROUNDDOWN({0},0)</f>
      </c>
      <c r="AK711" s="5"/>
      <c r="AL711" s="2" t="s">
        <v>98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/>
      <c r="AW711" s="8"/>
      <c r="AX711" s="4"/>
      <c r="AY711" s="8"/>
      <c r="AZ711" s="7"/>
      <c r="BA711" s="7"/>
      <c r="BB711" s="7"/>
      <c r="BC711" s="4"/>
      <c r="BD711" s="8"/>
      <c r="BE711" s="4"/>
      <c r="BF711" s="8"/>
      <c r="BG711" s="7"/>
      <c r="BH711" s="7"/>
      <c r="BI711" s="7"/>
      <c r="BJ711" s="4"/>
      <c r="BK711" s="8"/>
      <c r="BL711" s="2" t="s">
        <v>98</v>
      </c>
      <c r="BM711" s="7"/>
      <c r="BN711" s="7"/>
      <c r="BO711" s="4"/>
      <c r="BP711" s="8"/>
      <c r="BQ711" s="4"/>
      <c r="BR711" s="8"/>
      <c r="BS711" s="7"/>
      <c r="BT711" s="7"/>
      <c r="BU711" s="2" t="s">
        <v>1376</v>
      </c>
      <c r="BV711" s="2" t="s">
        <v>95</v>
      </c>
      <c r="BW711" s="2" t="s">
        <v>98</v>
      </c>
      <c r="BX711" s="2" t="s">
        <v>98</v>
      </c>
      <c r="BY711" s="2" t="s">
        <v>110</v>
      </c>
      <c r="BZ711" s="2" t="s">
        <v>98</v>
      </c>
    </row>
    <row r="712">
      <c r="A712" s="2" t="s">
        <v>3741</v>
      </c>
      <c r="B712" s="2" t="s">
        <v>1345</v>
      </c>
      <c r="C712" s="2" t="s">
        <v>952</v>
      </c>
      <c r="D712" s="2" t="s">
        <v>2728</v>
      </c>
      <c r="E712" s="2" t="s">
        <v>2729</v>
      </c>
      <c r="F712" s="2" t="s">
        <v>3742</v>
      </c>
      <c r="G712" s="2" t="s">
        <v>98</v>
      </c>
      <c r="H712" s="2" t="s">
        <v>98</v>
      </c>
      <c r="I712" s="2" t="s">
        <v>2733</v>
      </c>
      <c r="J712" s="2" t="s">
        <v>93</v>
      </c>
      <c r="K712" s="2" t="s">
        <v>174</v>
      </c>
      <c r="L712" s="3">
        <v>174.56</v>
      </c>
      <c r="M712" s="3">
        <v>183.29</v>
      </c>
      <c r="N712" s="3">
        <v>349.99</v>
      </c>
      <c r="O712" s="2" t="s">
        <v>155</v>
      </c>
      <c r="P712" s="2" t="s">
        <v>115</v>
      </c>
      <c r="Q712" s="2" t="s">
        <v>97</v>
      </c>
      <c r="R712" s="2" t="s">
        <v>98</v>
      </c>
      <c r="S712" s="2" t="s">
        <v>3743</v>
      </c>
      <c r="T712" s="2" t="s">
        <v>98</v>
      </c>
      <c r="U712" s="2" t="s">
        <v>98</v>
      </c>
      <c r="V712" s="2" t="s">
        <v>439</v>
      </c>
      <c r="W712" s="2" t="s">
        <v>102</v>
      </c>
      <c r="X712" s="2" t="s">
        <v>98</v>
      </c>
      <c r="Y712" s="2" t="s">
        <v>366</v>
      </c>
      <c r="Z712" s="4">
        <v>6</v>
      </c>
      <c r="AA712" s="4">
        <f>=ROUNDDOWN({0},0)</f>
      </c>
      <c r="AB712" s="5"/>
      <c r="AC712" s="2" t="s">
        <v>98</v>
      </c>
      <c r="AD712" s="4"/>
      <c r="AE712" s="4"/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98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/>
      <c r="BD712" s="8"/>
      <c r="BE712" s="4"/>
      <c r="BF712" s="8"/>
      <c r="BG712" s="7"/>
      <c r="BH712" s="7"/>
      <c r="BI712" s="7"/>
      <c r="BJ712" s="4"/>
      <c r="BK712" s="8"/>
      <c r="BL712" s="2" t="s">
        <v>98</v>
      </c>
      <c r="BM712" s="7"/>
      <c r="BN712" s="7"/>
      <c r="BO712" s="4"/>
      <c r="BP712" s="8"/>
      <c r="BQ712" s="4"/>
      <c r="BR712" s="8"/>
      <c r="BS712" s="7"/>
      <c r="BT712" s="7"/>
      <c r="BU712" s="2" t="s">
        <v>1376</v>
      </c>
      <c r="BV712" s="2" t="s">
        <v>95</v>
      </c>
      <c r="BW712" s="2" t="s">
        <v>3744</v>
      </c>
      <c r="BX712" s="2" t="s">
        <v>3745</v>
      </c>
      <c r="BY712" s="2" t="s">
        <v>110</v>
      </c>
      <c r="BZ712" s="2" t="s">
        <v>98</v>
      </c>
    </row>
    <row r="713">
      <c r="A713" s="2" t="s">
        <v>3746</v>
      </c>
      <c r="B713" s="2" t="s">
        <v>1345</v>
      </c>
      <c r="C713" s="2" t="s">
        <v>952</v>
      </c>
      <c r="D713" s="2" t="s">
        <v>2728</v>
      </c>
      <c r="E713" s="2" t="s">
        <v>2729</v>
      </c>
      <c r="F713" s="2" t="s">
        <v>3747</v>
      </c>
      <c r="G713" s="2" t="s">
        <v>98</v>
      </c>
      <c r="H713" s="2" t="s">
        <v>98</v>
      </c>
      <c r="I713" s="2" t="s">
        <v>3748</v>
      </c>
      <c r="J713" s="2" t="s">
        <v>93</v>
      </c>
      <c r="K713" s="2" t="s">
        <v>2804</v>
      </c>
      <c r="L713" s="3">
        <v>223.78</v>
      </c>
      <c r="M713" s="3">
        <v>234.97</v>
      </c>
      <c r="N713" s="3">
        <v>469</v>
      </c>
      <c r="O713" s="2" t="s">
        <v>155</v>
      </c>
      <c r="P713" s="2" t="s">
        <v>115</v>
      </c>
      <c r="Q713" s="2" t="s">
        <v>97</v>
      </c>
      <c r="R713" s="2" t="s">
        <v>98</v>
      </c>
      <c r="S713" s="2" t="s">
        <v>3749</v>
      </c>
      <c r="T713" s="2" t="s">
        <v>98</v>
      </c>
      <c r="U713" s="2" t="s">
        <v>98</v>
      </c>
      <c r="V713" s="2" t="s">
        <v>439</v>
      </c>
      <c r="W713" s="2" t="s">
        <v>968</v>
      </c>
      <c r="X713" s="2" t="s">
        <v>98</v>
      </c>
      <c r="Y713" s="2" t="s">
        <v>1833</v>
      </c>
      <c r="Z713" s="4"/>
      <c r="AA713" s="4">
        <f>=ROUNDDOWN({0},0)</f>
      </c>
      <c r="AB713" s="5"/>
      <c r="AC713" s="2" t="s">
        <v>98</v>
      </c>
      <c r="AD713" s="4"/>
      <c r="AE713" s="4"/>
      <c r="AF713" s="6">
        <v>65</v>
      </c>
      <c r="AG713" s="6"/>
      <c r="AH713" s="7">
        <v>0</v>
      </c>
      <c r="AI713" s="4"/>
      <c r="AJ713" s="4">
        <f>=ROUNDDOWN({0},0)</f>
      </c>
      <c r="AK713" s="5"/>
      <c r="AL713" s="2" t="s">
        <v>98</v>
      </c>
      <c r="AM713" s="4"/>
      <c r="AN713" s="4"/>
      <c r="AO713" s="7">
        <v>0</v>
      </c>
      <c r="AP713" s="4"/>
      <c r="AQ713" s="8"/>
      <c r="AR713" s="4">
        <v>1</v>
      </c>
      <c r="AS713" s="8">
        <v>200.09</v>
      </c>
      <c r="AT713" s="7">
        <v>-1</v>
      </c>
      <c r="AU713" s="7">
        <v>-1</v>
      </c>
      <c r="AV713" s="4"/>
      <c r="AW713" s="8"/>
      <c r="AX713" s="4">
        <v>1</v>
      </c>
      <c r="AY713" s="8">
        <v>200.09</v>
      </c>
      <c r="AZ713" s="7">
        <v>-1</v>
      </c>
      <c r="BA713" s="7">
        <v>-1</v>
      </c>
      <c r="BB713" s="7"/>
      <c r="BC713" s="4"/>
      <c r="BD713" s="8"/>
      <c r="BE713" s="4">
        <v>1</v>
      </c>
      <c r="BF713" s="8">
        <v>200.09</v>
      </c>
      <c r="BG713" s="7">
        <v>-1</v>
      </c>
      <c r="BH713" s="7">
        <v>-1</v>
      </c>
      <c r="BI713" s="7"/>
      <c r="BJ713" s="4"/>
      <c r="BK713" s="8"/>
      <c r="BL713" s="2" t="s">
        <v>3750</v>
      </c>
      <c r="BM713" s="7"/>
      <c r="BN713" s="7"/>
      <c r="BO713" s="4"/>
      <c r="BP713" s="8"/>
      <c r="BQ713" s="4">
        <v>1</v>
      </c>
      <c r="BR713" s="8">
        <v>200.09</v>
      </c>
      <c r="BS713" s="7">
        <v>-1</v>
      </c>
      <c r="BT713" s="7">
        <v>-1</v>
      </c>
      <c r="BU713" s="2" t="s">
        <v>107</v>
      </c>
      <c r="BV713" s="2" t="s">
        <v>1355</v>
      </c>
      <c r="BW713" s="2" t="s">
        <v>1356</v>
      </c>
      <c r="BX713" s="2" t="s">
        <v>3586</v>
      </c>
      <c r="BY713" s="2" t="s">
        <v>110</v>
      </c>
      <c r="BZ713" s="2" t="s">
        <v>98</v>
      </c>
    </row>
    <row r="714">
      <c r="A714" s="2" t="s">
        <v>3751</v>
      </c>
      <c r="B714" s="2" t="s">
        <v>1345</v>
      </c>
      <c r="C714" s="2" t="s">
        <v>952</v>
      </c>
      <c r="D714" s="2" t="s">
        <v>2728</v>
      </c>
      <c r="E714" s="2" t="s">
        <v>2729</v>
      </c>
      <c r="F714" s="2" t="s">
        <v>3752</v>
      </c>
      <c r="G714" s="2" t="s">
        <v>3752</v>
      </c>
      <c r="H714" s="2" t="s">
        <v>3752</v>
      </c>
      <c r="I714" s="2" t="s">
        <v>2733</v>
      </c>
      <c r="J714" s="2" t="s">
        <v>93</v>
      </c>
      <c r="K714" s="2" t="s">
        <v>2794</v>
      </c>
      <c r="L714" s="3">
        <v>157.3</v>
      </c>
      <c r="M714" s="3">
        <v>165.16</v>
      </c>
      <c r="N714" s="3">
        <v>329</v>
      </c>
      <c r="O714" s="2" t="s">
        <v>155</v>
      </c>
      <c r="P714" s="2" t="s">
        <v>115</v>
      </c>
      <c r="Q714" s="2" t="s">
        <v>97</v>
      </c>
      <c r="R714" s="2" t="s">
        <v>98</v>
      </c>
      <c r="S714" s="2" t="s">
        <v>98</v>
      </c>
      <c r="T714" s="2" t="s">
        <v>98</v>
      </c>
      <c r="U714" s="2" t="s">
        <v>117</v>
      </c>
      <c r="V714" s="2" t="s">
        <v>439</v>
      </c>
      <c r="W714" s="2" t="s">
        <v>102</v>
      </c>
      <c r="X714" s="2" t="s">
        <v>103</v>
      </c>
      <c r="Y714" s="2" t="s">
        <v>3753</v>
      </c>
      <c r="Z714" s="4">
        <v>85</v>
      </c>
      <c r="AA714" s="4">
        <f>=ROUNDDOWN(106.25,0)</f>
      </c>
      <c r="AB714" s="5">
        <v>0.8</v>
      </c>
      <c r="AC714" s="2" t="s">
        <v>98</v>
      </c>
      <c r="AD714" s="4"/>
      <c r="AE714" s="4"/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98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/>
      <c r="AW714" s="8"/>
      <c r="AX714" s="4"/>
      <c r="AY714" s="8"/>
      <c r="AZ714" s="7"/>
      <c r="BA714" s="7"/>
      <c r="BB714" s="7"/>
      <c r="BC714" s="4"/>
      <c r="BD714" s="8"/>
      <c r="BE714" s="4"/>
      <c r="BF714" s="8"/>
      <c r="BG714" s="7"/>
      <c r="BH714" s="7"/>
      <c r="BI714" s="7"/>
      <c r="BJ714" s="4"/>
      <c r="BK714" s="8"/>
      <c r="BL714" s="2" t="s">
        <v>98</v>
      </c>
      <c r="BM714" s="7"/>
      <c r="BN714" s="7"/>
      <c r="BO714" s="4"/>
      <c r="BP714" s="8"/>
      <c r="BQ714" s="4"/>
      <c r="BR714" s="8"/>
      <c r="BS714" s="7"/>
      <c r="BT714" s="7"/>
      <c r="BU714" s="2" t="s">
        <v>1376</v>
      </c>
      <c r="BV714" s="2" t="s">
        <v>95</v>
      </c>
      <c r="BW714" s="2" t="s">
        <v>98</v>
      </c>
      <c r="BX714" s="2" t="s">
        <v>98</v>
      </c>
      <c r="BY714" s="2" t="s">
        <v>110</v>
      </c>
      <c r="BZ714" s="2" t="s">
        <v>98</v>
      </c>
    </row>
    <row r="715">
      <c r="A715" s="2" t="s">
        <v>3754</v>
      </c>
      <c r="B715" s="2" t="s">
        <v>1345</v>
      </c>
      <c r="C715" s="2" t="s">
        <v>952</v>
      </c>
      <c r="D715" s="2" t="s">
        <v>2728</v>
      </c>
      <c r="E715" s="2" t="s">
        <v>2799</v>
      </c>
      <c r="F715" s="2" t="s">
        <v>3682</v>
      </c>
      <c r="G715" s="2" t="s">
        <v>3682</v>
      </c>
      <c r="H715" s="2" t="s">
        <v>3682</v>
      </c>
      <c r="I715" s="2" t="s">
        <v>3755</v>
      </c>
      <c r="J715" s="2" t="s">
        <v>93</v>
      </c>
      <c r="K715" s="2" t="s">
        <v>1052</v>
      </c>
      <c r="L715" s="3">
        <v>171</v>
      </c>
      <c r="M715" s="3">
        <v>179.55</v>
      </c>
      <c r="N715" s="3">
        <v>359</v>
      </c>
      <c r="O715" s="2" t="s">
        <v>1278</v>
      </c>
      <c r="P715" s="2" t="s">
        <v>115</v>
      </c>
      <c r="Q715" s="2" t="s">
        <v>97</v>
      </c>
      <c r="R715" s="2" t="s">
        <v>98</v>
      </c>
      <c r="S715" s="2" t="s">
        <v>98</v>
      </c>
      <c r="T715" s="2" t="s">
        <v>98</v>
      </c>
      <c r="U715" s="2" t="s">
        <v>98</v>
      </c>
      <c r="V715" s="2" t="s">
        <v>439</v>
      </c>
      <c r="W715" s="2" t="s">
        <v>968</v>
      </c>
      <c r="X715" s="2" t="s">
        <v>102</v>
      </c>
      <c r="Y715" s="2" t="s">
        <v>3756</v>
      </c>
      <c r="Z715" s="4"/>
      <c r="AA715" s="4">
        <f>=ROUNDDOWN({0},0)</f>
      </c>
      <c r="AB715" s="5">
        <v>3</v>
      </c>
      <c r="AC715" s="2" t="s">
        <v>98</v>
      </c>
      <c r="AD715" s="4"/>
      <c r="AE715" s="4"/>
      <c r="AF715" s="6">
        <v>74</v>
      </c>
      <c r="AG715" s="6">
        <v>60</v>
      </c>
      <c r="AH715" s="7">
        <v>0</v>
      </c>
      <c r="AI715" s="4"/>
      <c r="AJ715" s="4">
        <f>=ROUNDDOWN({0},0)</f>
      </c>
      <c r="AK715" s="5"/>
      <c r="AL715" s="2" t="s">
        <v>98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/>
      <c r="AW715" s="8"/>
      <c r="AX715" s="4"/>
      <c r="AY715" s="8"/>
      <c r="AZ715" s="7"/>
      <c r="BA715" s="7"/>
      <c r="BB715" s="7"/>
      <c r="BC715" s="4"/>
      <c r="BD715" s="8"/>
      <c r="BE715" s="4"/>
      <c r="BF715" s="8"/>
      <c r="BG715" s="7"/>
      <c r="BH715" s="7"/>
      <c r="BI715" s="7"/>
      <c r="BJ715" s="4"/>
      <c r="BK715" s="8"/>
      <c r="BL715" s="2" t="s">
        <v>3757</v>
      </c>
      <c r="BM715" s="7"/>
      <c r="BN715" s="7"/>
      <c r="BO715" s="4"/>
      <c r="BP715" s="8"/>
      <c r="BQ715" s="4"/>
      <c r="BR715" s="8"/>
      <c r="BS715" s="7"/>
      <c r="BT715" s="7"/>
      <c r="BU715" s="2" t="s">
        <v>107</v>
      </c>
      <c r="BV715" s="2" t="s">
        <v>1355</v>
      </c>
      <c r="BW715" s="2" t="s">
        <v>1777</v>
      </c>
      <c r="BX715" s="2" t="s">
        <v>771</v>
      </c>
      <c r="BY715" s="2" t="s">
        <v>110</v>
      </c>
      <c r="BZ715" s="2" t="s">
        <v>98</v>
      </c>
    </row>
    <row r="716">
      <c r="A716" s="2" t="s">
        <v>3758</v>
      </c>
      <c r="B716" s="2" t="s">
        <v>1345</v>
      </c>
      <c r="C716" s="2" t="s">
        <v>952</v>
      </c>
      <c r="D716" s="2" t="s">
        <v>2728</v>
      </c>
      <c r="E716" s="2" t="s">
        <v>2775</v>
      </c>
      <c r="F716" s="2" t="s">
        <v>3727</v>
      </c>
      <c r="G716" s="2" t="s">
        <v>3727</v>
      </c>
      <c r="H716" s="2" t="s">
        <v>3727</v>
      </c>
      <c r="I716" s="2" t="s">
        <v>3759</v>
      </c>
      <c r="J716" s="2" t="s">
        <v>93</v>
      </c>
      <c r="K716" s="2" t="s">
        <v>1052</v>
      </c>
      <c r="L716" s="3">
        <v>71.25</v>
      </c>
      <c r="M716" s="3">
        <v>74.81</v>
      </c>
      <c r="N716" s="3">
        <v>149</v>
      </c>
      <c r="O716" s="2" t="s">
        <v>95</v>
      </c>
      <c r="P716" s="2" t="s">
        <v>163</v>
      </c>
      <c r="Q716" s="2" t="s">
        <v>97</v>
      </c>
      <c r="R716" s="2" t="s">
        <v>98</v>
      </c>
      <c r="S716" s="2" t="s">
        <v>3760</v>
      </c>
      <c r="T716" s="2" t="s">
        <v>98</v>
      </c>
      <c r="U716" s="2" t="s">
        <v>98</v>
      </c>
      <c r="V716" s="2" t="s">
        <v>439</v>
      </c>
      <c r="W716" s="2" t="s">
        <v>963</v>
      </c>
      <c r="X716" s="2" t="s">
        <v>98</v>
      </c>
      <c r="Y716" s="2" t="s">
        <v>366</v>
      </c>
      <c r="Z716" s="4">
        <v>515</v>
      </c>
      <c r="AA716" s="4">
        <f>=ROUNDDOWN(9.71698113207547,0)</f>
      </c>
      <c r="AB716" s="5">
        <v>53</v>
      </c>
      <c r="AC716" s="2" t="s">
        <v>1353</v>
      </c>
      <c r="AD716" s="4">
        <v>500</v>
      </c>
      <c r="AE716" s="4">
        <v>1300</v>
      </c>
      <c r="AF716" s="6">
        <v>74</v>
      </c>
      <c r="AG716" s="6">
        <v>60</v>
      </c>
      <c r="AH716" s="7">
        <v>1</v>
      </c>
      <c r="AI716" s="4"/>
      <c r="AJ716" s="4">
        <f>=ROUNDDOWN({0},0)</f>
      </c>
      <c r="AK716" s="5"/>
      <c r="AL716" s="2" t="s">
        <v>98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/>
      <c r="AW716" s="8"/>
      <c r="AX716" s="4"/>
      <c r="AY716" s="8"/>
      <c r="AZ716" s="7"/>
      <c r="BA716" s="7"/>
      <c r="BB716" s="7"/>
      <c r="BC716" s="4" t="s">
        <v>98</v>
      </c>
      <c r="BD716" s="8" t="s">
        <v>98</v>
      </c>
      <c r="BE716" s="4" t="s">
        <v>98</v>
      </c>
      <c r="BF716" s="8" t="s">
        <v>98</v>
      </c>
      <c r="BG716" s="7" t="s">
        <v>98</v>
      </c>
      <c r="BH716" s="7" t="s">
        <v>98</v>
      </c>
      <c r="BI716" s="7"/>
      <c r="BJ716" s="4">
        <v>23</v>
      </c>
      <c r="BK716" s="8">
        <v>1868.83</v>
      </c>
      <c r="BL716" s="2" t="s">
        <v>3761</v>
      </c>
      <c r="BM716" s="7"/>
      <c r="BN716" s="7"/>
      <c r="BO716" s="4"/>
      <c r="BP716" s="8"/>
      <c r="BQ716" s="4"/>
      <c r="BR716" s="8"/>
      <c r="BS716" s="7"/>
      <c r="BT716" s="7"/>
      <c r="BU716" s="2" t="s">
        <v>107</v>
      </c>
      <c r="BV716" s="2" t="s">
        <v>1355</v>
      </c>
      <c r="BW716" s="2" t="s">
        <v>1356</v>
      </c>
      <c r="BX716" s="2" t="s">
        <v>3731</v>
      </c>
      <c r="BY716" s="2" t="s">
        <v>110</v>
      </c>
      <c r="BZ716" s="2" t="s">
        <v>98</v>
      </c>
    </row>
    <row r="717">
      <c r="A717" s="2" t="s">
        <v>3762</v>
      </c>
      <c r="B717" s="2" t="s">
        <v>1345</v>
      </c>
      <c r="C717" s="2" t="s">
        <v>952</v>
      </c>
      <c r="D717" s="2" t="s">
        <v>2728</v>
      </c>
      <c r="E717" s="2" t="s">
        <v>2775</v>
      </c>
      <c r="F717" s="2" t="s">
        <v>3727</v>
      </c>
      <c r="G717" s="2" t="s">
        <v>3727</v>
      </c>
      <c r="H717" s="2" t="s">
        <v>3727</v>
      </c>
      <c r="I717" s="2" t="s">
        <v>3759</v>
      </c>
      <c r="J717" s="2" t="s">
        <v>93</v>
      </c>
      <c r="K717" s="2" t="s">
        <v>3466</v>
      </c>
      <c r="L717" s="3">
        <v>71.25</v>
      </c>
      <c r="M717" s="3">
        <v>74.81</v>
      </c>
      <c r="N717" s="3">
        <v>149</v>
      </c>
      <c r="O717" s="2" t="s">
        <v>95</v>
      </c>
      <c r="P717" s="2" t="s">
        <v>96</v>
      </c>
      <c r="Q717" s="2" t="s">
        <v>97</v>
      </c>
      <c r="R717" s="2" t="s">
        <v>98</v>
      </c>
      <c r="S717" s="2" t="s">
        <v>98</v>
      </c>
      <c r="T717" s="2" t="s">
        <v>98</v>
      </c>
      <c r="U717" s="2" t="s">
        <v>117</v>
      </c>
      <c r="V717" s="2" t="s">
        <v>439</v>
      </c>
      <c r="W717" s="2" t="s">
        <v>963</v>
      </c>
      <c r="X717" s="2" t="s">
        <v>102</v>
      </c>
      <c r="Y717" s="2" t="s">
        <v>2203</v>
      </c>
      <c r="Z717" s="4">
        <v>561</v>
      </c>
      <c r="AA717" s="4">
        <f>=ROUNDDOWN(28.05,0)</f>
      </c>
      <c r="AB717" s="5">
        <v>20</v>
      </c>
      <c r="AC717" s="2" t="s">
        <v>1932</v>
      </c>
      <c r="AD717" s="4">
        <v>160</v>
      </c>
      <c r="AE717" s="4">
        <v>160</v>
      </c>
      <c r="AF717" s="6">
        <v>74</v>
      </c>
      <c r="AG717" s="6">
        <v>60</v>
      </c>
      <c r="AH717" s="7">
        <v>1</v>
      </c>
      <c r="AI717" s="4"/>
      <c r="AJ717" s="4">
        <f>=ROUNDDOWN({0},0)</f>
      </c>
      <c r="AK717" s="5"/>
      <c r="AL717" s="2" t="s">
        <v>98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/>
      <c r="AW717" s="8"/>
      <c r="AX717" s="4"/>
      <c r="AY717" s="8"/>
      <c r="AZ717" s="7"/>
      <c r="BA717" s="7"/>
      <c r="BB717" s="7"/>
      <c r="BC717" s="4" t="s">
        <v>98</v>
      </c>
      <c r="BD717" s="8" t="s">
        <v>98</v>
      </c>
      <c r="BE717" s="4" t="s">
        <v>98</v>
      </c>
      <c r="BF717" s="8" t="s">
        <v>98</v>
      </c>
      <c r="BG717" s="7" t="s">
        <v>98</v>
      </c>
      <c r="BH717" s="7" t="s">
        <v>98</v>
      </c>
      <c r="BI717" s="7"/>
      <c r="BJ717" s="4">
        <v>18</v>
      </c>
      <c r="BK717" s="8">
        <v>1458.19</v>
      </c>
      <c r="BL717" s="2" t="s">
        <v>3763</v>
      </c>
      <c r="BM717" s="7"/>
      <c r="BN717" s="7"/>
      <c r="BO717" s="4"/>
      <c r="BP717" s="8"/>
      <c r="BQ717" s="4"/>
      <c r="BR717" s="8"/>
      <c r="BS717" s="7"/>
      <c r="BT717" s="7"/>
      <c r="BU717" s="2" t="s">
        <v>1376</v>
      </c>
      <c r="BV717" s="2" t="s">
        <v>95</v>
      </c>
      <c r="BW717" s="2" t="s">
        <v>98</v>
      </c>
      <c r="BX717" s="2" t="s">
        <v>98</v>
      </c>
      <c r="BY717" s="2" t="s">
        <v>110</v>
      </c>
      <c r="BZ717" s="2" t="s">
        <v>98</v>
      </c>
    </row>
    <row r="718">
      <c r="A718" s="2" t="s">
        <v>3764</v>
      </c>
      <c r="B718" s="2" t="s">
        <v>1345</v>
      </c>
      <c r="C718" s="2" t="s">
        <v>952</v>
      </c>
      <c r="D718" s="2" t="s">
        <v>2728</v>
      </c>
      <c r="E718" s="2" t="s">
        <v>2775</v>
      </c>
      <c r="F718" s="2" t="s">
        <v>3742</v>
      </c>
      <c r="G718" s="2" t="s">
        <v>98</v>
      </c>
      <c r="H718" s="2" t="s">
        <v>98</v>
      </c>
      <c r="I718" s="2" t="s">
        <v>2776</v>
      </c>
      <c r="J718" s="2" t="s">
        <v>93</v>
      </c>
      <c r="K718" s="2" t="s">
        <v>174</v>
      </c>
      <c r="L718" s="3">
        <v>99.75</v>
      </c>
      <c r="M718" s="3">
        <v>104.74</v>
      </c>
      <c r="N718" s="3">
        <v>199.99</v>
      </c>
      <c r="O718" s="2" t="s">
        <v>155</v>
      </c>
      <c r="P718" s="2" t="s">
        <v>115</v>
      </c>
      <c r="Q718" s="2" t="s">
        <v>97</v>
      </c>
      <c r="R718" s="2" t="s">
        <v>98</v>
      </c>
      <c r="S718" s="2" t="s">
        <v>3743</v>
      </c>
      <c r="T718" s="2" t="s">
        <v>98</v>
      </c>
      <c r="U718" s="2" t="s">
        <v>98</v>
      </c>
      <c r="V718" s="2" t="s">
        <v>439</v>
      </c>
      <c r="W718" s="2" t="s">
        <v>102</v>
      </c>
      <c r="X718" s="2" t="s">
        <v>98</v>
      </c>
      <c r="Y718" s="2" t="s">
        <v>366</v>
      </c>
      <c r="Z718" s="4">
        <v>90</v>
      </c>
      <c r="AA718" s="4">
        <f>=ROUNDDOWN(180,0)</f>
      </c>
      <c r="AB718" s="5">
        <v>0.5</v>
      </c>
      <c r="AC718" s="2" t="s">
        <v>98</v>
      </c>
      <c r="AD718" s="4"/>
      <c r="AE718" s="4"/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98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/>
      <c r="AW718" s="8"/>
      <c r="AX718" s="4"/>
      <c r="AY718" s="8"/>
      <c r="AZ718" s="7"/>
      <c r="BA718" s="7"/>
      <c r="BB718" s="7"/>
      <c r="BC718" s="4"/>
      <c r="BD718" s="8"/>
      <c r="BE718" s="4"/>
      <c r="BF718" s="8"/>
      <c r="BG718" s="7"/>
      <c r="BH718" s="7"/>
      <c r="BI718" s="7"/>
      <c r="BJ718" s="4"/>
      <c r="BK718" s="8"/>
      <c r="BL718" s="2" t="s">
        <v>98</v>
      </c>
      <c r="BM718" s="7"/>
      <c r="BN718" s="7"/>
      <c r="BO718" s="4"/>
      <c r="BP718" s="8"/>
      <c r="BQ718" s="4"/>
      <c r="BR718" s="8"/>
      <c r="BS718" s="7"/>
      <c r="BT718" s="7"/>
      <c r="BU718" s="2" t="s">
        <v>107</v>
      </c>
      <c r="BV718" s="2" t="s">
        <v>1355</v>
      </c>
      <c r="BW718" s="2" t="s">
        <v>250</v>
      </c>
      <c r="BX718" s="2" t="s">
        <v>3765</v>
      </c>
      <c r="BY718" s="2" t="s">
        <v>110</v>
      </c>
      <c r="BZ718" s="2" t="s">
        <v>98</v>
      </c>
    </row>
    <row r="719">
      <c r="A719" s="2" t="s">
        <v>3766</v>
      </c>
      <c r="B719" s="2" t="s">
        <v>1345</v>
      </c>
      <c r="C719" s="2" t="s">
        <v>952</v>
      </c>
      <c r="D719" s="2" t="s">
        <v>2728</v>
      </c>
      <c r="E719" s="2" t="s">
        <v>2816</v>
      </c>
      <c r="F719" s="2" t="s">
        <v>3767</v>
      </c>
      <c r="G719" s="2" t="s">
        <v>3767</v>
      </c>
      <c r="H719" s="2" t="s">
        <v>3767</v>
      </c>
      <c r="I719" s="2" t="s">
        <v>3768</v>
      </c>
      <c r="J719" s="2" t="s">
        <v>93</v>
      </c>
      <c r="K719" s="2" t="s">
        <v>473</v>
      </c>
      <c r="L719" s="3">
        <v>130</v>
      </c>
      <c r="M719" s="3">
        <v>136.5</v>
      </c>
      <c r="N719" s="3">
        <v>279</v>
      </c>
      <c r="O719" s="2" t="s">
        <v>95</v>
      </c>
      <c r="P719" s="2" t="s">
        <v>115</v>
      </c>
      <c r="Q719" s="2" t="s">
        <v>97</v>
      </c>
      <c r="R719" s="2" t="s">
        <v>98</v>
      </c>
      <c r="S719" s="2" t="s">
        <v>98</v>
      </c>
      <c r="T719" s="2" t="s">
        <v>98</v>
      </c>
      <c r="U719" s="2" t="s">
        <v>98</v>
      </c>
      <c r="V719" s="2" t="s">
        <v>296</v>
      </c>
      <c r="W719" s="2" t="s">
        <v>119</v>
      </c>
      <c r="X719" s="2" t="s">
        <v>98</v>
      </c>
      <c r="Y719" s="2" t="s">
        <v>3769</v>
      </c>
      <c r="Z719" s="4">
        <v>11</v>
      </c>
      <c r="AA719" s="4">
        <f>=ROUNDDOWN(3.33333333333333,0)</f>
      </c>
      <c r="AB719" s="5">
        <v>3.3</v>
      </c>
      <c r="AC719" s="2" t="s">
        <v>98</v>
      </c>
      <c r="AD719" s="4"/>
      <c r="AE719" s="4"/>
      <c r="AF719" s="6">
        <v>74</v>
      </c>
      <c r="AG719" s="6"/>
      <c r="AH719" s="7">
        <v>1</v>
      </c>
      <c r="AI719" s="4"/>
      <c r="AJ719" s="4">
        <f>=ROUNDDOWN({0},0)</f>
      </c>
      <c r="AK719" s="5"/>
      <c r="AL719" s="2" t="s">
        <v>98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/>
      <c r="AW719" s="8"/>
      <c r="AX719" s="4"/>
      <c r="AY719" s="8"/>
      <c r="AZ719" s="7"/>
      <c r="BA719" s="7"/>
      <c r="BB719" s="7"/>
      <c r="BC719" s="4"/>
      <c r="BD719" s="8"/>
      <c r="BE719" s="4"/>
      <c r="BF719" s="8"/>
      <c r="BG719" s="7"/>
      <c r="BH719" s="7"/>
      <c r="BI719" s="7"/>
      <c r="BJ719" s="4"/>
      <c r="BK719" s="8"/>
      <c r="BL719" s="2" t="s">
        <v>1200</v>
      </c>
      <c r="BM719" s="7"/>
      <c r="BN719" s="7"/>
      <c r="BO719" s="4"/>
      <c r="BP719" s="8"/>
      <c r="BQ719" s="4"/>
      <c r="BR719" s="8"/>
      <c r="BS719" s="7"/>
      <c r="BT719" s="7"/>
      <c r="BU719" s="2" t="s">
        <v>1376</v>
      </c>
      <c r="BV719" s="2" t="s">
        <v>95</v>
      </c>
      <c r="BW719" s="2" t="s">
        <v>98</v>
      </c>
      <c r="BX719" s="2" t="s">
        <v>98</v>
      </c>
      <c r="BY719" s="2" t="s">
        <v>110</v>
      </c>
      <c r="BZ719" s="2" t="s">
        <v>98</v>
      </c>
    </row>
    <row r="720">
      <c r="A720" s="2" t="s">
        <v>3770</v>
      </c>
      <c r="B720" s="2" t="s">
        <v>1345</v>
      </c>
      <c r="C720" s="2" t="s">
        <v>952</v>
      </c>
      <c r="D720" s="2" t="s">
        <v>2728</v>
      </c>
      <c r="E720" s="2" t="s">
        <v>2816</v>
      </c>
      <c r="F720" s="2" t="s">
        <v>3771</v>
      </c>
      <c r="G720" s="2" t="s">
        <v>3771</v>
      </c>
      <c r="H720" s="2" t="s">
        <v>3771</v>
      </c>
      <c r="I720" s="2" t="s">
        <v>3772</v>
      </c>
      <c r="J720" s="2" t="s">
        <v>3773</v>
      </c>
      <c r="K720" s="2" t="s">
        <v>1052</v>
      </c>
      <c r="L720" s="3">
        <v>237.5</v>
      </c>
      <c r="M720" s="3">
        <v>249.38</v>
      </c>
      <c r="N720" s="3">
        <v>499</v>
      </c>
      <c r="O720" s="2" t="s">
        <v>95</v>
      </c>
      <c r="P720" s="2" t="s">
        <v>163</v>
      </c>
      <c r="Q720" s="2" t="s">
        <v>97</v>
      </c>
      <c r="R720" s="2" t="s">
        <v>98</v>
      </c>
      <c r="S720" s="2" t="s">
        <v>3774</v>
      </c>
      <c r="T720" s="2" t="s">
        <v>98</v>
      </c>
      <c r="U720" s="2" t="s">
        <v>117</v>
      </c>
      <c r="V720" s="2" t="s">
        <v>439</v>
      </c>
      <c r="W720" s="2" t="s">
        <v>102</v>
      </c>
      <c r="X720" s="2" t="s">
        <v>119</v>
      </c>
      <c r="Y720" s="2" t="s">
        <v>3527</v>
      </c>
      <c r="Z720" s="4">
        <v>251</v>
      </c>
      <c r="AA720" s="4">
        <f>=ROUNDDOWN(19.3076923076923,0)</f>
      </c>
      <c r="AB720" s="5">
        <v>13</v>
      </c>
      <c r="AC720" s="2" t="s">
        <v>3775</v>
      </c>
      <c r="AD720" s="4">
        <v>40</v>
      </c>
      <c r="AE720" s="4">
        <v>328</v>
      </c>
      <c r="AF720" s="6">
        <v>74</v>
      </c>
      <c r="AG720" s="6">
        <v>60</v>
      </c>
      <c r="AH720" s="7">
        <v>1</v>
      </c>
      <c r="AI720" s="4"/>
      <c r="AJ720" s="4">
        <f>=ROUNDDOWN({0},0)</f>
      </c>
      <c r="AK720" s="5"/>
      <c r="AL720" s="2" t="s">
        <v>98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 t="s">
        <v>98</v>
      </c>
      <c r="AW720" s="8" t="s">
        <v>98</v>
      </c>
      <c r="AX720" s="4" t="s">
        <v>98</v>
      </c>
      <c r="AY720" s="8" t="s">
        <v>98</v>
      </c>
      <c r="AZ720" s="7" t="s">
        <v>98</v>
      </c>
      <c r="BA720" s="7" t="s">
        <v>98</v>
      </c>
      <c r="BB720" s="7"/>
      <c r="BC720" s="4" t="s">
        <v>98</v>
      </c>
      <c r="BD720" s="8" t="s">
        <v>98</v>
      </c>
      <c r="BE720" s="4" t="s">
        <v>98</v>
      </c>
      <c r="BF720" s="8" t="s">
        <v>98</v>
      </c>
      <c r="BG720" s="7" t="s">
        <v>98</v>
      </c>
      <c r="BH720" s="7" t="s">
        <v>98</v>
      </c>
      <c r="BI720" s="7"/>
      <c r="BJ720" s="4">
        <v>12</v>
      </c>
      <c r="BK720" s="8">
        <v>2985.93</v>
      </c>
      <c r="BL720" s="2" t="s">
        <v>3776</v>
      </c>
      <c r="BM720" s="7"/>
      <c r="BN720" s="7"/>
      <c r="BO720" s="4"/>
      <c r="BP720" s="8"/>
      <c r="BQ720" s="4"/>
      <c r="BR720" s="8"/>
      <c r="BS720" s="7"/>
      <c r="BT720" s="7"/>
      <c r="BU720" s="2" t="s">
        <v>107</v>
      </c>
      <c r="BV720" s="2" t="s">
        <v>1355</v>
      </c>
      <c r="BW720" s="2" t="s">
        <v>1777</v>
      </c>
      <c r="BX720" s="2" t="s">
        <v>916</v>
      </c>
      <c r="BY720" s="2" t="s">
        <v>110</v>
      </c>
      <c r="BZ720" s="2" t="s">
        <v>98</v>
      </c>
    </row>
    <row r="721">
      <c r="A721" s="2" t="s">
        <v>3777</v>
      </c>
      <c r="B721" s="2" t="s">
        <v>1345</v>
      </c>
      <c r="C721" s="2" t="s">
        <v>952</v>
      </c>
      <c r="D721" s="2" t="s">
        <v>2728</v>
      </c>
      <c r="E721" s="2" t="s">
        <v>2816</v>
      </c>
      <c r="F721" s="2" t="s">
        <v>3771</v>
      </c>
      <c r="G721" s="2" t="s">
        <v>3771</v>
      </c>
      <c r="H721" s="2" t="s">
        <v>3771</v>
      </c>
      <c r="I721" s="2" t="s">
        <v>3778</v>
      </c>
      <c r="J721" s="2" t="s">
        <v>3779</v>
      </c>
      <c r="K721" s="2" t="s">
        <v>1052</v>
      </c>
      <c r="L721" s="3">
        <v>218.5</v>
      </c>
      <c r="M721" s="3">
        <v>229.42</v>
      </c>
      <c r="N721" s="3">
        <v>459</v>
      </c>
      <c r="O721" s="2" t="s">
        <v>95</v>
      </c>
      <c r="P721" s="2" t="s">
        <v>134</v>
      </c>
      <c r="Q721" s="2" t="s">
        <v>97</v>
      </c>
      <c r="R721" s="2" t="s">
        <v>98</v>
      </c>
      <c r="S721" s="2" t="s">
        <v>98</v>
      </c>
      <c r="T721" s="2" t="s">
        <v>98</v>
      </c>
      <c r="U721" s="2" t="s">
        <v>117</v>
      </c>
      <c r="V721" s="2" t="s">
        <v>296</v>
      </c>
      <c r="W721" s="2" t="s">
        <v>102</v>
      </c>
      <c r="X721" s="2" t="s">
        <v>119</v>
      </c>
      <c r="Y721" s="2" t="s">
        <v>3780</v>
      </c>
      <c r="Z721" s="4">
        <v>74</v>
      </c>
      <c r="AA721" s="4">
        <f>=ROUNDDOWN(5.69230769230769,0)</f>
      </c>
      <c r="AB721" s="5">
        <v>13</v>
      </c>
      <c r="AC721" s="2" t="s">
        <v>1353</v>
      </c>
      <c r="AD721" s="4">
        <v>150</v>
      </c>
      <c r="AE721" s="4">
        <v>456</v>
      </c>
      <c r="AF721" s="6">
        <v>74</v>
      </c>
      <c r="AG721" s="6">
        <v>60</v>
      </c>
      <c r="AH721" s="7">
        <v>1</v>
      </c>
      <c r="AI721" s="4"/>
      <c r="AJ721" s="4">
        <f>=ROUNDDOWN({0},0)</f>
      </c>
      <c r="AK721" s="5"/>
      <c r="AL721" s="2" t="s">
        <v>98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98</v>
      </c>
      <c r="AW721" s="8" t="s">
        <v>98</v>
      </c>
      <c r="AX721" s="4" t="s">
        <v>98</v>
      </c>
      <c r="AY721" s="8" t="s">
        <v>98</v>
      </c>
      <c r="AZ721" s="7" t="s">
        <v>98</v>
      </c>
      <c r="BA721" s="7" t="s">
        <v>98</v>
      </c>
      <c r="BB721" s="7"/>
      <c r="BC721" s="4" t="s">
        <v>98</v>
      </c>
      <c r="BD721" s="8" t="s">
        <v>98</v>
      </c>
      <c r="BE721" s="4" t="s">
        <v>98</v>
      </c>
      <c r="BF721" s="8" t="s">
        <v>98</v>
      </c>
      <c r="BG721" s="7" t="s">
        <v>98</v>
      </c>
      <c r="BH721" s="7" t="s">
        <v>98</v>
      </c>
      <c r="BI721" s="7"/>
      <c r="BJ721" s="4">
        <v>7</v>
      </c>
      <c r="BK721" s="8">
        <v>1735.22</v>
      </c>
      <c r="BL721" s="2" t="s">
        <v>333</v>
      </c>
      <c r="BM721" s="7"/>
      <c r="BN721" s="7"/>
      <c r="BO721" s="4"/>
      <c r="BP721" s="8"/>
      <c r="BQ721" s="4"/>
      <c r="BR721" s="8"/>
      <c r="BS721" s="7"/>
      <c r="BT721" s="7"/>
      <c r="BU721" s="2" t="s">
        <v>1376</v>
      </c>
      <c r="BV721" s="2" t="s">
        <v>95</v>
      </c>
      <c r="BW721" s="2" t="s">
        <v>98</v>
      </c>
      <c r="BX721" s="2" t="s">
        <v>98</v>
      </c>
      <c r="BY721" s="2" t="s">
        <v>110</v>
      </c>
      <c r="BZ721" s="2" t="s">
        <v>98</v>
      </c>
    </row>
    <row r="722">
      <c r="A722" s="2" t="s">
        <v>3781</v>
      </c>
      <c r="B722" s="2" t="s">
        <v>1345</v>
      </c>
      <c r="C722" s="2" t="s">
        <v>952</v>
      </c>
      <c r="D722" s="2" t="s">
        <v>2728</v>
      </c>
      <c r="E722" s="2" t="s">
        <v>2816</v>
      </c>
      <c r="F722" s="2" t="s">
        <v>3771</v>
      </c>
      <c r="G722" s="2" t="s">
        <v>3771</v>
      </c>
      <c r="H722" s="2" t="s">
        <v>3771</v>
      </c>
      <c r="I722" s="2" t="s">
        <v>3772</v>
      </c>
      <c r="J722" s="2" t="s">
        <v>3773</v>
      </c>
      <c r="K722" s="2" t="s">
        <v>127</v>
      </c>
      <c r="L722" s="3">
        <v>237.5</v>
      </c>
      <c r="M722" s="3">
        <v>249.38</v>
      </c>
      <c r="N722" s="3">
        <v>499</v>
      </c>
      <c r="O722" s="2" t="s">
        <v>95</v>
      </c>
      <c r="P722" s="2" t="s">
        <v>163</v>
      </c>
      <c r="Q722" s="2" t="s">
        <v>97</v>
      </c>
      <c r="R722" s="2" t="s">
        <v>98</v>
      </c>
      <c r="S722" s="2" t="s">
        <v>98</v>
      </c>
      <c r="T722" s="2" t="s">
        <v>98</v>
      </c>
      <c r="U722" s="2" t="s">
        <v>117</v>
      </c>
      <c r="V722" s="2" t="s">
        <v>296</v>
      </c>
      <c r="W722" s="2" t="s">
        <v>102</v>
      </c>
      <c r="X722" s="2" t="s">
        <v>119</v>
      </c>
      <c r="Y722" s="2" t="s">
        <v>3782</v>
      </c>
      <c r="Z722" s="4">
        <v>385</v>
      </c>
      <c r="AA722" s="4">
        <f>=ROUNDDOWN(11.3235294117647,0)</f>
      </c>
      <c r="AB722" s="5">
        <v>34</v>
      </c>
      <c r="AC722" s="2" t="s">
        <v>1353</v>
      </c>
      <c r="AD722" s="4">
        <v>166</v>
      </c>
      <c r="AE722" s="4">
        <v>1097</v>
      </c>
      <c r="AF722" s="6">
        <v>74</v>
      </c>
      <c r="AG722" s="6">
        <v>60</v>
      </c>
      <c r="AH722" s="7">
        <v>1</v>
      </c>
      <c r="AI722" s="4"/>
      <c r="AJ722" s="4">
        <f>=ROUNDDOWN({0},0)</f>
      </c>
      <c r="AK722" s="5"/>
      <c r="AL722" s="2" t="s">
        <v>98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 t="s">
        <v>98</v>
      </c>
      <c r="AW722" s="8" t="s">
        <v>98</v>
      </c>
      <c r="AX722" s="4" t="s">
        <v>98</v>
      </c>
      <c r="AY722" s="8" t="s">
        <v>98</v>
      </c>
      <c r="AZ722" s="7" t="s">
        <v>98</v>
      </c>
      <c r="BA722" s="7" t="s">
        <v>98</v>
      </c>
      <c r="BB722" s="7"/>
      <c r="BC722" s="4" t="s">
        <v>98</v>
      </c>
      <c r="BD722" s="8" t="s">
        <v>98</v>
      </c>
      <c r="BE722" s="4" t="s">
        <v>98</v>
      </c>
      <c r="BF722" s="8" t="s">
        <v>98</v>
      </c>
      <c r="BG722" s="7" t="s">
        <v>98</v>
      </c>
      <c r="BH722" s="7" t="s">
        <v>98</v>
      </c>
      <c r="BI722" s="7"/>
      <c r="BJ722" s="4">
        <v>38</v>
      </c>
      <c r="BK722" s="8">
        <v>9973.74</v>
      </c>
      <c r="BL722" s="2" t="s">
        <v>3783</v>
      </c>
      <c r="BM722" s="7"/>
      <c r="BN722" s="7"/>
      <c r="BO722" s="4"/>
      <c r="BP722" s="8"/>
      <c r="BQ722" s="4"/>
      <c r="BR722" s="8"/>
      <c r="BS722" s="7"/>
      <c r="BT722" s="7"/>
      <c r="BU722" s="2" t="s">
        <v>1376</v>
      </c>
      <c r="BV722" s="2" t="s">
        <v>95</v>
      </c>
      <c r="BW722" s="2" t="s">
        <v>98</v>
      </c>
      <c r="BX722" s="2" t="s">
        <v>98</v>
      </c>
      <c r="BY722" s="2" t="s">
        <v>110</v>
      </c>
      <c r="BZ722" s="2" t="s">
        <v>98</v>
      </c>
    </row>
    <row r="723">
      <c r="A723" s="2" t="s">
        <v>3784</v>
      </c>
      <c r="B723" s="2" t="s">
        <v>1345</v>
      </c>
      <c r="C723" s="2" t="s">
        <v>952</v>
      </c>
      <c r="D723" s="2" t="s">
        <v>2728</v>
      </c>
      <c r="E723" s="2" t="s">
        <v>2816</v>
      </c>
      <c r="F723" s="2" t="s">
        <v>3771</v>
      </c>
      <c r="G723" s="2" t="s">
        <v>3771</v>
      </c>
      <c r="H723" s="2" t="s">
        <v>3771</v>
      </c>
      <c r="I723" s="2" t="s">
        <v>3778</v>
      </c>
      <c r="J723" s="2" t="s">
        <v>3779</v>
      </c>
      <c r="K723" s="2" t="s">
        <v>127</v>
      </c>
      <c r="L723" s="3">
        <v>218.5</v>
      </c>
      <c r="M723" s="3">
        <v>229.42</v>
      </c>
      <c r="N723" s="3">
        <v>459</v>
      </c>
      <c r="O723" s="2" t="s">
        <v>95</v>
      </c>
      <c r="P723" s="2" t="s">
        <v>411</v>
      </c>
      <c r="Q723" s="2" t="s">
        <v>97</v>
      </c>
      <c r="R723" s="2" t="s">
        <v>98</v>
      </c>
      <c r="S723" s="2" t="s">
        <v>98</v>
      </c>
      <c r="T723" s="2" t="s">
        <v>98</v>
      </c>
      <c r="U723" s="2" t="s">
        <v>117</v>
      </c>
      <c r="V723" s="2" t="s">
        <v>296</v>
      </c>
      <c r="W723" s="2" t="s">
        <v>102</v>
      </c>
      <c r="X723" s="2" t="s">
        <v>119</v>
      </c>
      <c r="Y723" s="2" t="s">
        <v>98</v>
      </c>
      <c r="Z723" s="4"/>
      <c r="AA723" s="4">
        <f>=ROUNDDOWN({0},0)</f>
      </c>
      <c r="AB723" s="5"/>
      <c r="AC723" s="2" t="s">
        <v>98</v>
      </c>
      <c r="AD723" s="4"/>
      <c r="AE723" s="4"/>
      <c r="AF723" s="6">
        <v>74</v>
      </c>
      <c r="AG723" s="6"/>
      <c r="AH723" s="7">
        <v>0</v>
      </c>
      <c r="AI723" s="4"/>
      <c r="AJ723" s="4">
        <f>=ROUNDDOWN({0},0)</f>
      </c>
      <c r="AK723" s="5"/>
      <c r="AL723" s="2" t="s">
        <v>98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 t="s">
        <v>98</v>
      </c>
      <c r="AW723" s="8" t="s">
        <v>98</v>
      </c>
      <c r="AX723" s="4" t="s">
        <v>98</v>
      </c>
      <c r="AY723" s="8" t="s">
        <v>98</v>
      </c>
      <c r="AZ723" s="7" t="s">
        <v>98</v>
      </c>
      <c r="BA723" s="7" t="s">
        <v>98</v>
      </c>
      <c r="BB723" s="7"/>
      <c r="BC723" s="4" t="s">
        <v>98</v>
      </c>
      <c r="BD723" s="8" t="s">
        <v>98</v>
      </c>
      <c r="BE723" s="4" t="s">
        <v>98</v>
      </c>
      <c r="BF723" s="8" t="s">
        <v>98</v>
      </c>
      <c r="BG723" s="7" t="s">
        <v>98</v>
      </c>
      <c r="BH723" s="7" t="s">
        <v>98</v>
      </c>
      <c r="BI723" s="7"/>
      <c r="BJ723" s="4"/>
      <c r="BK723" s="8"/>
      <c r="BL723" s="2" t="s">
        <v>98</v>
      </c>
      <c r="BM723" s="7"/>
      <c r="BN723" s="7"/>
      <c r="BO723" s="4"/>
      <c r="BP723" s="8"/>
      <c r="BQ723" s="4"/>
      <c r="BR723" s="8"/>
      <c r="BS723" s="7"/>
      <c r="BT723" s="7"/>
      <c r="BU723" s="2" t="s">
        <v>1376</v>
      </c>
      <c r="BV723" s="2" t="s">
        <v>95</v>
      </c>
      <c r="BW723" s="2" t="s">
        <v>98</v>
      </c>
      <c r="BX723" s="2" t="s">
        <v>98</v>
      </c>
      <c r="BY723" s="2" t="s">
        <v>110</v>
      </c>
      <c r="BZ723" s="2" t="s">
        <v>98</v>
      </c>
    </row>
    <row r="724">
      <c r="A724" s="2" t="s">
        <v>3785</v>
      </c>
      <c r="B724" s="2" t="s">
        <v>1345</v>
      </c>
      <c r="C724" s="2" t="s">
        <v>952</v>
      </c>
      <c r="D724" s="2" t="s">
        <v>2728</v>
      </c>
      <c r="E724" s="2" t="s">
        <v>2816</v>
      </c>
      <c r="F724" s="2" t="s">
        <v>3786</v>
      </c>
      <c r="G724" s="2" t="s">
        <v>3786</v>
      </c>
      <c r="H724" s="2" t="s">
        <v>3786</v>
      </c>
      <c r="I724" s="2" t="s">
        <v>3787</v>
      </c>
      <c r="J724" s="2" t="s">
        <v>93</v>
      </c>
      <c r="K724" s="2" t="s">
        <v>127</v>
      </c>
      <c r="L724" s="3">
        <v>165</v>
      </c>
      <c r="M724" s="3">
        <v>173.25</v>
      </c>
      <c r="N724" s="3">
        <v>349</v>
      </c>
      <c r="O724" s="2" t="s">
        <v>95</v>
      </c>
      <c r="P724" s="2" t="s">
        <v>411</v>
      </c>
      <c r="Q724" s="2" t="s">
        <v>97</v>
      </c>
      <c r="R724" s="2" t="s">
        <v>98</v>
      </c>
      <c r="S724" s="2" t="s">
        <v>98</v>
      </c>
      <c r="T724" s="2" t="s">
        <v>98</v>
      </c>
      <c r="U724" s="2" t="s">
        <v>117</v>
      </c>
      <c r="V724" s="2" t="s">
        <v>296</v>
      </c>
      <c r="W724" s="2" t="s">
        <v>102</v>
      </c>
      <c r="X724" s="2" t="s">
        <v>119</v>
      </c>
      <c r="Y724" s="2" t="s">
        <v>98</v>
      </c>
      <c r="Z724" s="4"/>
      <c r="AA724" s="4">
        <f>=ROUNDDOWN({0},0)</f>
      </c>
      <c r="AB724" s="5"/>
      <c r="AC724" s="2" t="s">
        <v>1525</v>
      </c>
      <c r="AD724" s="4">
        <v>100</v>
      </c>
      <c r="AE724" s="4">
        <v>100</v>
      </c>
      <c r="AF724" s="6">
        <v>65</v>
      </c>
      <c r="AG724" s="6"/>
      <c r="AH724" s="7">
        <v>0</v>
      </c>
      <c r="AI724" s="4"/>
      <c r="AJ724" s="4">
        <f>=ROUNDDOWN({0},0)</f>
      </c>
      <c r="AK724" s="5"/>
      <c r="AL724" s="2" t="s">
        <v>98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/>
      <c r="AW724" s="8"/>
      <c r="AX724" s="4"/>
      <c r="AY724" s="8"/>
      <c r="AZ724" s="7"/>
      <c r="BA724" s="7"/>
      <c r="BB724" s="7"/>
      <c r="BC724" s="4"/>
      <c r="BD724" s="8"/>
      <c r="BE724" s="4"/>
      <c r="BF724" s="8"/>
      <c r="BG724" s="7"/>
      <c r="BH724" s="7"/>
      <c r="BI724" s="7"/>
      <c r="BJ724" s="4"/>
      <c r="BK724" s="8"/>
      <c r="BL724" s="2" t="s">
        <v>98</v>
      </c>
      <c r="BM724" s="7"/>
      <c r="BN724" s="7"/>
      <c r="BO724" s="4"/>
      <c r="BP724" s="8"/>
      <c r="BQ724" s="4"/>
      <c r="BR724" s="8"/>
      <c r="BS724" s="7"/>
      <c r="BT724" s="7"/>
      <c r="BU724" s="2" t="s">
        <v>1376</v>
      </c>
      <c r="BV724" s="2" t="s">
        <v>95</v>
      </c>
      <c r="BW724" s="2" t="s">
        <v>98</v>
      </c>
      <c r="BX724" s="2" t="s">
        <v>98</v>
      </c>
      <c r="BY724" s="2" t="s">
        <v>110</v>
      </c>
      <c r="BZ724" s="2" t="s">
        <v>98</v>
      </c>
    </row>
    <row r="725">
      <c r="A725" s="2" t="s">
        <v>3788</v>
      </c>
      <c r="B725" s="2" t="s">
        <v>1345</v>
      </c>
      <c r="C725" s="2" t="s">
        <v>952</v>
      </c>
      <c r="D725" s="2" t="s">
        <v>3068</v>
      </c>
      <c r="E725" s="2" t="s">
        <v>3069</v>
      </c>
      <c r="F725" s="2" t="s">
        <v>3789</v>
      </c>
      <c r="G725" s="2" t="s">
        <v>3789</v>
      </c>
      <c r="H725" s="2" t="s">
        <v>3789</v>
      </c>
      <c r="I725" s="2" t="s">
        <v>3790</v>
      </c>
      <c r="J725" s="2" t="s">
        <v>93</v>
      </c>
      <c r="K725" s="2" t="s">
        <v>616</v>
      </c>
      <c r="L725" s="3">
        <v>117</v>
      </c>
      <c r="M725" s="3">
        <v>122.85</v>
      </c>
      <c r="N725" s="3">
        <v>249</v>
      </c>
      <c r="O725" s="2" t="s">
        <v>95</v>
      </c>
      <c r="P725" s="2" t="s">
        <v>96</v>
      </c>
      <c r="Q725" s="2" t="s">
        <v>97</v>
      </c>
      <c r="R725" s="2" t="s">
        <v>98</v>
      </c>
      <c r="S725" s="2" t="s">
        <v>98</v>
      </c>
      <c r="T725" s="2" t="s">
        <v>98</v>
      </c>
      <c r="U725" s="2" t="s">
        <v>117</v>
      </c>
      <c r="V725" s="2" t="s">
        <v>296</v>
      </c>
      <c r="W725" s="2" t="s">
        <v>119</v>
      </c>
      <c r="X725" s="2" t="s">
        <v>98</v>
      </c>
      <c r="Y725" s="2" t="s">
        <v>3791</v>
      </c>
      <c r="Z725" s="4">
        <v>93</v>
      </c>
      <c r="AA725" s="4">
        <f>=ROUNDDOWN(3.44444444444444,0)</f>
      </c>
      <c r="AB725" s="5">
        <v>27</v>
      </c>
      <c r="AC725" s="2" t="s">
        <v>1457</v>
      </c>
      <c r="AD725" s="4">
        <v>210</v>
      </c>
      <c r="AE725" s="4">
        <v>410</v>
      </c>
      <c r="AF725" s="6">
        <v>67</v>
      </c>
      <c r="AG725" s="6"/>
      <c r="AH725" s="7">
        <v>1</v>
      </c>
      <c r="AI725" s="4"/>
      <c r="AJ725" s="4">
        <f>=ROUNDDOWN({0},0)</f>
      </c>
      <c r="AK725" s="5"/>
      <c r="AL725" s="2" t="s">
        <v>98</v>
      </c>
      <c r="AM725" s="4"/>
      <c r="AN725" s="4"/>
      <c r="AO725" s="7">
        <v>0</v>
      </c>
      <c r="AP725" s="4">
        <v>1</v>
      </c>
      <c r="AQ725" s="8">
        <v>124.69</v>
      </c>
      <c r="AR725" s="4"/>
      <c r="AS725" s="8"/>
      <c r="AT725" s="7"/>
      <c r="AU725" s="7"/>
      <c r="AV725" s="4">
        <v>1</v>
      </c>
      <c r="AW725" s="8">
        <v>124.69</v>
      </c>
      <c r="AX725" s="4"/>
      <c r="AY725" s="8"/>
      <c r="AZ725" s="7"/>
      <c r="BA725" s="7"/>
      <c r="BB725" s="7">
        <v>1</v>
      </c>
      <c r="BC725" s="4">
        <v>1</v>
      </c>
      <c r="BD725" s="8">
        <v>124.69</v>
      </c>
      <c r="BE725" s="4"/>
      <c r="BF725" s="8"/>
      <c r="BG725" s="7"/>
      <c r="BH725" s="7"/>
      <c r="BI725" s="7">
        <v>1</v>
      </c>
      <c r="BJ725" s="4">
        <v>37</v>
      </c>
      <c r="BK725" s="8">
        <v>4868.08</v>
      </c>
      <c r="BL725" s="2" t="s">
        <v>2777</v>
      </c>
      <c r="BM725" s="7">
        <v>0.027</v>
      </c>
      <c r="BN725" s="7">
        <v>0.0256</v>
      </c>
      <c r="BO725" s="4">
        <v>1</v>
      </c>
      <c r="BP725" s="8">
        <v>124.69</v>
      </c>
      <c r="BQ725" s="4"/>
      <c r="BR725" s="8"/>
      <c r="BS725" s="7"/>
      <c r="BT725" s="7"/>
      <c r="BU725" s="2" t="s">
        <v>1376</v>
      </c>
      <c r="BV725" s="2" t="s">
        <v>95</v>
      </c>
      <c r="BW725" s="2" t="s">
        <v>98</v>
      </c>
      <c r="BX725" s="2" t="s">
        <v>98</v>
      </c>
      <c r="BY725" s="2" t="s">
        <v>110</v>
      </c>
      <c r="BZ725" s="2" t="s">
        <v>98</v>
      </c>
    </row>
    <row r="726">
      <c r="A726" s="2" t="s">
        <v>3792</v>
      </c>
      <c r="B726" s="2" t="s">
        <v>1345</v>
      </c>
      <c r="C726" s="2" t="s">
        <v>952</v>
      </c>
      <c r="D726" s="2" t="s">
        <v>3068</v>
      </c>
      <c r="E726" s="2" t="s">
        <v>3069</v>
      </c>
      <c r="F726" s="2" t="s">
        <v>3517</v>
      </c>
      <c r="G726" s="2" t="s">
        <v>98</v>
      </c>
      <c r="H726" s="2" t="s">
        <v>98</v>
      </c>
      <c r="I726" s="2" t="s">
        <v>3793</v>
      </c>
      <c r="J726" s="2" t="s">
        <v>93</v>
      </c>
      <c r="K726" s="2" t="s">
        <v>3490</v>
      </c>
      <c r="L726" s="3">
        <v>193.5</v>
      </c>
      <c r="M726" s="3">
        <v>203.18</v>
      </c>
      <c r="N726" s="3">
        <v>399</v>
      </c>
      <c r="O726" s="2" t="s">
        <v>95</v>
      </c>
      <c r="P726" s="2" t="s">
        <v>142</v>
      </c>
      <c r="Q726" s="2" t="s">
        <v>97</v>
      </c>
      <c r="R726" s="2" t="s">
        <v>98</v>
      </c>
      <c r="S726" s="2" t="s">
        <v>3794</v>
      </c>
      <c r="T726" s="2" t="s">
        <v>98</v>
      </c>
      <c r="U726" s="2" t="s">
        <v>98</v>
      </c>
      <c r="V726" s="2" t="s">
        <v>439</v>
      </c>
      <c r="W726" s="2" t="s">
        <v>119</v>
      </c>
      <c r="X726" s="2" t="s">
        <v>98</v>
      </c>
      <c r="Y726" s="2" t="s">
        <v>3795</v>
      </c>
      <c r="Z726" s="4">
        <v>52</v>
      </c>
      <c r="AA726" s="4">
        <f>=ROUNDDOWN(10.4,0)</f>
      </c>
      <c r="AB726" s="5">
        <v>5</v>
      </c>
      <c r="AC726" s="2" t="s">
        <v>1562</v>
      </c>
      <c r="AD726" s="4">
        <v>100</v>
      </c>
      <c r="AE726" s="4">
        <v>100</v>
      </c>
      <c r="AF726" s="6">
        <v>65</v>
      </c>
      <c r="AG726" s="6">
        <v>48</v>
      </c>
      <c r="AH726" s="7">
        <v>1</v>
      </c>
      <c r="AI726" s="4"/>
      <c r="AJ726" s="4">
        <f>=ROUNDDOWN({0},0)</f>
      </c>
      <c r="AK726" s="5"/>
      <c r="AL726" s="2" t="s">
        <v>98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/>
      <c r="AW726" s="8"/>
      <c r="AX726" s="4"/>
      <c r="AY726" s="8"/>
      <c r="AZ726" s="7"/>
      <c r="BA726" s="7"/>
      <c r="BB726" s="7"/>
      <c r="BC726" s="4"/>
      <c r="BD726" s="8"/>
      <c r="BE726" s="4"/>
      <c r="BF726" s="8"/>
      <c r="BG726" s="7"/>
      <c r="BH726" s="7"/>
      <c r="BI726" s="7"/>
      <c r="BJ726" s="4">
        <v>3</v>
      </c>
      <c r="BK726" s="8">
        <v>608.32</v>
      </c>
      <c r="BL726" s="2" t="s">
        <v>1379</v>
      </c>
      <c r="BM726" s="7"/>
      <c r="BN726" s="7"/>
      <c r="BO726" s="4"/>
      <c r="BP726" s="8"/>
      <c r="BQ726" s="4"/>
      <c r="BR726" s="8"/>
      <c r="BS726" s="7"/>
      <c r="BT726" s="7"/>
      <c r="BU726" s="2" t="s">
        <v>107</v>
      </c>
      <c r="BV726" s="2" t="s">
        <v>1355</v>
      </c>
      <c r="BW726" s="2" t="s">
        <v>1436</v>
      </c>
      <c r="BX726" s="2" t="s">
        <v>3283</v>
      </c>
      <c r="BY726" s="2" t="s">
        <v>110</v>
      </c>
      <c r="BZ726" s="2" t="s">
        <v>98</v>
      </c>
    </row>
    <row r="727">
      <c r="A727" s="2" t="s">
        <v>3796</v>
      </c>
      <c r="B727" s="2" t="s">
        <v>1345</v>
      </c>
      <c r="C727" s="2" t="s">
        <v>952</v>
      </c>
      <c r="D727" s="2" t="s">
        <v>3068</v>
      </c>
      <c r="E727" s="2" t="s">
        <v>3069</v>
      </c>
      <c r="F727" s="2" t="s">
        <v>926</v>
      </c>
      <c r="G727" s="2" t="s">
        <v>926</v>
      </c>
      <c r="H727" s="2" t="s">
        <v>926</v>
      </c>
      <c r="I727" s="2" t="s">
        <v>3102</v>
      </c>
      <c r="J727" s="2" t="s">
        <v>93</v>
      </c>
      <c r="K727" s="2" t="s">
        <v>2139</v>
      </c>
      <c r="L727" s="3">
        <v>118.8</v>
      </c>
      <c r="M727" s="3">
        <v>124.74</v>
      </c>
      <c r="N727" s="3">
        <v>249</v>
      </c>
      <c r="O727" s="2" t="s">
        <v>95</v>
      </c>
      <c r="P727" s="2" t="s">
        <v>134</v>
      </c>
      <c r="Q727" s="2" t="s">
        <v>97</v>
      </c>
      <c r="R727" s="2" t="s">
        <v>98</v>
      </c>
      <c r="S727" s="2" t="s">
        <v>98</v>
      </c>
      <c r="T727" s="2" t="s">
        <v>98</v>
      </c>
      <c r="U727" s="2" t="s">
        <v>117</v>
      </c>
      <c r="V727" s="2" t="s">
        <v>439</v>
      </c>
      <c r="W727" s="2" t="s">
        <v>103</v>
      </c>
      <c r="X727" s="2" t="s">
        <v>297</v>
      </c>
      <c r="Y727" s="2" t="s">
        <v>3797</v>
      </c>
      <c r="Z727" s="4">
        <v>35</v>
      </c>
      <c r="AA727" s="4">
        <f>=ROUNDDOWN(5.83333333333333,0)</f>
      </c>
      <c r="AB727" s="5">
        <v>6</v>
      </c>
      <c r="AC727" s="2" t="s">
        <v>1396</v>
      </c>
      <c r="AD727" s="4">
        <v>100</v>
      </c>
      <c r="AE727" s="4">
        <v>195</v>
      </c>
      <c r="AF727" s="6">
        <v>65</v>
      </c>
      <c r="AG727" s="6">
        <v>48</v>
      </c>
      <c r="AH727" s="7">
        <v>1</v>
      </c>
      <c r="AI727" s="4"/>
      <c r="AJ727" s="4">
        <f>=ROUNDDOWN({0},0)</f>
      </c>
      <c r="AK727" s="5"/>
      <c r="AL727" s="2" t="s">
        <v>98</v>
      </c>
      <c r="AM727" s="4"/>
      <c r="AN727" s="4"/>
      <c r="AO727" s="7">
        <v>0</v>
      </c>
      <c r="AP727" s="4"/>
      <c r="AQ727" s="8"/>
      <c r="AR727" s="4">
        <v>1</v>
      </c>
      <c r="AS727" s="8">
        <v>119.62</v>
      </c>
      <c r="AT727" s="7">
        <v>-1</v>
      </c>
      <c r="AU727" s="7">
        <v>-1</v>
      </c>
      <c r="AV727" s="4"/>
      <c r="AW727" s="8"/>
      <c r="AX727" s="4">
        <v>1</v>
      </c>
      <c r="AY727" s="8">
        <v>119.62</v>
      </c>
      <c r="AZ727" s="7">
        <v>-1</v>
      </c>
      <c r="BA727" s="7">
        <v>-1</v>
      </c>
      <c r="BB727" s="7"/>
      <c r="BC727" s="4"/>
      <c r="BD727" s="8"/>
      <c r="BE727" s="4">
        <v>1</v>
      </c>
      <c r="BF727" s="8">
        <v>119.62</v>
      </c>
      <c r="BG727" s="7">
        <v>-1</v>
      </c>
      <c r="BH727" s="7">
        <v>-1</v>
      </c>
      <c r="BI727" s="7"/>
      <c r="BJ727" s="4">
        <v>2</v>
      </c>
      <c r="BK727" s="8">
        <v>250.05</v>
      </c>
      <c r="BL727" s="2" t="s">
        <v>3798</v>
      </c>
      <c r="BM727" s="7"/>
      <c r="BN727" s="7"/>
      <c r="BO727" s="4"/>
      <c r="BP727" s="8"/>
      <c r="BQ727" s="4">
        <v>1</v>
      </c>
      <c r="BR727" s="8">
        <v>119.62</v>
      </c>
      <c r="BS727" s="7">
        <v>-1</v>
      </c>
      <c r="BT727" s="7">
        <v>-1</v>
      </c>
      <c r="BU727" s="2" t="s">
        <v>1376</v>
      </c>
      <c r="BV727" s="2" t="s">
        <v>95</v>
      </c>
      <c r="BW727" s="2" t="s">
        <v>98</v>
      </c>
      <c r="BX727" s="2" t="s">
        <v>98</v>
      </c>
      <c r="BY727" s="2" t="s">
        <v>110</v>
      </c>
      <c r="BZ727" s="2" t="s">
        <v>98</v>
      </c>
    </row>
    <row r="728">
      <c r="A728" s="2" t="s">
        <v>3799</v>
      </c>
      <c r="B728" s="2" t="s">
        <v>1345</v>
      </c>
      <c r="C728" s="2" t="s">
        <v>952</v>
      </c>
      <c r="D728" s="2" t="s">
        <v>3068</v>
      </c>
      <c r="E728" s="2" t="s">
        <v>3069</v>
      </c>
      <c r="F728" s="2" t="s">
        <v>3800</v>
      </c>
      <c r="G728" s="2" t="s">
        <v>3800</v>
      </c>
      <c r="H728" s="2" t="s">
        <v>3800</v>
      </c>
      <c r="I728" s="2" t="s">
        <v>3793</v>
      </c>
      <c r="J728" s="2" t="s">
        <v>93</v>
      </c>
      <c r="K728" s="2" t="s">
        <v>1052</v>
      </c>
      <c r="L728" s="3">
        <v>142.2</v>
      </c>
      <c r="M728" s="3">
        <v>149.31</v>
      </c>
      <c r="N728" s="3">
        <v>299</v>
      </c>
      <c r="O728" s="2" t="s">
        <v>95</v>
      </c>
      <c r="P728" s="2" t="s">
        <v>96</v>
      </c>
      <c r="Q728" s="2" t="s">
        <v>97</v>
      </c>
      <c r="R728" s="2" t="s">
        <v>98</v>
      </c>
      <c r="S728" s="2" t="s">
        <v>3801</v>
      </c>
      <c r="T728" s="2" t="s">
        <v>98</v>
      </c>
      <c r="U728" s="2" t="s">
        <v>98</v>
      </c>
      <c r="V728" s="2" t="s">
        <v>439</v>
      </c>
      <c r="W728" s="2" t="s">
        <v>968</v>
      </c>
      <c r="X728" s="2" t="s">
        <v>98</v>
      </c>
      <c r="Y728" s="2" t="s">
        <v>1473</v>
      </c>
      <c r="Z728" s="4">
        <v>967</v>
      </c>
      <c r="AA728" s="4">
        <f>=ROUNDDOWN(53.7222222222222,0)</f>
      </c>
      <c r="AB728" s="5">
        <v>18</v>
      </c>
      <c r="AC728" s="2" t="s">
        <v>98</v>
      </c>
      <c r="AD728" s="4"/>
      <c r="AE728" s="4"/>
      <c r="AF728" s="6">
        <v>76</v>
      </c>
      <c r="AG728" s="6">
        <v>62</v>
      </c>
      <c r="AH728" s="7">
        <v>1</v>
      </c>
      <c r="AI728" s="4"/>
      <c r="AJ728" s="4">
        <f>=ROUNDDOWN({0},0)</f>
      </c>
      <c r="AK728" s="5"/>
      <c r="AL728" s="2" t="s">
        <v>98</v>
      </c>
      <c r="AM728" s="4"/>
      <c r="AN728" s="4"/>
      <c r="AO728" s="7">
        <v>0</v>
      </c>
      <c r="AP728" s="4"/>
      <c r="AQ728" s="8"/>
      <c r="AR728" s="4">
        <v>1</v>
      </c>
      <c r="AS728" s="8">
        <v>140.36</v>
      </c>
      <c r="AT728" s="7">
        <v>-1</v>
      </c>
      <c r="AU728" s="7">
        <v>-1</v>
      </c>
      <c r="AV728" s="4"/>
      <c r="AW728" s="8"/>
      <c r="AX728" s="4">
        <v>1</v>
      </c>
      <c r="AY728" s="8">
        <v>140.36</v>
      </c>
      <c r="AZ728" s="7">
        <v>-1</v>
      </c>
      <c r="BA728" s="7">
        <v>-1</v>
      </c>
      <c r="BB728" s="7"/>
      <c r="BC728" s="4"/>
      <c r="BD728" s="8"/>
      <c r="BE728" s="4">
        <v>1</v>
      </c>
      <c r="BF728" s="8">
        <v>140.36</v>
      </c>
      <c r="BG728" s="7">
        <v>-1</v>
      </c>
      <c r="BH728" s="7">
        <v>-1</v>
      </c>
      <c r="BI728" s="7"/>
      <c r="BJ728" s="4">
        <v>7</v>
      </c>
      <c r="BK728" s="8">
        <v>1115.97</v>
      </c>
      <c r="BL728" s="2" t="s">
        <v>3802</v>
      </c>
      <c r="BM728" s="7"/>
      <c r="BN728" s="7"/>
      <c r="BO728" s="4"/>
      <c r="BP728" s="8"/>
      <c r="BQ728" s="4">
        <v>1</v>
      </c>
      <c r="BR728" s="8">
        <v>140.36</v>
      </c>
      <c r="BS728" s="7">
        <v>-1</v>
      </c>
      <c r="BT728" s="7">
        <v>-1</v>
      </c>
      <c r="BU728" s="2" t="s">
        <v>107</v>
      </c>
      <c r="BV728" s="2" t="s">
        <v>1355</v>
      </c>
      <c r="BW728" s="2" t="s">
        <v>1454</v>
      </c>
      <c r="BX728" s="2" t="s">
        <v>916</v>
      </c>
      <c r="BY728" s="2" t="s">
        <v>110</v>
      </c>
      <c r="BZ728" s="2" t="s">
        <v>98</v>
      </c>
    </row>
    <row r="729">
      <c r="A729" s="2" t="s">
        <v>3803</v>
      </c>
      <c r="B729" s="2" t="s">
        <v>1345</v>
      </c>
      <c r="C729" s="2" t="s">
        <v>952</v>
      </c>
      <c r="D729" s="2" t="s">
        <v>3068</v>
      </c>
      <c r="E729" s="2" t="s">
        <v>3069</v>
      </c>
      <c r="F729" s="2" t="s">
        <v>3804</v>
      </c>
      <c r="G729" s="2" t="s">
        <v>3804</v>
      </c>
      <c r="H729" s="2" t="s">
        <v>3804</v>
      </c>
      <c r="I729" s="2" t="s">
        <v>3805</v>
      </c>
      <c r="J729" s="2" t="s">
        <v>3806</v>
      </c>
      <c r="K729" s="2" t="s">
        <v>514</v>
      </c>
      <c r="L729" s="3">
        <v>110</v>
      </c>
      <c r="M729" s="3">
        <v>115.5</v>
      </c>
      <c r="N729" s="3">
        <v>229</v>
      </c>
      <c r="O729" s="2" t="s">
        <v>95</v>
      </c>
      <c r="P729" s="2" t="s">
        <v>295</v>
      </c>
      <c r="Q729" s="2" t="s">
        <v>97</v>
      </c>
      <c r="R729" s="2" t="s">
        <v>98</v>
      </c>
      <c r="S729" s="2" t="s">
        <v>98</v>
      </c>
      <c r="T729" s="2" t="s">
        <v>98</v>
      </c>
      <c r="U729" s="2" t="s">
        <v>117</v>
      </c>
      <c r="V729" s="2" t="s">
        <v>439</v>
      </c>
      <c r="W729" s="2" t="s">
        <v>119</v>
      </c>
      <c r="X729" s="2" t="s">
        <v>98</v>
      </c>
      <c r="Y729" s="2" t="s">
        <v>98</v>
      </c>
      <c r="Z729" s="4"/>
      <c r="AA729" s="4">
        <f>=ROUNDDOWN({0},0)</f>
      </c>
      <c r="AB729" s="5"/>
      <c r="AC729" s="2" t="s">
        <v>323</v>
      </c>
      <c r="AD729" s="4">
        <v>1</v>
      </c>
      <c r="AE729" s="4">
        <v>147</v>
      </c>
      <c r="AF729" s="6">
        <v>65</v>
      </c>
      <c r="AG729" s="6"/>
      <c r="AH729" s="7">
        <v>0</v>
      </c>
      <c r="AI729" s="4"/>
      <c r="AJ729" s="4">
        <f>=ROUNDDOWN({0},0)</f>
      </c>
      <c r="AK729" s="5"/>
      <c r="AL729" s="2" t="s">
        <v>98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 t="s">
        <v>98</v>
      </c>
      <c r="AW729" s="8" t="s">
        <v>98</v>
      </c>
      <c r="AX729" s="4" t="s">
        <v>98</v>
      </c>
      <c r="AY729" s="8" t="s">
        <v>98</v>
      </c>
      <c r="AZ729" s="7" t="s">
        <v>98</v>
      </c>
      <c r="BA729" s="7" t="s">
        <v>98</v>
      </c>
      <c r="BB729" s="7"/>
      <c r="BC729" s="4" t="s">
        <v>98</v>
      </c>
      <c r="BD729" s="8" t="s">
        <v>98</v>
      </c>
      <c r="BE729" s="4" t="s">
        <v>98</v>
      </c>
      <c r="BF729" s="8" t="s">
        <v>98</v>
      </c>
      <c r="BG729" s="7" t="s">
        <v>98</v>
      </c>
      <c r="BH729" s="7" t="s">
        <v>98</v>
      </c>
      <c r="BI729" s="7"/>
      <c r="BJ729" s="4"/>
      <c r="BK729" s="8"/>
      <c r="BL729" s="2" t="s">
        <v>98</v>
      </c>
      <c r="BM729" s="7"/>
      <c r="BN729" s="7"/>
      <c r="BO729" s="4"/>
      <c r="BP729" s="8"/>
      <c r="BQ729" s="4"/>
      <c r="BR729" s="8"/>
      <c r="BS729" s="7"/>
      <c r="BT729" s="7"/>
      <c r="BU729" s="2" t="s">
        <v>1376</v>
      </c>
      <c r="BV729" s="2" t="s">
        <v>95</v>
      </c>
      <c r="BW729" s="2" t="s">
        <v>98</v>
      </c>
      <c r="BX729" s="2" t="s">
        <v>98</v>
      </c>
      <c r="BY729" s="2" t="s">
        <v>110</v>
      </c>
      <c r="BZ729" s="2" t="s">
        <v>98</v>
      </c>
    </row>
    <row r="730">
      <c r="A730" s="2" t="s">
        <v>3807</v>
      </c>
      <c r="B730" s="2" t="s">
        <v>1345</v>
      </c>
      <c r="C730" s="2" t="s">
        <v>952</v>
      </c>
      <c r="D730" s="2" t="s">
        <v>3068</v>
      </c>
      <c r="E730" s="2" t="s">
        <v>3069</v>
      </c>
      <c r="F730" s="2" t="s">
        <v>3804</v>
      </c>
      <c r="G730" s="2" t="s">
        <v>3804</v>
      </c>
      <c r="H730" s="2" t="s">
        <v>3804</v>
      </c>
      <c r="I730" s="2" t="s">
        <v>3805</v>
      </c>
      <c r="J730" s="2" t="s">
        <v>3808</v>
      </c>
      <c r="K730" s="2" t="s">
        <v>514</v>
      </c>
      <c r="L730" s="3">
        <v>135</v>
      </c>
      <c r="M730" s="3">
        <v>141.75</v>
      </c>
      <c r="N730" s="3">
        <v>265</v>
      </c>
      <c r="O730" s="2" t="s">
        <v>95</v>
      </c>
      <c r="P730" s="2" t="s">
        <v>411</v>
      </c>
      <c r="Q730" s="2" t="s">
        <v>97</v>
      </c>
      <c r="R730" s="2" t="s">
        <v>98</v>
      </c>
      <c r="S730" s="2" t="s">
        <v>98</v>
      </c>
      <c r="T730" s="2" t="s">
        <v>98</v>
      </c>
      <c r="U730" s="2" t="s">
        <v>117</v>
      </c>
      <c r="V730" s="2" t="s">
        <v>296</v>
      </c>
      <c r="W730" s="2" t="s">
        <v>119</v>
      </c>
      <c r="X730" s="2" t="s">
        <v>98</v>
      </c>
      <c r="Y730" s="2" t="s">
        <v>98</v>
      </c>
      <c r="Z730" s="4"/>
      <c r="AA730" s="4">
        <f>=ROUNDDOWN({0},0)</f>
      </c>
      <c r="AB730" s="5"/>
      <c r="AC730" s="2" t="s">
        <v>323</v>
      </c>
      <c r="AD730" s="4">
        <v>1</v>
      </c>
      <c r="AE730" s="4">
        <v>150</v>
      </c>
      <c r="AF730" s="6">
        <v>65</v>
      </c>
      <c r="AG730" s="6"/>
      <c r="AH730" s="7">
        <v>0</v>
      </c>
      <c r="AI730" s="4"/>
      <c r="AJ730" s="4">
        <f>=ROUNDDOWN({0},0)</f>
      </c>
      <c r="AK730" s="5"/>
      <c r="AL730" s="2" t="s">
        <v>98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 t="s">
        <v>98</v>
      </c>
      <c r="AW730" s="8" t="s">
        <v>98</v>
      </c>
      <c r="AX730" s="4" t="s">
        <v>98</v>
      </c>
      <c r="AY730" s="8" t="s">
        <v>98</v>
      </c>
      <c r="AZ730" s="7" t="s">
        <v>98</v>
      </c>
      <c r="BA730" s="7" t="s">
        <v>98</v>
      </c>
      <c r="BB730" s="7"/>
      <c r="BC730" s="4" t="s">
        <v>98</v>
      </c>
      <c r="BD730" s="8" t="s">
        <v>98</v>
      </c>
      <c r="BE730" s="4" t="s">
        <v>98</v>
      </c>
      <c r="BF730" s="8" t="s">
        <v>98</v>
      </c>
      <c r="BG730" s="7" t="s">
        <v>98</v>
      </c>
      <c r="BH730" s="7" t="s">
        <v>98</v>
      </c>
      <c r="BI730" s="7"/>
      <c r="BJ730" s="4"/>
      <c r="BK730" s="8"/>
      <c r="BL730" s="2" t="s">
        <v>98</v>
      </c>
      <c r="BM730" s="7"/>
      <c r="BN730" s="7"/>
      <c r="BO730" s="4"/>
      <c r="BP730" s="8"/>
      <c r="BQ730" s="4"/>
      <c r="BR730" s="8"/>
      <c r="BS730" s="7"/>
      <c r="BT730" s="7"/>
      <c r="BU730" s="2" t="s">
        <v>1376</v>
      </c>
      <c r="BV730" s="2" t="s">
        <v>95</v>
      </c>
      <c r="BW730" s="2" t="s">
        <v>98</v>
      </c>
      <c r="BX730" s="2" t="s">
        <v>98</v>
      </c>
      <c r="BY730" s="2" t="s">
        <v>110</v>
      </c>
      <c r="BZ730" s="2" t="s">
        <v>98</v>
      </c>
    </row>
    <row r="731">
      <c r="A731" s="2" t="s">
        <v>3809</v>
      </c>
      <c r="B731" s="2" t="s">
        <v>1345</v>
      </c>
      <c r="C731" s="2" t="s">
        <v>952</v>
      </c>
      <c r="D731" s="2" t="s">
        <v>3068</v>
      </c>
      <c r="E731" s="2" t="s">
        <v>3069</v>
      </c>
      <c r="F731" s="2" t="s">
        <v>3804</v>
      </c>
      <c r="G731" s="2" t="s">
        <v>3804</v>
      </c>
      <c r="H731" s="2" t="s">
        <v>3804</v>
      </c>
      <c r="I731" s="2" t="s">
        <v>3805</v>
      </c>
      <c r="J731" s="2" t="s">
        <v>3806</v>
      </c>
      <c r="K731" s="2" t="s">
        <v>1439</v>
      </c>
      <c r="L731" s="3">
        <v>110</v>
      </c>
      <c r="M731" s="3">
        <v>115.5</v>
      </c>
      <c r="N731" s="3">
        <v>229</v>
      </c>
      <c r="O731" s="2" t="s">
        <v>95</v>
      </c>
      <c r="P731" s="2" t="s">
        <v>134</v>
      </c>
      <c r="Q731" s="2" t="s">
        <v>97</v>
      </c>
      <c r="R731" s="2" t="s">
        <v>98</v>
      </c>
      <c r="S731" s="2" t="s">
        <v>3810</v>
      </c>
      <c r="T731" s="2" t="s">
        <v>98</v>
      </c>
      <c r="U731" s="2" t="s">
        <v>117</v>
      </c>
      <c r="V731" s="2" t="s">
        <v>439</v>
      </c>
      <c r="W731" s="2" t="s">
        <v>119</v>
      </c>
      <c r="X731" s="2" t="s">
        <v>98</v>
      </c>
      <c r="Y731" s="2" t="s">
        <v>3811</v>
      </c>
      <c r="Z731" s="4">
        <v>65</v>
      </c>
      <c r="AA731" s="4">
        <f>=ROUNDDOWN(2.6,0)</f>
      </c>
      <c r="AB731" s="5">
        <v>25</v>
      </c>
      <c r="AC731" s="2" t="s">
        <v>323</v>
      </c>
      <c r="AD731" s="4">
        <v>240</v>
      </c>
      <c r="AE731" s="4">
        <v>628</v>
      </c>
      <c r="AF731" s="6">
        <v>65</v>
      </c>
      <c r="AG731" s="6">
        <v>48</v>
      </c>
      <c r="AH731" s="7">
        <v>1</v>
      </c>
      <c r="AI731" s="4"/>
      <c r="AJ731" s="4">
        <f>=ROUNDDOWN({0},0)</f>
      </c>
      <c r="AK731" s="5"/>
      <c r="AL731" s="2" t="s">
        <v>98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 t="s">
        <v>98</v>
      </c>
      <c r="AW731" s="8" t="s">
        <v>98</v>
      </c>
      <c r="AX731" s="4" t="s">
        <v>98</v>
      </c>
      <c r="AY731" s="8" t="s">
        <v>98</v>
      </c>
      <c r="AZ731" s="7" t="s">
        <v>98</v>
      </c>
      <c r="BA731" s="7" t="s">
        <v>98</v>
      </c>
      <c r="BB731" s="7"/>
      <c r="BC731" s="4" t="s">
        <v>98</v>
      </c>
      <c r="BD731" s="8" t="s">
        <v>98</v>
      </c>
      <c r="BE731" s="4" t="s">
        <v>98</v>
      </c>
      <c r="BF731" s="8" t="s">
        <v>98</v>
      </c>
      <c r="BG731" s="7" t="s">
        <v>98</v>
      </c>
      <c r="BH731" s="7" t="s">
        <v>98</v>
      </c>
      <c r="BI731" s="7"/>
      <c r="BJ731" s="4">
        <v>13</v>
      </c>
      <c r="BK731" s="8">
        <v>1603.11</v>
      </c>
      <c r="BL731" s="2" t="s">
        <v>1379</v>
      </c>
      <c r="BM731" s="7"/>
      <c r="BN731" s="7"/>
      <c r="BO731" s="4"/>
      <c r="BP731" s="8"/>
      <c r="BQ731" s="4"/>
      <c r="BR731" s="8"/>
      <c r="BS731" s="7"/>
      <c r="BT731" s="7"/>
      <c r="BU731" s="2" t="s">
        <v>1376</v>
      </c>
      <c r="BV731" s="2" t="s">
        <v>95</v>
      </c>
      <c r="BW731" s="2" t="s">
        <v>98</v>
      </c>
      <c r="BX731" s="2" t="s">
        <v>98</v>
      </c>
      <c r="BY731" s="2" t="s">
        <v>110</v>
      </c>
      <c r="BZ731" s="2" t="s">
        <v>98</v>
      </c>
    </row>
    <row r="732">
      <c r="A732" s="2" t="s">
        <v>3812</v>
      </c>
      <c r="B732" s="2" t="s">
        <v>1345</v>
      </c>
      <c r="C732" s="2" t="s">
        <v>952</v>
      </c>
      <c r="D732" s="2" t="s">
        <v>3068</v>
      </c>
      <c r="E732" s="2" t="s">
        <v>3069</v>
      </c>
      <c r="F732" s="2" t="s">
        <v>3804</v>
      </c>
      <c r="G732" s="2" t="s">
        <v>3804</v>
      </c>
      <c r="H732" s="2" t="s">
        <v>3804</v>
      </c>
      <c r="I732" s="2" t="s">
        <v>3805</v>
      </c>
      <c r="J732" s="2" t="s">
        <v>3808</v>
      </c>
      <c r="K732" s="2" t="s">
        <v>1439</v>
      </c>
      <c r="L732" s="3">
        <v>135</v>
      </c>
      <c r="M732" s="3">
        <v>141.75</v>
      </c>
      <c r="N732" s="3">
        <v>265</v>
      </c>
      <c r="O732" s="2" t="s">
        <v>95</v>
      </c>
      <c r="P732" s="2" t="s">
        <v>411</v>
      </c>
      <c r="Q732" s="2" t="s">
        <v>97</v>
      </c>
      <c r="R732" s="2" t="s">
        <v>98</v>
      </c>
      <c r="S732" s="2" t="s">
        <v>98</v>
      </c>
      <c r="T732" s="2" t="s">
        <v>98</v>
      </c>
      <c r="U732" s="2" t="s">
        <v>117</v>
      </c>
      <c r="V732" s="2" t="s">
        <v>296</v>
      </c>
      <c r="W732" s="2" t="s">
        <v>119</v>
      </c>
      <c r="X732" s="2" t="s">
        <v>98</v>
      </c>
      <c r="Y732" s="2" t="s">
        <v>98</v>
      </c>
      <c r="Z732" s="4"/>
      <c r="AA732" s="4">
        <f>=ROUNDDOWN({0},0)</f>
      </c>
      <c r="AB732" s="5"/>
      <c r="AC732" s="2" t="s">
        <v>1088</v>
      </c>
      <c r="AD732" s="4">
        <v>240</v>
      </c>
      <c r="AE732" s="4">
        <v>260</v>
      </c>
      <c r="AF732" s="6">
        <v>65</v>
      </c>
      <c r="AG732" s="6"/>
      <c r="AH732" s="7">
        <v>0</v>
      </c>
      <c r="AI732" s="4"/>
      <c r="AJ732" s="4">
        <f>=ROUNDDOWN({0},0)</f>
      </c>
      <c r="AK732" s="5"/>
      <c r="AL732" s="2" t="s">
        <v>98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 t="s">
        <v>98</v>
      </c>
      <c r="AW732" s="8" t="s">
        <v>98</v>
      </c>
      <c r="AX732" s="4" t="s">
        <v>98</v>
      </c>
      <c r="AY732" s="8" t="s">
        <v>98</v>
      </c>
      <c r="AZ732" s="7" t="s">
        <v>98</v>
      </c>
      <c r="BA732" s="7" t="s">
        <v>98</v>
      </c>
      <c r="BB732" s="7"/>
      <c r="BC732" s="4" t="s">
        <v>98</v>
      </c>
      <c r="BD732" s="8" t="s">
        <v>98</v>
      </c>
      <c r="BE732" s="4" t="s">
        <v>98</v>
      </c>
      <c r="BF732" s="8" t="s">
        <v>98</v>
      </c>
      <c r="BG732" s="7" t="s">
        <v>98</v>
      </c>
      <c r="BH732" s="7" t="s">
        <v>98</v>
      </c>
      <c r="BI732" s="7"/>
      <c r="BJ732" s="4"/>
      <c r="BK732" s="8"/>
      <c r="BL732" s="2" t="s">
        <v>98</v>
      </c>
      <c r="BM732" s="7"/>
      <c r="BN732" s="7"/>
      <c r="BO732" s="4"/>
      <c r="BP732" s="8"/>
      <c r="BQ732" s="4"/>
      <c r="BR732" s="8"/>
      <c r="BS732" s="7"/>
      <c r="BT732" s="7"/>
      <c r="BU732" s="2" t="s">
        <v>1376</v>
      </c>
      <c r="BV732" s="2" t="s">
        <v>95</v>
      </c>
      <c r="BW732" s="2" t="s">
        <v>98</v>
      </c>
      <c r="BX732" s="2" t="s">
        <v>98</v>
      </c>
      <c r="BY732" s="2" t="s">
        <v>110</v>
      </c>
      <c r="BZ732" s="2" t="s">
        <v>98</v>
      </c>
    </row>
    <row r="733">
      <c r="A733" s="2" t="s">
        <v>3813</v>
      </c>
      <c r="B733" s="2" t="s">
        <v>1345</v>
      </c>
      <c r="C733" s="2" t="s">
        <v>952</v>
      </c>
      <c r="D733" s="2" t="s">
        <v>3068</v>
      </c>
      <c r="E733" s="2" t="s">
        <v>3186</v>
      </c>
      <c r="F733" s="2" t="s">
        <v>3814</v>
      </c>
      <c r="G733" s="2" t="s">
        <v>3814</v>
      </c>
      <c r="H733" s="2" t="s">
        <v>3814</v>
      </c>
      <c r="I733" s="2" t="s">
        <v>3102</v>
      </c>
      <c r="J733" s="2" t="s">
        <v>93</v>
      </c>
      <c r="K733" s="2" t="s">
        <v>1404</v>
      </c>
      <c r="L733" s="3">
        <v>100.3</v>
      </c>
      <c r="M733" s="3">
        <v>105.32</v>
      </c>
      <c r="N733" s="3">
        <v>219</v>
      </c>
      <c r="O733" s="2" t="s">
        <v>95</v>
      </c>
      <c r="P733" s="2" t="s">
        <v>134</v>
      </c>
      <c r="Q733" s="2" t="s">
        <v>97</v>
      </c>
      <c r="R733" s="2" t="s">
        <v>98</v>
      </c>
      <c r="S733" s="2" t="s">
        <v>98</v>
      </c>
      <c r="T733" s="2" t="s">
        <v>98</v>
      </c>
      <c r="U733" s="2" t="s">
        <v>98</v>
      </c>
      <c r="V733" s="2" t="s">
        <v>296</v>
      </c>
      <c r="W733" s="2" t="s">
        <v>963</v>
      </c>
      <c r="X733" s="2" t="s">
        <v>98</v>
      </c>
      <c r="Y733" s="2" t="s">
        <v>2958</v>
      </c>
      <c r="Z733" s="4">
        <v>127</v>
      </c>
      <c r="AA733" s="4">
        <f>=ROUNDDOWN(21.1666666666667,0)</f>
      </c>
      <c r="AB733" s="5">
        <v>6</v>
      </c>
      <c r="AC733" s="2" t="s">
        <v>1470</v>
      </c>
      <c r="AD733" s="4">
        <v>100</v>
      </c>
      <c r="AE733" s="4">
        <v>100</v>
      </c>
      <c r="AF733" s="6">
        <v>74</v>
      </c>
      <c r="AG733" s="6"/>
      <c r="AH733" s="7">
        <v>1</v>
      </c>
      <c r="AI733" s="4"/>
      <c r="AJ733" s="4">
        <f>=ROUNDDOWN({0},0)</f>
      </c>
      <c r="AK733" s="5"/>
      <c r="AL733" s="2" t="s">
        <v>98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/>
      <c r="AW733" s="8"/>
      <c r="AX733" s="4"/>
      <c r="AY733" s="8"/>
      <c r="AZ733" s="7"/>
      <c r="BA733" s="7"/>
      <c r="BB733" s="7"/>
      <c r="BC733" s="4"/>
      <c r="BD733" s="8"/>
      <c r="BE733" s="4"/>
      <c r="BF733" s="8"/>
      <c r="BG733" s="7"/>
      <c r="BH733" s="7"/>
      <c r="BI733" s="7"/>
      <c r="BJ733" s="4">
        <v>1</v>
      </c>
      <c r="BK733" s="8">
        <v>103.42</v>
      </c>
      <c r="BL733" s="2" t="s">
        <v>895</v>
      </c>
      <c r="BM733" s="7"/>
      <c r="BN733" s="7"/>
      <c r="BO733" s="4"/>
      <c r="BP733" s="8"/>
      <c r="BQ733" s="4"/>
      <c r="BR733" s="8"/>
      <c r="BS733" s="7"/>
      <c r="BT733" s="7"/>
      <c r="BU733" s="2" t="s">
        <v>1376</v>
      </c>
      <c r="BV733" s="2" t="s">
        <v>95</v>
      </c>
      <c r="BW733" s="2" t="s">
        <v>98</v>
      </c>
      <c r="BX733" s="2" t="s">
        <v>98</v>
      </c>
      <c r="BY733" s="2" t="s">
        <v>110</v>
      </c>
      <c r="BZ733" s="2" t="s">
        <v>98</v>
      </c>
    </row>
    <row r="734">
      <c r="A734" s="2" t="s">
        <v>3815</v>
      </c>
      <c r="B734" s="2" t="s">
        <v>1345</v>
      </c>
      <c r="C734" s="2" t="s">
        <v>952</v>
      </c>
      <c r="D734" s="2" t="s">
        <v>3068</v>
      </c>
      <c r="E734" s="2" t="s">
        <v>3186</v>
      </c>
      <c r="F734" s="2" t="s">
        <v>3816</v>
      </c>
      <c r="G734" s="2" t="s">
        <v>3816</v>
      </c>
      <c r="H734" s="2" t="s">
        <v>3816</v>
      </c>
      <c r="I734" s="2" t="s">
        <v>3817</v>
      </c>
      <c r="J734" s="2" t="s">
        <v>93</v>
      </c>
      <c r="K734" s="2" t="s">
        <v>3818</v>
      </c>
      <c r="L734" s="3">
        <v>155</v>
      </c>
      <c r="M734" s="3">
        <v>162.75</v>
      </c>
      <c r="N734" s="3">
        <v>319</v>
      </c>
      <c r="O734" s="2" t="s">
        <v>95</v>
      </c>
      <c r="P734" s="2" t="s">
        <v>295</v>
      </c>
      <c r="Q734" s="2" t="s">
        <v>97</v>
      </c>
      <c r="R734" s="2" t="s">
        <v>98</v>
      </c>
      <c r="S734" s="2" t="s">
        <v>98</v>
      </c>
      <c r="T734" s="2" t="s">
        <v>98</v>
      </c>
      <c r="U734" s="2" t="s">
        <v>117</v>
      </c>
      <c r="V734" s="2" t="s">
        <v>296</v>
      </c>
      <c r="W734" s="2" t="s">
        <v>963</v>
      </c>
      <c r="X734" s="2" t="s">
        <v>102</v>
      </c>
      <c r="Y734" s="2" t="s">
        <v>530</v>
      </c>
      <c r="Z734" s="4"/>
      <c r="AA734" s="4">
        <f>=ROUNDDOWN({0},0)</f>
      </c>
      <c r="AB734" s="5">
        <v>11</v>
      </c>
      <c r="AC734" s="2" t="s">
        <v>1525</v>
      </c>
      <c r="AD734" s="4">
        <v>100</v>
      </c>
      <c r="AE734" s="4">
        <v>200</v>
      </c>
      <c r="AF734" s="6">
        <v>65</v>
      </c>
      <c r="AG734" s="6"/>
      <c r="AH734" s="7">
        <v>0</v>
      </c>
      <c r="AI734" s="4"/>
      <c r="AJ734" s="4">
        <f>=ROUNDDOWN({0},0)</f>
      </c>
      <c r="AK734" s="5"/>
      <c r="AL734" s="2" t="s">
        <v>98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/>
      <c r="AW734" s="8"/>
      <c r="AX734" s="4"/>
      <c r="AY734" s="8"/>
      <c r="AZ734" s="7"/>
      <c r="BA734" s="7"/>
      <c r="BB734" s="7"/>
      <c r="BC734" s="4"/>
      <c r="BD734" s="8"/>
      <c r="BE734" s="4"/>
      <c r="BF734" s="8"/>
      <c r="BG734" s="7"/>
      <c r="BH734" s="7"/>
      <c r="BI734" s="7"/>
      <c r="BJ734" s="4"/>
      <c r="BK734" s="8"/>
      <c r="BL734" s="2" t="s">
        <v>98</v>
      </c>
      <c r="BM734" s="7"/>
      <c r="BN734" s="7"/>
      <c r="BO734" s="4"/>
      <c r="BP734" s="8"/>
      <c r="BQ734" s="4"/>
      <c r="BR734" s="8"/>
      <c r="BS734" s="7"/>
      <c r="BT734" s="7"/>
      <c r="BU734" s="2" t="s">
        <v>1376</v>
      </c>
      <c r="BV734" s="2" t="s">
        <v>95</v>
      </c>
      <c r="BW734" s="2" t="s">
        <v>98</v>
      </c>
      <c r="BX734" s="2" t="s">
        <v>98</v>
      </c>
      <c r="BY734" s="2" t="s">
        <v>110</v>
      </c>
      <c r="BZ734" s="2" t="s">
        <v>98</v>
      </c>
    </row>
    <row r="735">
      <c r="A735" s="2" t="s">
        <v>3819</v>
      </c>
      <c r="B735" s="2" t="s">
        <v>1345</v>
      </c>
      <c r="C735" s="2" t="s">
        <v>952</v>
      </c>
      <c r="D735" s="2" t="s">
        <v>3068</v>
      </c>
      <c r="E735" s="2" t="s">
        <v>3186</v>
      </c>
      <c r="F735" s="2" t="s">
        <v>3820</v>
      </c>
      <c r="G735" s="2" t="s">
        <v>3820</v>
      </c>
      <c r="H735" s="2" t="s">
        <v>3820</v>
      </c>
      <c r="I735" s="2" t="s">
        <v>3154</v>
      </c>
      <c r="J735" s="2" t="s">
        <v>93</v>
      </c>
      <c r="K735" s="2" t="s">
        <v>277</v>
      </c>
      <c r="L735" s="3">
        <v>108</v>
      </c>
      <c r="M735" s="3">
        <v>113.4</v>
      </c>
      <c r="N735" s="3">
        <v>229</v>
      </c>
      <c r="O735" s="2" t="s">
        <v>95</v>
      </c>
      <c r="P735" s="2" t="s">
        <v>134</v>
      </c>
      <c r="Q735" s="2" t="s">
        <v>97</v>
      </c>
      <c r="R735" s="2" t="s">
        <v>98</v>
      </c>
      <c r="S735" s="2" t="s">
        <v>98</v>
      </c>
      <c r="T735" s="2" t="s">
        <v>98</v>
      </c>
      <c r="U735" s="2" t="s">
        <v>98</v>
      </c>
      <c r="V735" s="2" t="s">
        <v>296</v>
      </c>
      <c r="W735" s="2" t="s">
        <v>119</v>
      </c>
      <c r="X735" s="2" t="s">
        <v>98</v>
      </c>
      <c r="Y735" s="2" t="s">
        <v>3197</v>
      </c>
      <c r="Z735" s="4">
        <v>1</v>
      </c>
      <c r="AA735" s="4">
        <f>=ROUNDDOWN(0.142857142857143,0)</f>
      </c>
      <c r="AB735" s="5">
        <v>7</v>
      </c>
      <c r="AC735" s="2" t="s">
        <v>1757</v>
      </c>
      <c r="AD735" s="4">
        <v>200</v>
      </c>
      <c r="AE735" s="4">
        <v>310</v>
      </c>
      <c r="AF735" s="6">
        <v>76</v>
      </c>
      <c r="AG735" s="6"/>
      <c r="AH735" s="7">
        <v>0</v>
      </c>
      <c r="AI735" s="4"/>
      <c r="AJ735" s="4">
        <f>=ROUNDDOWN({0},0)</f>
      </c>
      <c r="AK735" s="5"/>
      <c r="AL735" s="2" t="s">
        <v>98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/>
      <c r="AW735" s="8"/>
      <c r="AX735" s="4"/>
      <c r="AY735" s="8"/>
      <c r="AZ735" s="7"/>
      <c r="BA735" s="7"/>
      <c r="BB735" s="7"/>
      <c r="BC735" s="4"/>
      <c r="BD735" s="8"/>
      <c r="BE735" s="4"/>
      <c r="BF735" s="8"/>
      <c r="BG735" s="7"/>
      <c r="BH735" s="7"/>
      <c r="BI735" s="7"/>
      <c r="BJ735" s="4"/>
      <c r="BK735" s="8"/>
      <c r="BL735" s="2" t="s">
        <v>2239</v>
      </c>
      <c r="BM735" s="7"/>
      <c r="BN735" s="7"/>
      <c r="BO735" s="4"/>
      <c r="BP735" s="8"/>
      <c r="BQ735" s="4"/>
      <c r="BR735" s="8"/>
      <c r="BS735" s="7"/>
      <c r="BT735" s="7"/>
      <c r="BU735" s="2" t="s">
        <v>1376</v>
      </c>
      <c r="BV735" s="2" t="s">
        <v>95</v>
      </c>
      <c r="BW735" s="2" t="s">
        <v>98</v>
      </c>
      <c r="BX735" s="2" t="s">
        <v>98</v>
      </c>
      <c r="BY735" s="2" t="s">
        <v>110</v>
      </c>
      <c r="BZ735" s="2" t="s">
        <v>98</v>
      </c>
    </row>
    <row r="736">
      <c r="A736" s="2" t="s">
        <v>3821</v>
      </c>
      <c r="B736" s="2" t="s">
        <v>1345</v>
      </c>
      <c r="C736" s="2" t="s">
        <v>952</v>
      </c>
      <c r="D736" s="2" t="s">
        <v>2872</v>
      </c>
      <c r="E736" s="2" t="s">
        <v>2872</v>
      </c>
      <c r="F736" s="2" t="s">
        <v>3822</v>
      </c>
      <c r="G736" s="2" t="s">
        <v>3822</v>
      </c>
      <c r="H736" s="2" t="s">
        <v>3822</v>
      </c>
      <c r="I736" s="2" t="s">
        <v>3823</v>
      </c>
      <c r="J736" s="2" t="s">
        <v>93</v>
      </c>
      <c r="K736" s="2" t="s">
        <v>127</v>
      </c>
      <c r="L736" s="3">
        <v>270.75</v>
      </c>
      <c r="M736" s="3">
        <v>284.29</v>
      </c>
      <c r="N736" s="3">
        <v>579</v>
      </c>
      <c r="O736" s="2" t="s">
        <v>95</v>
      </c>
      <c r="P736" s="2" t="s">
        <v>142</v>
      </c>
      <c r="Q736" s="2" t="s">
        <v>97</v>
      </c>
      <c r="R736" s="2" t="s">
        <v>98</v>
      </c>
      <c r="S736" s="2" t="s">
        <v>98</v>
      </c>
      <c r="T736" s="2" t="s">
        <v>98</v>
      </c>
      <c r="U736" s="2" t="s">
        <v>117</v>
      </c>
      <c r="V736" s="2" t="s">
        <v>296</v>
      </c>
      <c r="W736" s="2" t="s">
        <v>103</v>
      </c>
      <c r="X736" s="2" t="s">
        <v>146</v>
      </c>
      <c r="Y736" s="2" t="s">
        <v>3616</v>
      </c>
      <c r="Z736" s="4">
        <v>77</v>
      </c>
      <c r="AA736" s="4">
        <f>=ROUNDDOWN(25.6666666666667,0)</f>
      </c>
      <c r="AB736" s="5">
        <v>3</v>
      </c>
      <c r="AC736" s="2" t="s">
        <v>98</v>
      </c>
      <c r="AD736" s="4"/>
      <c r="AE736" s="4"/>
      <c r="AF736" s="6">
        <v>76</v>
      </c>
      <c r="AG736" s="6"/>
      <c r="AH736" s="7">
        <v>1</v>
      </c>
      <c r="AI736" s="4"/>
      <c r="AJ736" s="4">
        <f>=ROUNDDOWN({0},0)</f>
      </c>
      <c r="AK736" s="5"/>
      <c r="AL736" s="2" t="s">
        <v>98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/>
      <c r="AW736" s="8"/>
      <c r="AX736" s="4"/>
      <c r="AY736" s="8"/>
      <c r="AZ736" s="7"/>
      <c r="BA736" s="7"/>
      <c r="BB736" s="7"/>
      <c r="BC736" s="4"/>
      <c r="BD736" s="8"/>
      <c r="BE736" s="4"/>
      <c r="BF736" s="8"/>
      <c r="BG736" s="7"/>
      <c r="BH736" s="7"/>
      <c r="BI736" s="7"/>
      <c r="BJ736" s="4">
        <v>5</v>
      </c>
      <c r="BK736" s="8">
        <v>1484</v>
      </c>
      <c r="BL736" s="2" t="s">
        <v>1379</v>
      </c>
      <c r="BM736" s="7"/>
      <c r="BN736" s="7"/>
      <c r="BO736" s="4"/>
      <c r="BP736" s="8"/>
      <c r="BQ736" s="4"/>
      <c r="BR736" s="8"/>
      <c r="BS736" s="7"/>
      <c r="BT736" s="7"/>
      <c r="BU736" s="2" t="s">
        <v>1376</v>
      </c>
      <c r="BV736" s="2" t="s">
        <v>95</v>
      </c>
      <c r="BW736" s="2" t="s">
        <v>98</v>
      </c>
      <c r="BX736" s="2" t="s">
        <v>98</v>
      </c>
      <c r="BY736" s="2" t="s">
        <v>110</v>
      </c>
      <c r="BZ736" s="2" t="s">
        <v>98</v>
      </c>
    </row>
    <row r="737">
      <c r="A737" s="2" t="s">
        <v>3824</v>
      </c>
      <c r="B737" s="2" t="s">
        <v>1345</v>
      </c>
      <c r="C737" s="2" t="s">
        <v>952</v>
      </c>
      <c r="D737" s="2" t="s">
        <v>2872</v>
      </c>
      <c r="E737" s="2" t="s">
        <v>2873</v>
      </c>
      <c r="F737" s="2" t="s">
        <v>3825</v>
      </c>
      <c r="G737" s="2" t="s">
        <v>3825</v>
      </c>
      <c r="H737" s="2" t="s">
        <v>3825</v>
      </c>
      <c r="I737" s="2" t="s">
        <v>3826</v>
      </c>
      <c r="J737" s="2" t="s">
        <v>93</v>
      </c>
      <c r="K737" s="2" t="s">
        <v>1052</v>
      </c>
      <c r="L737" s="3">
        <v>248.29</v>
      </c>
      <c r="M737" s="3">
        <v>260.7</v>
      </c>
      <c r="N737" s="3">
        <v>519</v>
      </c>
      <c r="O737" s="2" t="s">
        <v>95</v>
      </c>
      <c r="P737" s="2" t="s">
        <v>134</v>
      </c>
      <c r="Q737" s="2" t="s">
        <v>97</v>
      </c>
      <c r="R737" s="2" t="s">
        <v>98</v>
      </c>
      <c r="S737" s="2" t="s">
        <v>98</v>
      </c>
      <c r="T737" s="2" t="s">
        <v>98</v>
      </c>
      <c r="U737" s="2" t="s">
        <v>117</v>
      </c>
      <c r="V737" s="2" t="s">
        <v>439</v>
      </c>
      <c r="W737" s="2" t="s">
        <v>102</v>
      </c>
      <c r="X737" s="2" t="s">
        <v>103</v>
      </c>
      <c r="Y737" s="2" t="s">
        <v>3717</v>
      </c>
      <c r="Z737" s="4">
        <v>54</v>
      </c>
      <c r="AA737" s="4">
        <f>=ROUNDDOWN(10.8,0)</f>
      </c>
      <c r="AB737" s="5">
        <v>5</v>
      </c>
      <c r="AC737" s="2" t="s">
        <v>1374</v>
      </c>
      <c r="AD737" s="4">
        <v>150</v>
      </c>
      <c r="AE737" s="4">
        <v>300</v>
      </c>
      <c r="AF737" s="6">
        <v>74</v>
      </c>
      <c r="AG737" s="6">
        <v>60</v>
      </c>
      <c r="AH737" s="7">
        <v>1</v>
      </c>
      <c r="AI737" s="4"/>
      <c r="AJ737" s="4">
        <f>=ROUNDDOWN({0},0)</f>
      </c>
      <c r="AK737" s="5"/>
      <c r="AL737" s="2" t="s">
        <v>98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/>
      <c r="AW737" s="8"/>
      <c r="AX737" s="4"/>
      <c r="AY737" s="8"/>
      <c r="AZ737" s="7"/>
      <c r="BA737" s="7"/>
      <c r="BB737" s="7"/>
      <c r="BC737" s="4"/>
      <c r="BD737" s="8"/>
      <c r="BE737" s="4"/>
      <c r="BF737" s="8"/>
      <c r="BG737" s="7"/>
      <c r="BH737" s="7"/>
      <c r="BI737" s="7"/>
      <c r="BJ737" s="4">
        <v>1</v>
      </c>
      <c r="BK737" s="8">
        <v>216.22</v>
      </c>
      <c r="BL737" s="2" t="s">
        <v>1379</v>
      </c>
      <c r="BM737" s="7"/>
      <c r="BN737" s="7"/>
      <c r="BO737" s="4"/>
      <c r="BP737" s="8"/>
      <c r="BQ737" s="4"/>
      <c r="BR737" s="8"/>
      <c r="BS737" s="7"/>
      <c r="BT737" s="7"/>
      <c r="BU737" s="2" t="s">
        <v>1376</v>
      </c>
      <c r="BV737" s="2" t="s">
        <v>95</v>
      </c>
      <c r="BW737" s="2" t="s">
        <v>98</v>
      </c>
      <c r="BX737" s="2" t="s">
        <v>98</v>
      </c>
      <c r="BY737" s="2" t="s">
        <v>110</v>
      </c>
      <c r="BZ737" s="2" t="s">
        <v>98</v>
      </c>
    </row>
    <row r="738">
      <c r="A738" s="2" t="s">
        <v>3827</v>
      </c>
      <c r="B738" s="2" t="s">
        <v>1345</v>
      </c>
      <c r="C738" s="2" t="s">
        <v>952</v>
      </c>
      <c r="D738" s="2" t="s">
        <v>2789</v>
      </c>
      <c r="E738" s="2" t="s">
        <v>2789</v>
      </c>
      <c r="F738" s="2" t="s">
        <v>3828</v>
      </c>
      <c r="G738" s="2" t="s">
        <v>3828</v>
      </c>
      <c r="H738" s="2" t="s">
        <v>3828</v>
      </c>
      <c r="I738" s="2" t="s">
        <v>3829</v>
      </c>
      <c r="J738" s="2" t="s">
        <v>93</v>
      </c>
      <c r="K738" s="2" t="s">
        <v>473</v>
      </c>
      <c r="L738" s="3">
        <v>75.6</v>
      </c>
      <c r="M738" s="3">
        <v>79.38</v>
      </c>
      <c r="N738" s="3">
        <v>159</v>
      </c>
      <c r="O738" s="2" t="s">
        <v>155</v>
      </c>
      <c r="P738" s="2" t="s">
        <v>115</v>
      </c>
      <c r="Q738" s="2" t="s">
        <v>97</v>
      </c>
      <c r="R738" s="2" t="s">
        <v>98</v>
      </c>
      <c r="S738" s="2" t="s">
        <v>98</v>
      </c>
      <c r="T738" s="2" t="s">
        <v>98</v>
      </c>
      <c r="U738" s="2" t="s">
        <v>117</v>
      </c>
      <c r="V738" s="2" t="s">
        <v>296</v>
      </c>
      <c r="W738" s="2" t="s">
        <v>968</v>
      </c>
      <c r="X738" s="2" t="s">
        <v>963</v>
      </c>
      <c r="Y738" s="2" t="s">
        <v>3830</v>
      </c>
      <c r="Z738" s="4">
        <v>146</v>
      </c>
      <c r="AA738" s="4">
        <f>=ROUNDDOWN(20.5633802816901,0)</f>
      </c>
      <c r="AB738" s="5">
        <v>7.1</v>
      </c>
      <c r="AC738" s="2" t="s">
        <v>98</v>
      </c>
      <c r="AD738" s="4"/>
      <c r="AE738" s="4"/>
      <c r="AF738" s="6">
        <v>74</v>
      </c>
      <c r="AG738" s="6"/>
      <c r="AH738" s="7">
        <v>1</v>
      </c>
      <c r="AI738" s="4"/>
      <c r="AJ738" s="4">
        <f>=ROUNDDOWN({0},0)</f>
      </c>
      <c r="AK738" s="5"/>
      <c r="AL738" s="2" t="s">
        <v>98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/>
      <c r="AW738" s="8"/>
      <c r="AX738" s="4"/>
      <c r="AY738" s="8"/>
      <c r="AZ738" s="7"/>
      <c r="BA738" s="7"/>
      <c r="BB738" s="7"/>
      <c r="BC738" s="4"/>
      <c r="BD738" s="8"/>
      <c r="BE738" s="4"/>
      <c r="BF738" s="8"/>
      <c r="BG738" s="7"/>
      <c r="BH738" s="7"/>
      <c r="BI738" s="7"/>
      <c r="BJ738" s="4">
        <v>3</v>
      </c>
      <c r="BK738" s="8">
        <v>223.21</v>
      </c>
      <c r="BL738" s="2" t="s">
        <v>3831</v>
      </c>
      <c r="BM738" s="7"/>
      <c r="BN738" s="7"/>
      <c r="BO738" s="4"/>
      <c r="BP738" s="8"/>
      <c r="BQ738" s="4"/>
      <c r="BR738" s="8"/>
      <c r="BS738" s="7"/>
      <c r="BT738" s="7"/>
      <c r="BU738" s="2" t="s">
        <v>1376</v>
      </c>
      <c r="BV738" s="2" t="s">
        <v>95</v>
      </c>
      <c r="BW738" s="2" t="s">
        <v>98</v>
      </c>
      <c r="BX738" s="2" t="s">
        <v>98</v>
      </c>
      <c r="BY738" s="2" t="s">
        <v>110</v>
      </c>
      <c r="BZ738" s="2" t="s">
        <v>98</v>
      </c>
    </row>
    <row r="739">
      <c r="A739" s="2" t="s">
        <v>3832</v>
      </c>
      <c r="B739" s="2" t="s">
        <v>1345</v>
      </c>
      <c r="C739" s="2" t="s">
        <v>952</v>
      </c>
      <c r="D739" s="2" t="s">
        <v>2789</v>
      </c>
      <c r="E739" s="2" t="s">
        <v>2775</v>
      </c>
      <c r="F739" s="2" t="s">
        <v>3833</v>
      </c>
      <c r="G739" s="2" t="s">
        <v>98</v>
      </c>
      <c r="H739" s="2" t="s">
        <v>98</v>
      </c>
      <c r="I739" s="2" t="s">
        <v>3834</v>
      </c>
      <c r="J739" s="2" t="s">
        <v>93</v>
      </c>
      <c r="K739" s="2" t="s">
        <v>3713</v>
      </c>
      <c r="L739" s="3">
        <v>70</v>
      </c>
      <c r="M739" s="3">
        <v>73.5</v>
      </c>
      <c r="N739" s="3">
        <v>149</v>
      </c>
      <c r="O739" s="2" t="s">
        <v>95</v>
      </c>
      <c r="P739" s="2" t="s">
        <v>134</v>
      </c>
      <c r="Q739" s="2" t="s">
        <v>97</v>
      </c>
      <c r="R739" s="2" t="s">
        <v>98</v>
      </c>
      <c r="S739" s="2" t="s">
        <v>3835</v>
      </c>
      <c r="T739" s="2" t="s">
        <v>98</v>
      </c>
      <c r="U739" s="2" t="s">
        <v>98</v>
      </c>
      <c r="V739" s="2" t="s">
        <v>439</v>
      </c>
      <c r="W739" s="2" t="s">
        <v>963</v>
      </c>
      <c r="X739" s="2" t="s">
        <v>98</v>
      </c>
      <c r="Y739" s="2" t="s">
        <v>366</v>
      </c>
      <c r="Z739" s="4">
        <v>39</v>
      </c>
      <c r="AA739" s="4">
        <f>=ROUNDDOWN(7.8,0)</f>
      </c>
      <c r="AB739" s="5">
        <v>5</v>
      </c>
      <c r="AC739" s="2" t="s">
        <v>1374</v>
      </c>
      <c r="AD739" s="4">
        <v>100</v>
      </c>
      <c r="AE739" s="4">
        <v>250</v>
      </c>
      <c r="AF739" s="6">
        <v>74</v>
      </c>
      <c r="AG739" s="6"/>
      <c r="AH739" s="7">
        <v>1</v>
      </c>
      <c r="AI739" s="4"/>
      <c r="AJ739" s="4">
        <f>=ROUNDDOWN({0},0)</f>
      </c>
      <c r="AK739" s="5"/>
      <c r="AL739" s="2" t="s">
        <v>98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/>
      <c r="AW739" s="8"/>
      <c r="AX739" s="4"/>
      <c r="AY739" s="8"/>
      <c r="AZ739" s="7"/>
      <c r="BA739" s="7"/>
      <c r="BB739" s="7"/>
      <c r="BC739" s="4"/>
      <c r="BD739" s="8"/>
      <c r="BE739" s="4"/>
      <c r="BF739" s="8"/>
      <c r="BG739" s="7"/>
      <c r="BH739" s="7"/>
      <c r="BI739" s="7"/>
      <c r="BJ739" s="4">
        <v>4</v>
      </c>
      <c r="BK739" s="8">
        <v>261.64</v>
      </c>
      <c r="BL739" s="2" t="s">
        <v>895</v>
      </c>
      <c r="BM739" s="7"/>
      <c r="BN739" s="7"/>
      <c r="BO739" s="4"/>
      <c r="BP739" s="8"/>
      <c r="BQ739" s="4"/>
      <c r="BR739" s="8"/>
      <c r="BS739" s="7"/>
      <c r="BT739" s="7"/>
      <c r="BU739" s="2" t="s">
        <v>107</v>
      </c>
      <c r="BV739" s="2" t="s">
        <v>1355</v>
      </c>
      <c r="BW739" s="2" t="s">
        <v>1356</v>
      </c>
      <c r="BX739" s="2" t="s">
        <v>3836</v>
      </c>
      <c r="BY739" s="2" t="s">
        <v>110</v>
      </c>
      <c r="BZ739" s="2" t="s">
        <v>98</v>
      </c>
    </row>
    <row r="740">
      <c r="A740" s="2" t="s">
        <v>3837</v>
      </c>
      <c r="B740" s="2" t="s">
        <v>1345</v>
      </c>
      <c r="C740" s="2" t="s">
        <v>952</v>
      </c>
      <c r="D740" s="2" t="s">
        <v>2789</v>
      </c>
      <c r="E740" s="2" t="s">
        <v>2775</v>
      </c>
      <c r="F740" s="2" t="s">
        <v>3828</v>
      </c>
      <c r="G740" s="2" t="s">
        <v>98</v>
      </c>
      <c r="H740" s="2" t="s">
        <v>98</v>
      </c>
      <c r="I740" s="2" t="s">
        <v>3829</v>
      </c>
      <c r="J740" s="2" t="s">
        <v>93</v>
      </c>
      <c r="K740" s="2" t="s">
        <v>3713</v>
      </c>
      <c r="L740" s="3">
        <v>71.82</v>
      </c>
      <c r="M740" s="3">
        <v>75.41</v>
      </c>
      <c r="N740" s="3">
        <v>149</v>
      </c>
      <c r="O740" s="2" t="s">
        <v>95</v>
      </c>
      <c r="P740" s="2" t="s">
        <v>134</v>
      </c>
      <c r="Q740" s="2" t="s">
        <v>97</v>
      </c>
      <c r="R740" s="2" t="s">
        <v>98</v>
      </c>
      <c r="S740" s="2" t="s">
        <v>3838</v>
      </c>
      <c r="T740" s="2" t="s">
        <v>98</v>
      </c>
      <c r="U740" s="2" t="s">
        <v>98</v>
      </c>
      <c r="V740" s="2" t="s">
        <v>439</v>
      </c>
      <c r="W740" s="2" t="s">
        <v>963</v>
      </c>
      <c r="X740" s="2" t="s">
        <v>98</v>
      </c>
      <c r="Y740" s="2" t="s">
        <v>366</v>
      </c>
      <c r="Z740" s="4">
        <v>69</v>
      </c>
      <c r="AA740" s="4">
        <f>=ROUNDDOWN(3.83333333333333,0)</f>
      </c>
      <c r="AB740" s="5">
        <v>18</v>
      </c>
      <c r="AC740" s="2" t="s">
        <v>1374</v>
      </c>
      <c r="AD740" s="4">
        <v>110</v>
      </c>
      <c r="AE740" s="4">
        <v>390</v>
      </c>
      <c r="AF740" s="6">
        <v>74</v>
      </c>
      <c r="AG740" s="6">
        <v>60</v>
      </c>
      <c r="AH740" s="7">
        <v>1</v>
      </c>
      <c r="AI740" s="4"/>
      <c r="AJ740" s="4">
        <f>=ROUNDDOWN({0},0)</f>
      </c>
      <c r="AK740" s="5"/>
      <c r="AL740" s="2" t="s">
        <v>98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/>
      <c r="AW740" s="8"/>
      <c r="AX740" s="4"/>
      <c r="AY740" s="8"/>
      <c r="AZ740" s="7"/>
      <c r="BA740" s="7"/>
      <c r="BB740" s="7"/>
      <c r="BC740" s="4"/>
      <c r="BD740" s="8"/>
      <c r="BE740" s="4"/>
      <c r="BF740" s="8"/>
      <c r="BG740" s="7"/>
      <c r="BH740" s="7"/>
      <c r="BI740" s="7"/>
      <c r="BJ740" s="4">
        <v>6</v>
      </c>
      <c r="BK740" s="8">
        <v>430.39</v>
      </c>
      <c r="BL740" s="2" t="s">
        <v>3839</v>
      </c>
      <c r="BM740" s="7"/>
      <c r="BN740" s="7"/>
      <c r="BO740" s="4"/>
      <c r="BP740" s="8"/>
      <c r="BQ740" s="4"/>
      <c r="BR740" s="8"/>
      <c r="BS740" s="7"/>
      <c r="BT740" s="7"/>
      <c r="BU740" s="2" t="s">
        <v>107</v>
      </c>
      <c r="BV740" s="2" t="s">
        <v>1355</v>
      </c>
      <c r="BW740" s="2" t="s">
        <v>1356</v>
      </c>
      <c r="BX740" s="2" t="s">
        <v>3586</v>
      </c>
      <c r="BY740" s="2" t="s">
        <v>110</v>
      </c>
      <c r="BZ740" s="2" t="s">
        <v>98</v>
      </c>
    </row>
    <row r="741">
      <c r="A741" s="2" t="s">
        <v>3840</v>
      </c>
      <c r="B741" s="2" t="s">
        <v>1345</v>
      </c>
      <c r="C741" s="2" t="s">
        <v>952</v>
      </c>
      <c r="D741" s="2" t="s">
        <v>2789</v>
      </c>
      <c r="E741" s="2" t="s">
        <v>3841</v>
      </c>
      <c r="F741" s="2" t="s">
        <v>3716</v>
      </c>
      <c r="G741" s="2" t="s">
        <v>3716</v>
      </c>
      <c r="H741" s="2" t="s">
        <v>3716</v>
      </c>
      <c r="I741" s="2" t="s">
        <v>3842</v>
      </c>
      <c r="J741" s="2" t="s">
        <v>93</v>
      </c>
      <c r="K741" s="2" t="s">
        <v>188</v>
      </c>
      <c r="L741" s="3">
        <v>118</v>
      </c>
      <c r="M741" s="3">
        <v>123.9</v>
      </c>
      <c r="N741" s="3">
        <v>249</v>
      </c>
      <c r="O741" s="2" t="s">
        <v>95</v>
      </c>
      <c r="P741" s="2" t="s">
        <v>134</v>
      </c>
      <c r="Q741" s="2" t="s">
        <v>97</v>
      </c>
      <c r="R741" s="2" t="s">
        <v>98</v>
      </c>
      <c r="S741" s="2" t="s">
        <v>3721</v>
      </c>
      <c r="T741" s="2" t="s">
        <v>98</v>
      </c>
      <c r="U741" s="2" t="s">
        <v>98</v>
      </c>
      <c r="V741" s="2" t="s">
        <v>439</v>
      </c>
      <c r="W741" s="2" t="s">
        <v>963</v>
      </c>
      <c r="X741" s="2" t="s">
        <v>98</v>
      </c>
      <c r="Y741" s="2" t="s">
        <v>366</v>
      </c>
      <c r="Z741" s="4">
        <v>68</v>
      </c>
      <c r="AA741" s="4">
        <f>=ROUNDDOWN(11.3333333333333,0)</f>
      </c>
      <c r="AB741" s="5">
        <v>6</v>
      </c>
      <c r="AC741" s="2" t="s">
        <v>1748</v>
      </c>
      <c r="AD741" s="4">
        <v>100</v>
      </c>
      <c r="AE741" s="4">
        <v>200</v>
      </c>
      <c r="AF741" s="6">
        <v>74</v>
      </c>
      <c r="AG741" s="6">
        <v>60</v>
      </c>
      <c r="AH741" s="7">
        <v>1</v>
      </c>
      <c r="AI741" s="4"/>
      <c r="AJ741" s="4">
        <f>=ROUNDDOWN({0},0)</f>
      </c>
      <c r="AK741" s="5"/>
      <c r="AL741" s="2" t="s">
        <v>98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/>
      <c r="AW741" s="8"/>
      <c r="AX741" s="4"/>
      <c r="AY741" s="8"/>
      <c r="AZ741" s="7"/>
      <c r="BA741" s="7"/>
      <c r="BB741" s="7"/>
      <c r="BC741" s="4"/>
      <c r="BD741" s="8"/>
      <c r="BE741" s="4"/>
      <c r="BF741" s="8"/>
      <c r="BG741" s="7"/>
      <c r="BH741" s="7"/>
      <c r="BI741" s="7"/>
      <c r="BJ741" s="4">
        <v>1</v>
      </c>
      <c r="BK741" s="8">
        <v>109.53</v>
      </c>
      <c r="BL741" s="2" t="s">
        <v>2275</v>
      </c>
      <c r="BM741" s="7"/>
      <c r="BN741" s="7"/>
      <c r="BO741" s="4"/>
      <c r="BP741" s="8"/>
      <c r="BQ741" s="4"/>
      <c r="BR741" s="8"/>
      <c r="BS741" s="7"/>
      <c r="BT741" s="7"/>
      <c r="BU741" s="2" t="s">
        <v>107</v>
      </c>
      <c r="BV741" s="2" t="s">
        <v>1355</v>
      </c>
      <c r="BW741" s="2" t="s">
        <v>3231</v>
      </c>
      <c r="BX741" s="2" t="s">
        <v>1953</v>
      </c>
      <c r="BY741" s="2" t="s">
        <v>110</v>
      </c>
      <c r="BZ741" s="2" t="s">
        <v>98</v>
      </c>
    </row>
    <row r="742">
      <c r="A742" s="2" t="s">
        <v>3843</v>
      </c>
      <c r="B742" s="2" t="s">
        <v>1345</v>
      </c>
      <c r="C742" s="2" t="s">
        <v>952</v>
      </c>
      <c r="D742" s="2" t="s">
        <v>3370</v>
      </c>
      <c r="E742" s="2" t="s">
        <v>3370</v>
      </c>
      <c r="F742" s="2" t="s">
        <v>3844</v>
      </c>
      <c r="G742" s="2" t="s">
        <v>98</v>
      </c>
      <c r="H742" s="2" t="s">
        <v>98</v>
      </c>
      <c r="I742" s="2" t="s">
        <v>3845</v>
      </c>
      <c r="J742" s="2" t="s">
        <v>2826</v>
      </c>
      <c r="K742" s="2" t="s">
        <v>3713</v>
      </c>
      <c r="L742" s="3">
        <v>521.98</v>
      </c>
      <c r="M742" s="3">
        <v>548.08</v>
      </c>
      <c r="N742" s="3">
        <v>1099</v>
      </c>
      <c r="O742" s="2" t="s">
        <v>95</v>
      </c>
      <c r="P742" s="2" t="s">
        <v>134</v>
      </c>
      <c r="Q742" s="2" t="s">
        <v>97</v>
      </c>
      <c r="R742" s="2" t="s">
        <v>98</v>
      </c>
      <c r="S742" s="2" t="s">
        <v>3846</v>
      </c>
      <c r="T742" s="2" t="s">
        <v>98</v>
      </c>
      <c r="U742" s="2" t="s">
        <v>98</v>
      </c>
      <c r="V742" s="2" t="s">
        <v>439</v>
      </c>
      <c r="W742" s="2" t="s">
        <v>963</v>
      </c>
      <c r="X742" s="2" t="s">
        <v>98</v>
      </c>
      <c r="Y742" s="2" t="s">
        <v>366</v>
      </c>
      <c r="Z742" s="4">
        <v>128</v>
      </c>
      <c r="AA742" s="4">
        <f>=ROUNDDOWN(32,0)</f>
      </c>
      <c r="AB742" s="5">
        <v>4</v>
      </c>
      <c r="AC742" s="2" t="s">
        <v>3718</v>
      </c>
      <c r="AD742" s="4">
        <v>100</v>
      </c>
      <c r="AE742" s="4">
        <v>100</v>
      </c>
      <c r="AF742" s="6">
        <v>74</v>
      </c>
      <c r="AG742" s="6">
        <v>60</v>
      </c>
      <c r="AH742" s="7">
        <v>1</v>
      </c>
      <c r="AI742" s="4"/>
      <c r="AJ742" s="4">
        <f>=ROUNDDOWN({0},0)</f>
      </c>
      <c r="AK742" s="5"/>
      <c r="AL742" s="2" t="s">
        <v>98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 t="s">
        <v>98</v>
      </c>
      <c r="AW742" s="8" t="s">
        <v>98</v>
      </c>
      <c r="AX742" s="4" t="s">
        <v>98</v>
      </c>
      <c r="AY742" s="8" t="s">
        <v>98</v>
      </c>
      <c r="AZ742" s="7" t="s">
        <v>98</v>
      </c>
      <c r="BA742" s="7" t="s">
        <v>98</v>
      </c>
      <c r="BB742" s="7"/>
      <c r="BC742" s="4" t="s">
        <v>98</v>
      </c>
      <c r="BD742" s="8" t="s">
        <v>98</v>
      </c>
      <c r="BE742" s="4" t="s">
        <v>98</v>
      </c>
      <c r="BF742" s="8" t="s">
        <v>98</v>
      </c>
      <c r="BG742" s="7" t="s">
        <v>98</v>
      </c>
      <c r="BH742" s="7" t="s">
        <v>98</v>
      </c>
      <c r="BI742" s="7"/>
      <c r="BJ742" s="4">
        <v>1</v>
      </c>
      <c r="BK742" s="8">
        <v>476.67</v>
      </c>
      <c r="BL742" s="2" t="s">
        <v>895</v>
      </c>
      <c r="BM742" s="7"/>
      <c r="BN742" s="7"/>
      <c r="BO742" s="4"/>
      <c r="BP742" s="8"/>
      <c r="BQ742" s="4"/>
      <c r="BR742" s="8"/>
      <c r="BS742" s="7"/>
      <c r="BT742" s="7"/>
      <c r="BU742" s="2" t="s">
        <v>107</v>
      </c>
      <c r="BV742" s="2" t="s">
        <v>1355</v>
      </c>
      <c r="BW742" s="2" t="s">
        <v>3231</v>
      </c>
      <c r="BX742" s="2" t="s">
        <v>1476</v>
      </c>
      <c r="BY742" s="2" t="s">
        <v>110</v>
      </c>
      <c r="BZ742" s="2" t="s">
        <v>98</v>
      </c>
    </row>
    <row r="743">
      <c r="A743" s="2" t="s">
        <v>3847</v>
      </c>
      <c r="B743" s="2" t="s">
        <v>1345</v>
      </c>
      <c r="C743" s="2" t="s">
        <v>952</v>
      </c>
      <c r="D743" s="2" t="s">
        <v>3370</v>
      </c>
      <c r="E743" s="2" t="s">
        <v>3370</v>
      </c>
      <c r="F743" s="2" t="s">
        <v>3844</v>
      </c>
      <c r="G743" s="2" t="s">
        <v>98</v>
      </c>
      <c r="H743" s="2" t="s">
        <v>98</v>
      </c>
      <c r="I743" s="2" t="s">
        <v>3845</v>
      </c>
      <c r="J743" s="2" t="s">
        <v>2831</v>
      </c>
      <c r="K743" s="2" t="s">
        <v>3713</v>
      </c>
      <c r="L743" s="3">
        <v>574.7</v>
      </c>
      <c r="M743" s="3">
        <v>603.44</v>
      </c>
      <c r="N743" s="3">
        <v>1199</v>
      </c>
      <c r="O743" s="2" t="s">
        <v>95</v>
      </c>
      <c r="P743" s="2" t="s">
        <v>96</v>
      </c>
      <c r="Q743" s="2" t="s">
        <v>97</v>
      </c>
      <c r="R743" s="2" t="s">
        <v>98</v>
      </c>
      <c r="S743" s="2" t="s">
        <v>3846</v>
      </c>
      <c r="T743" s="2" t="s">
        <v>98</v>
      </c>
      <c r="U743" s="2" t="s">
        <v>98</v>
      </c>
      <c r="V743" s="2" t="s">
        <v>439</v>
      </c>
      <c r="W743" s="2" t="s">
        <v>963</v>
      </c>
      <c r="X743" s="2" t="s">
        <v>98</v>
      </c>
      <c r="Y743" s="2" t="s">
        <v>3848</v>
      </c>
      <c r="Z743" s="4">
        <v>67</v>
      </c>
      <c r="AA743" s="4">
        <f>=ROUNDDOWN(13.4,0)</f>
      </c>
      <c r="AB743" s="5">
        <v>5</v>
      </c>
      <c r="AC743" s="2" t="s">
        <v>1374</v>
      </c>
      <c r="AD743" s="4">
        <v>70</v>
      </c>
      <c r="AE743" s="4">
        <v>210</v>
      </c>
      <c r="AF743" s="6">
        <v>74</v>
      </c>
      <c r="AG743" s="6">
        <v>60</v>
      </c>
      <c r="AH743" s="7">
        <v>1</v>
      </c>
      <c r="AI743" s="4"/>
      <c r="AJ743" s="4">
        <f>=ROUNDDOWN({0},0)</f>
      </c>
      <c r="AK743" s="5"/>
      <c r="AL743" s="2" t="s">
        <v>98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 t="s">
        <v>98</v>
      </c>
      <c r="AW743" s="8" t="s">
        <v>98</v>
      </c>
      <c r="AX743" s="4" t="s">
        <v>98</v>
      </c>
      <c r="AY743" s="8" t="s">
        <v>98</v>
      </c>
      <c r="AZ743" s="7" t="s">
        <v>98</v>
      </c>
      <c r="BA743" s="7" t="s">
        <v>98</v>
      </c>
      <c r="BB743" s="7"/>
      <c r="BC743" s="4" t="s">
        <v>98</v>
      </c>
      <c r="BD743" s="8" t="s">
        <v>98</v>
      </c>
      <c r="BE743" s="4" t="s">
        <v>98</v>
      </c>
      <c r="BF743" s="8" t="s">
        <v>98</v>
      </c>
      <c r="BG743" s="7" t="s">
        <v>98</v>
      </c>
      <c r="BH743" s="7" t="s">
        <v>98</v>
      </c>
      <c r="BI743" s="7"/>
      <c r="BJ743" s="4">
        <v>1</v>
      </c>
      <c r="BK743" s="8">
        <v>623.18</v>
      </c>
      <c r="BL743" s="2" t="s">
        <v>269</v>
      </c>
      <c r="BM743" s="7"/>
      <c r="BN743" s="7"/>
      <c r="BO743" s="4"/>
      <c r="BP743" s="8"/>
      <c r="BQ743" s="4"/>
      <c r="BR743" s="8"/>
      <c r="BS743" s="7"/>
      <c r="BT743" s="7"/>
      <c r="BU743" s="2" t="s">
        <v>107</v>
      </c>
      <c r="BV743" s="2" t="s">
        <v>1355</v>
      </c>
      <c r="BW743" s="2" t="s">
        <v>248</v>
      </c>
      <c r="BX743" s="2" t="s">
        <v>3849</v>
      </c>
      <c r="BY743" s="2" t="s">
        <v>110</v>
      </c>
      <c r="BZ743" s="2" t="s">
        <v>98</v>
      </c>
    </row>
    <row r="744">
      <c r="A744" s="2" t="s">
        <v>3850</v>
      </c>
      <c r="B744" s="2" t="s">
        <v>1345</v>
      </c>
      <c r="C744" s="2" t="s">
        <v>952</v>
      </c>
      <c r="D744" s="2" t="s">
        <v>3370</v>
      </c>
      <c r="E744" s="2" t="s">
        <v>3370</v>
      </c>
      <c r="F744" s="2" t="s">
        <v>3851</v>
      </c>
      <c r="G744" s="2" t="s">
        <v>3851</v>
      </c>
      <c r="H744" s="2" t="s">
        <v>3851</v>
      </c>
      <c r="I744" s="2" t="s">
        <v>3852</v>
      </c>
      <c r="J744" s="2" t="s">
        <v>93</v>
      </c>
      <c r="K744" s="2" t="s">
        <v>127</v>
      </c>
      <c r="L744" s="3">
        <v>430</v>
      </c>
      <c r="M744" s="3">
        <v>451.5</v>
      </c>
      <c r="N744" s="3">
        <v>899</v>
      </c>
      <c r="O744" s="2" t="s">
        <v>95</v>
      </c>
      <c r="P744" s="2" t="s">
        <v>295</v>
      </c>
      <c r="Q744" s="2" t="s">
        <v>97</v>
      </c>
      <c r="R744" s="2" t="s">
        <v>98</v>
      </c>
      <c r="S744" s="2" t="s">
        <v>98</v>
      </c>
      <c r="T744" s="2" t="s">
        <v>98</v>
      </c>
      <c r="U744" s="2" t="s">
        <v>117</v>
      </c>
      <c r="V744" s="2" t="s">
        <v>296</v>
      </c>
      <c r="W744" s="2" t="s">
        <v>963</v>
      </c>
      <c r="X744" s="2" t="s">
        <v>102</v>
      </c>
      <c r="Y744" s="2" t="s">
        <v>3853</v>
      </c>
      <c r="Z744" s="4">
        <v>132</v>
      </c>
      <c r="AA744" s="4">
        <f>=ROUNDDOWN(660,0)</f>
      </c>
      <c r="AB744" s="5">
        <v>0.2</v>
      </c>
      <c r="AC744" s="2" t="s">
        <v>98</v>
      </c>
      <c r="AD744" s="4"/>
      <c r="AE744" s="4"/>
      <c r="AF744" s="6">
        <v>74</v>
      </c>
      <c r="AG744" s="6"/>
      <c r="AH744" s="7">
        <v>1</v>
      </c>
      <c r="AI744" s="4"/>
      <c r="AJ744" s="4">
        <f>=ROUNDDOWN({0},0)</f>
      </c>
      <c r="AK744" s="5"/>
      <c r="AL744" s="2" t="s">
        <v>98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/>
      <c r="AW744" s="8"/>
      <c r="AX744" s="4"/>
      <c r="AY744" s="8"/>
      <c r="AZ744" s="7"/>
      <c r="BA744" s="7"/>
      <c r="BB744" s="7"/>
      <c r="BC744" s="4"/>
      <c r="BD744" s="8"/>
      <c r="BE744" s="4"/>
      <c r="BF744" s="8"/>
      <c r="BG744" s="7"/>
      <c r="BH744" s="7"/>
      <c r="BI744" s="7"/>
      <c r="BJ744" s="4"/>
      <c r="BK744" s="8"/>
      <c r="BL744" s="2" t="s">
        <v>98</v>
      </c>
      <c r="BM744" s="7"/>
      <c r="BN744" s="7"/>
      <c r="BO744" s="4"/>
      <c r="BP744" s="8"/>
      <c r="BQ744" s="4"/>
      <c r="BR744" s="8"/>
      <c r="BS744" s="7"/>
      <c r="BT744" s="7"/>
      <c r="BU744" s="2" t="s">
        <v>1376</v>
      </c>
      <c r="BV744" s="2" t="s">
        <v>95</v>
      </c>
      <c r="BW744" s="2" t="s">
        <v>98</v>
      </c>
      <c r="BX744" s="2" t="s">
        <v>98</v>
      </c>
      <c r="BY744" s="2" t="s">
        <v>110</v>
      </c>
      <c r="BZ744" s="2" t="s">
        <v>98</v>
      </c>
    </row>
    <row r="745">
      <c r="A745" s="2" t="s">
        <v>3854</v>
      </c>
      <c r="B745" s="2" t="s">
        <v>1345</v>
      </c>
      <c r="C745" s="2" t="s">
        <v>952</v>
      </c>
      <c r="D745" s="2" t="s">
        <v>3370</v>
      </c>
      <c r="E745" s="2" t="s">
        <v>3370</v>
      </c>
      <c r="F745" s="2" t="s">
        <v>3855</v>
      </c>
      <c r="G745" s="2" t="s">
        <v>3856</v>
      </c>
      <c r="H745" s="2" t="s">
        <v>3855</v>
      </c>
      <c r="I745" s="2" t="s">
        <v>3857</v>
      </c>
      <c r="J745" s="2" t="s">
        <v>2826</v>
      </c>
      <c r="K745" s="2" t="s">
        <v>2667</v>
      </c>
      <c r="L745" s="3">
        <v>360</v>
      </c>
      <c r="M745" s="3">
        <v>378</v>
      </c>
      <c r="N745" s="3">
        <v>779</v>
      </c>
      <c r="O745" s="2" t="s">
        <v>95</v>
      </c>
      <c r="P745" s="2" t="s">
        <v>115</v>
      </c>
      <c r="Q745" s="2" t="s">
        <v>97</v>
      </c>
      <c r="R745" s="2" t="s">
        <v>98</v>
      </c>
      <c r="S745" s="2" t="s">
        <v>98</v>
      </c>
      <c r="T745" s="2" t="s">
        <v>98</v>
      </c>
      <c r="U745" s="2" t="s">
        <v>117</v>
      </c>
      <c r="V745" s="2" t="s">
        <v>439</v>
      </c>
      <c r="W745" s="2" t="s">
        <v>103</v>
      </c>
      <c r="X745" s="2" t="s">
        <v>102</v>
      </c>
      <c r="Y745" s="2" t="s">
        <v>3858</v>
      </c>
      <c r="Z745" s="4">
        <v>44</v>
      </c>
      <c r="AA745" s="4">
        <f>=ROUNDDOWN(19.1304347826087,0)</f>
      </c>
      <c r="AB745" s="5">
        <v>2.3</v>
      </c>
      <c r="AC745" s="2" t="s">
        <v>98</v>
      </c>
      <c r="AD745" s="4"/>
      <c r="AE745" s="4"/>
      <c r="AF745" s="6">
        <v>74</v>
      </c>
      <c r="AG745" s="6"/>
      <c r="AH745" s="7">
        <v>1</v>
      </c>
      <c r="AI745" s="4"/>
      <c r="AJ745" s="4">
        <f>=ROUNDDOWN({0},0)</f>
      </c>
      <c r="AK745" s="5"/>
      <c r="AL745" s="2" t="s">
        <v>98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 t="s">
        <v>98</v>
      </c>
      <c r="AW745" s="8" t="s">
        <v>98</v>
      </c>
      <c r="AX745" s="4" t="s">
        <v>98</v>
      </c>
      <c r="AY745" s="8" t="s">
        <v>98</v>
      </c>
      <c r="AZ745" s="7" t="s">
        <v>98</v>
      </c>
      <c r="BA745" s="7" t="s">
        <v>98</v>
      </c>
      <c r="BB745" s="7"/>
      <c r="BC745" s="4" t="s">
        <v>98</v>
      </c>
      <c r="BD745" s="8" t="s">
        <v>98</v>
      </c>
      <c r="BE745" s="4" t="s">
        <v>98</v>
      </c>
      <c r="BF745" s="8" t="s">
        <v>98</v>
      </c>
      <c r="BG745" s="7" t="s">
        <v>98</v>
      </c>
      <c r="BH745" s="7" t="s">
        <v>98</v>
      </c>
      <c r="BI745" s="7"/>
      <c r="BJ745" s="4"/>
      <c r="BK745" s="8"/>
      <c r="BL745" s="2" t="s">
        <v>269</v>
      </c>
      <c r="BM745" s="7"/>
      <c r="BN745" s="7"/>
      <c r="BO745" s="4"/>
      <c r="BP745" s="8"/>
      <c r="BQ745" s="4"/>
      <c r="BR745" s="8"/>
      <c r="BS745" s="7"/>
      <c r="BT745" s="7"/>
      <c r="BU745" s="2" t="s">
        <v>1376</v>
      </c>
      <c r="BV745" s="2" t="s">
        <v>95</v>
      </c>
      <c r="BW745" s="2" t="s">
        <v>98</v>
      </c>
      <c r="BX745" s="2" t="s">
        <v>98</v>
      </c>
      <c r="BY745" s="2" t="s">
        <v>110</v>
      </c>
      <c r="BZ745" s="2" t="s">
        <v>98</v>
      </c>
    </row>
    <row r="746">
      <c r="A746" s="2" t="s">
        <v>3859</v>
      </c>
      <c r="B746" s="2" t="s">
        <v>1345</v>
      </c>
      <c r="C746" s="2" t="s">
        <v>952</v>
      </c>
      <c r="D746" s="2" t="s">
        <v>3370</v>
      </c>
      <c r="E746" s="2" t="s">
        <v>3370</v>
      </c>
      <c r="F746" s="2" t="s">
        <v>3855</v>
      </c>
      <c r="G746" s="2" t="s">
        <v>3856</v>
      </c>
      <c r="H746" s="2" t="s">
        <v>3855</v>
      </c>
      <c r="I746" s="2" t="s">
        <v>3860</v>
      </c>
      <c r="J746" s="2" t="s">
        <v>2831</v>
      </c>
      <c r="K746" s="2" t="s">
        <v>2667</v>
      </c>
      <c r="L746" s="3">
        <v>450</v>
      </c>
      <c r="M746" s="3">
        <v>472.5</v>
      </c>
      <c r="N746" s="3">
        <v>949</v>
      </c>
      <c r="O746" s="2" t="s">
        <v>95</v>
      </c>
      <c r="P746" s="2" t="s">
        <v>115</v>
      </c>
      <c r="Q746" s="2" t="s">
        <v>271</v>
      </c>
      <c r="R746" s="2" t="s">
        <v>98</v>
      </c>
      <c r="S746" s="2" t="s">
        <v>98</v>
      </c>
      <c r="T746" s="2" t="s">
        <v>98</v>
      </c>
      <c r="U746" s="2" t="s">
        <v>117</v>
      </c>
      <c r="V746" s="2" t="s">
        <v>439</v>
      </c>
      <c r="W746" s="2" t="s">
        <v>103</v>
      </c>
      <c r="X746" s="2" t="s">
        <v>102</v>
      </c>
      <c r="Y746" s="2" t="s">
        <v>3858</v>
      </c>
      <c r="Z746" s="4">
        <v>21</v>
      </c>
      <c r="AA746" s="4">
        <f>=ROUNDDOWN(9.1304347826087,0)</f>
      </c>
      <c r="AB746" s="5">
        <v>2.3</v>
      </c>
      <c r="AC746" s="2" t="s">
        <v>98</v>
      </c>
      <c r="AD746" s="4"/>
      <c r="AE746" s="4"/>
      <c r="AF746" s="6">
        <v>74</v>
      </c>
      <c r="AG746" s="6"/>
      <c r="AH746" s="7">
        <v>1</v>
      </c>
      <c r="AI746" s="4"/>
      <c r="AJ746" s="4">
        <f>=ROUNDDOWN({0},0)</f>
      </c>
      <c r="AK746" s="5"/>
      <c r="AL746" s="2" t="s">
        <v>98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 t="s">
        <v>98</v>
      </c>
      <c r="AW746" s="8" t="s">
        <v>98</v>
      </c>
      <c r="AX746" s="4" t="s">
        <v>98</v>
      </c>
      <c r="AY746" s="8" t="s">
        <v>98</v>
      </c>
      <c r="AZ746" s="7" t="s">
        <v>98</v>
      </c>
      <c r="BA746" s="7" t="s">
        <v>98</v>
      </c>
      <c r="BB746" s="7"/>
      <c r="BC746" s="4" t="s">
        <v>98</v>
      </c>
      <c r="BD746" s="8" t="s">
        <v>98</v>
      </c>
      <c r="BE746" s="4" t="s">
        <v>98</v>
      </c>
      <c r="BF746" s="8" t="s">
        <v>98</v>
      </c>
      <c r="BG746" s="7" t="s">
        <v>98</v>
      </c>
      <c r="BH746" s="7" t="s">
        <v>98</v>
      </c>
      <c r="BI746" s="7"/>
      <c r="BJ746" s="4"/>
      <c r="BK746" s="8"/>
      <c r="BL746" s="2" t="s">
        <v>895</v>
      </c>
      <c r="BM746" s="7"/>
      <c r="BN746" s="7"/>
      <c r="BO746" s="4"/>
      <c r="BP746" s="8"/>
      <c r="BQ746" s="4"/>
      <c r="BR746" s="8"/>
      <c r="BS746" s="7"/>
      <c r="BT746" s="7"/>
      <c r="BU746" s="2" t="s">
        <v>1376</v>
      </c>
      <c r="BV746" s="2" t="s">
        <v>95</v>
      </c>
      <c r="BW746" s="2" t="s">
        <v>98</v>
      </c>
      <c r="BX746" s="2" t="s">
        <v>98</v>
      </c>
      <c r="BY746" s="2" t="s">
        <v>110</v>
      </c>
      <c r="BZ746" s="2" t="s">
        <v>98</v>
      </c>
    </row>
    <row r="747">
      <c r="A747" s="2" t="s">
        <v>3861</v>
      </c>
      <c r="B747" s="2" t="s">
        <v>1345</v>
      </c>
      <c r="C747" s="2" t="s">
        <v>952</v>
      </c>
      <c r="D747" s="2" t="s">
        <v>3370</v>
      </c>
      <c r="E747" s="2" t="s">
        <v>3370</v>
      </c>
      <c r="F747" s="2" t="s">
        <v>3716</v>
      </c>
      <c r="G747" s="2" t="s">
        <v>3716</v>
      </c>
      <c r="H747" s="2" t="s">
        <v>3716</v>
      </c>
      <c r="I747" s="2" t="s">
        <v>3857</v>
      </c>
      <c r="J747" s="2" t="s">
        <v>2826</v>
      </c>
      <c r="K747" s="2" t="s">
        <v>3367</v>
      </c>
      <c r="L747" s="3">
        <v>370</v>
      </c>
      <c r="M747" s="3">
        <v>388.5</v>
      </c>
      <c r="N747" s="3">
        <v>769</v>
      </c>
      <c r="O747" s="2" t="s">
        <v>95</v>
      </c>
      <c r="P747" s="2" t="s">
        <v>115</v>
      </c>
      <c r="Q747" s="2" t="s">
        <v>97</v>
      </c>
      <c r="R747" s="2" t="s">
        <v>98</v>
      </c>
      <c r="S747" s="2" t="s">
        <v>98</v>
      </c>
      <c r="T747" s="2" t="s">
        <v>98</v>
      </c>
      <c r="U747" s="2" t="s">
        <v>117</v>
      </c>
      <c r="V747" s="2" t="s">
        <v>296</v>
      </c>
      <c r="W747" s="2" t="s">
        <v>963</v>
      </c>
      <c r="X747" s="2" t="s">
        <v>963</v>
      </c>
      <c r="Y747" s="2" t="s">
        <v>3862</v>
      </c>
      <c r="Z747" s="4">
        <v>73</v>
      </c>
      <c r="AA747" s="4">
        <f>=ROUNDDOWN({0},0)</f>
      </c>
      <c r="AB747" s="5"/>
      <c r="AC747" s="2" t="s">
        <v>98</v>
      </c>
      <c r="AD747" s="4"/>
      <c r="AE747" s="4"/>
      <c r="AF747" s="6">
        <v>74</v>
      </c>
      <c r="AG747" s="6"/>
      <c r="AH747" s="7">
        <v>1</v>
      </c>
      <c r="AI747" s="4"/>
      <c r="AJ747" s="4">
        <f>=ROUNDDOWN({0},0)</f>
      </c>
      <c r="AK747" s="5"/>
      <c r="AL747" s="2" t="s">
        <v>98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/>
      <c r="AW747" s="8"/>
      <c r="AX747" s="4"/>
      <c r="AY747" s="8"/>
      <c r="AZ747" s="7"/>
      <c r="BA747" s="7"/>
      <c r="BB747" s="7"/>
      <c r="BC747" s="4"/>
      <c r="BD747" s="8"/>
      <c r="BE747" s="4"/>
      <c r="BF747" s="8"/>
      <c r="BG747" s="7"/>
      <c r="BH747" s="7"/>
      <c r="BI747" s="7"/>
      <c r="BJ747" s="4"/>
      <c r="BK747" s="8"/>
      <c r="BL747" s="2" t="s">
        <v>895</v>
      </c>
      <c r="BM747" s="7"/>
      <c r="BN747" s="7"/>
      <c r="BO747" s="4"/>
      <c r="BP747" s="8"/>
      <c r="BQ747" s="4"/>
      <c r="BR747" s="8"/>
      <c r="BS747" s="7"/>
      <c r="BT747" s="7"/>
      <c r="BU747" s="2" t="s">
        <v>1376</v>
      </c>
      <c r="BV747" s="2" t="s">
        <v>95</v>
      </c>
      <c r="BW747" s="2" t="s">
        <v>98</v>
      </c>
      <c r="BX747" s="2" t="s">
        <v>98</v>
      </c>
      <c r="BY747" s="2" t="s">
        <v>110</v>
      </c>
      <c r="BZ747" s="2" t="s">
        <v>98</v>
      </c>
    </row>
    <row r="748">
      <c r="A748" s="2" t="s">
        <v>3863</v>
      </c>
      <c r="B748" s="2" t="s">
        <v>1345</v>
      </c>
      <c r="C748" s="2" t="s">
        <v>952</v>
      </c>
      <c r="D748" s="2" t="s">
        <v>3370</v>
      </c>
      <c r="E748" s="2" t="s">
        <v>3370</v>
      </c>
      <c r="F748" s="2" t="s">
        <v>3864</v>
      </c>
      <c r="G748" s="2" t="s">
        <v>3864</v>
      </c>
      <c r="H748" s="2" t="s">
        <v>3864</v>
      </c>
      <c r="I748" s="2" t="s">
        <v>3865</v>
      </c>
      <c r="J748" s="2" t="s">
        <v>2826</v>
      </c>
      <c r="K748" s="2" t="s">
        <v>1052</v>
      </c>
      <c r="L748" s="3">
        <v>390</v>
      </c>
      <c r="M748" s="3">
        <v>409.5</v>
      </c>
      <c r="N748" s="3">
        <v>829</v>
      </c>
      <c r="O748" s="2" t="s">
        <v>95</v>
      </c>
      <c r="P748" s="2" t="s">
        <v>142</v>
      </c>
      <c r="Q748" s="2" t="s">
        <v>97</v>
      </c>
      <c r="R748" s="2" t="s">
        <v>98</v>
      </c>
      <c r="S748" s="2" t="s">
        <v>98</v>
      </c>
      <c r="T748" s="2" t="s">
        <v>98</v>
      </c>
      <c r="U748" s="2" t="s">
        <v>98</v>
      </c>
      <c r="V748" s="2" t="s">
        <v>296</v>
      </c>
      <c r="W748" s="2" t="s">
        <v>102</v>
      </c>
      <c r="X748" s="2" t="s">
        <v>98</v>
      </c>
      <c r="Y748" s="2" t="s">
        <v>3866</v>
      </c>
      <c r="Z748" s="4">
        <v>91</v>
      </c>
      <c r="AA748" s="4">
        <f>=ROUNDDOWN(91,0)</f>
      </c>
      <c r="AB748" s="5">
        <v>1</v>
      </c>
      <c r="AC748" s="2" t="s">
        <v>98</v>
      </c>
      <c r="AD748" s="4"/>
      <c r="AE748" s="4"/>
      <c r="AF748" s="6">
        <v>74</v>
      </c>
      <c r="AG748" s="6"/>
      <c r="AH748" s="7">
        <v>1</v>
      </c>
      <c r="AI748" s="4"/>
      <c r="AJ748" s="4">
        <f>=ROUNDDOWN({0},0)</f>
      </c>
      <c r="AK748" s="5"/>
      <c r="AL748" s="2" t="s">
        <v>98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/>
      <c r="AW748" s="8"/>
      <c r="AX748" s="4"/>
      <c r="AY748" s="8"/>
      <c r="AZ748" s="7"/>
      <c r="BA748" s="7"/>
      <c r="BB748" s="7"/>
      <c r="BC748" s="4"/>
      <c r="BD748" s="8"/>
      <c r="BE748" s="4"/>
      <c r="BF748" s="8"/>
      <c r="BG748" s="7"/>
      <c r="BH748" s="7"/>
      <c r="BI748" s="7"/>
      <c r="BJ748" s="4"/>
      <c r="BK748" s="8"/>
      <c r="BL748" s="2" t="s">
        <v>98</v>
      </c>
      <c r="BM748" s="7"/>
      <c r="BN748" s="7"/>
      <c r="BO748" s="4"/>
      <c r="BP748" s="8"/>
      <c r="BQ748" s="4"/>
      <c r="BR748" s="8"/>
      <c r="BS748" s="7"/>
      <c r="BT748" s="7"/>
      <c r="BU748" s="2" t="s">
        <v>1376</v>
      </c>
      <c r="BV748" s="2" t="s">
        <v>95</v>
      </c>
      <c r="BW748" s="2" t="s">
        <v>98</v>
      </c>
      <c r="BX748" s="2" t="s">
        <v>98</v>
      </c>
      <c r="BY748" s="2" t="s">
        <v>110</v>
      </c>
      <c r="BZ748" s="2" t="s">
        <v>98</v>
      </c>
    </row>
    <row r="749">
      <c r="A749" s="2" t="s">
        <v>3867</v>
      </c>
      <c r="B749" s="2" t="s">
        <v>1345</v>
      </c>
      <c r="C749" s="2" t="s">
        <v>952</v>
      </c>
      <c r="D749" s="2" t="s">
        <v>3406</v>
      </c>
      <c r="E749" s="2" t="s">
        <v>3406</v>
      </c>
      <c r="F749" s="2" t="s">
        <v>3650</v>
      </c>
      <c r="G749" s="2" t="s">
        <v>3650</v>
      </c>
      <c r="H749" s="2" t="s">
        <v>98</v>
      </c>
      <c r="I749" s="2" t="s">
        <v>3412</v>
      </c>
      <c r="J749" s="2" t="s">
        <v>93</v>
      </c>
      <c r="K749" s="2" t="s">
        <v>3707</v>
      </c>
      <c r="L749" s="3">
        <v>310</v>
      </c>
      <c r="M749" s="3">
        <v>325.5</v>
      </c>
      <c r="N749" s="3">
        <v>649</v>
      </c>
      <c r="O749" s="2" t="s">
        <v>155</v>
      </c>
      <c r="P749" s="2" t="s">
        <v>115</v>
      </c>
      <c r="Q749" s="2" t="s">
        <v>97</v>
      </c>
      <c r="R749" s="2" t="s">
        <v>98</v>
      </c>
      <c r="S749" s="2" t="s">
        <v>3868</v>
      </c>
      <c r="T749" s="2" t="s">
        <v>98</v>
      </c>
      <c r="U749" s="2" t="s">
        <v>98</v>
      </c>
      <c r="V749" s="2" t="s">
        <v>439</v>
      </c>
      <c r="W749" s="2" t="s">
        <v>968</v>
      </c>
      <c r="X749" s="2" t="s">
        <v>98</v>
      </c>
      <c r="Y749" s="2" t="s">
        <v>366</v>
      </c>
      <c r="Z749" s="4">
        <v>1038</v>
      </c>
      <c r="AA749" s="4">
        <f>=ROUNDDOWN(207.6,0)</f>
      </c>
      <c r="AB749" s="5">
        <v>5</v>
      </c>
      <c r="AC749" s="2" t="s">
        <v>98</v>
      </c>
      <c r="AD749" s="4"/>
      <c r="AE749" s="4"/>
      <c r="AF749" s="6">
        <v>74</v>
      </c>
      <c r="AG749" s="6">
        <v>60</v>
      </c>
      <c r="AH749" s="7">
        <v>1</v>
      </c>
      <c r="AI749" s="4"/>
      <c r="AJ749" s="4">
        <f>=ROUNDDOWN({0},0)</f>
      </c>
      <c r="AK749" s="5"/>
      <c r="AL749" s="2" t="s">
        <v>98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/>
      <c r="AW749" s="8"/>
      <c r="AX749" s="4"/>
      <c r="AY749" s="8"/>
      <c r="AZ749" s="7"/>
      <c r="BA749" s="7"/>
      <c r="BB749" s="7"/>
      <c r="BC749" s="4" t="s">
        <v>98</v>
      </c>
      <c r="BD749" s="8" t="s">
        <v>98</v>
      </c>
      <c r="BE749" s="4" t="s">
        <v>98</v>
      </c>
      <c r="BF749" s="8" t="s">
        <v>98</v>
      </c>
      <c r="BG749" s="7" t="s">
        <v>98</v>
      </c>
      <c r="BH749" s="7" t="s">
        <v>98</v>
      </c>
      <c r="BI749" s="7"/>
      <c r="BJ749" s="4">
        <v>18</v>
      </c>
      <c r="BK749" s="8">
        <v>4044.54</v>
      </c>
      <c r="BL749" s="2" t="s">
        <v>1549</v>
      </c>
      <c r="BM749" s="7"/>
      <c r="BN749" s="7"/>
      <c r="BO749" s="4"/>
      <c r="BP749" s="8"/>
      <c r="BQ749" s="4"/>
      <c r="BR749" s="8"/>
      <c r="BS749" s="7"/>
      <c r="BT749" s="7"/>
      <c r="BU749" s="2" t="s">
        <v>107</v>
      </c>
      <c r="BV749" s="2" t="s">
        <v>1355</v>
      </c>
      <c r="BW749" s="2" t="s">
        <v>1369</v>
      </c>
      <c r="BX749" s="2" t="s">
        <v>717</v>
      </c>
      <c r="BY749" s="2" t="s">
        <v>110</v>
      </c>
      <c r="BZ749" s="2" t="s">
        <v>98</v>
      </c>
    </row>
    <row r="750">
      <c r="A750" s="2" t="s">
        <v>3869</v>
      </c>
      <c r="B750" s="2" t="s">
        <v>1345</v>
      </c>
      <c r="C750" s="2" t="s">
        <v>952</v>
      </c>
      <c r="D750" s="2" t="s">
        <v>3406</v>
      </c>
      <c r="E750" s="2" t="s">
        <v>3406</v>
      </c>
      <c r="F750" s="2" t="s">
        <v>3650</v>
      </c>
      <c r="G750" s="2" t="s">
        <v>3650</v>
      </c>
      <c r="H750" s="2" t="s">
        <v>3650</v>
      </c>
      <c r="I750" s="2" t="s">
        <v>3412</v>
      </c>
      <c r="J750" s="2" t="s">
        <v>93</v>
      </c>
      <c r="K750" s="2" t="s">
        <v>3870</v>
      </c>
      <c r="L750" s="3">
        <v>310</v>
      </c>
      <c r="M750" s="3">
        <v>325.5</v>
      </c>
      <c r="N750" s="3">
        <v>649</v>
      </c>
      <c r="O750" s="2" t="s">
        <v>155</v>
      </c>
      <c r="P750" s="2" t="s">
        <v>115</v>
      </c>
      <c r="Q750" s="2" t="s">
        <v>97</v>
      </c>
      <c r="R750" s="2" t="s">
        <v>98</v>
      </c>
      <c r="S750" s="2" t="s">
        <v>98</v>
      </c>
      <c r="T750" s="2" t="s">
        <v>98</v>
      </c>
      <c r="U750" s="2" t="s">
        <v>117</v>
      </c>
      <c r="V750" s="2" t="s">
        <v>439</v>
      </c>
      <c r="W750" s="2" t="s">
        <v>968</v>
      </c>
      <c r="X750" s="2" t="s">
        <v>102</v>
      </c>
      <c r="Y750" s="2" t="s">
        <v>3871</v>
      </c>
      <c r="Z750" s="4">
        <v>194</v>
      </c>
      <c r="AA750" s="4">
        <f>=ROUNDDOWN(36.6037735849057,0)</f>
      </c>
      <c r="AB750" s="5">
        <v>5.3</v>
      </c>
      <c r="AC750" s="2" t="s">
        <v>98</v>
      </c>
      <c r="AD750" s="4"/>
      <c r="AE750" s="4"/>
      <c r="AF750" s="6">
        <v>74</v>
      </c>
      <c r="AG750" s="6"/>
      <c r="AH750" s="7">
        <v>1</v>
      </c>
      <c r="AI750" s="4"/>
      <c r="AJ750" s="4">
        <f>=ROUNDDOWN({0},0)</f>
      </c>
      <c r="AK750" s="5"/>
      <c r="AL750" s="2" t="s">
        <v>98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/>
      <c r="AW750" s="8"/>
      <c r="AX750" s="4"/>
      <c r="AY750" s="8"/>
      <c r="AZ750" s="7"/>
      <c r="BA750" s="7"/>
      <c r="BB750" s="7"/>
      <c r="BC750" s="4" t="s">
        <v>98</v>
      </c>
      <c r="BD750" s="8" t="s">
        <v>98</v>
      </c>
      <c r="BE750" s="4" t="s">
        <v>98</v>
      </c>
      <c r="BF750" s="8" t="s">
        <v>98</v>
      </c>
      <c r="BG750" s="7" t="s">
        <v>98</v>
      </c>
      <c r="BH750" s="7" t="s">
        <v>98</v>
      </c>
      <c r="BI750" s="7"/>
      <c r="BJ750" s="4">
        <v>3</v>
      </c>
      <c r="BK750" s="8">
        <v>634.74</v>
      </c>
      <c r="BL750" s="2" t="s">
        <v>1549</v>
      </c>
      <c r="BM750" s="7"/>
      <c r="BN750" s="7"/>
      <c r="BO750" s="4"/>
      <c r="BP750" s="8"/>
      <c r="BQ750" s="4"/>
      <c r="BR750" s="8"/>
      <c r="BS750" s="7"/>
      <c r="BT750" s="7"/>
      <c r="BU750" s="2" t="s">
        <v>1376</v>
      </c>
      <c r="BV750" s="2" t="s">
        <v>95</v>
      </c>
      <c r="BW750" s="2" t="s">
        <v>98</v>
      </c>
      <c r="BX750" s="2" t="s">
        <v>98</v>
      </c>
      <c r="BY750" s="2" t="s">
        <v>110</v>
      </c>
      <c r="BZ750" s="2" t="s">
        <v>98</v>
      </c>
    </row>
    <row r="751">
      <c r="A751" s="2" t="s">
        <v>3872</v>
      </c>
      <c r="B751" s="2" t="s">
        <v>1345</v>
      </c>
      <c r="C751" s="2" t="s">
        <v>952</v>
      </c>
      <c r="D751" s="2" t="s">
        <v>3873</v>
      </c>
      <c r="E751" s="2" t="s">
        <v>3873</v>
      </c>
      <c r="F751" s="2" t="s">
        <v>3874</v>
      </c>
      <c r="G751" s="2" t="s">
        <v>3874</v>
      </c>
      <c r="H751" s="2" t="s">
        <v>3874</v>
      </c>
      <c r="I751" s="2" t="s">
        <v>3875</v>
      </c>
      <c r="J751" s="2" t="s">
        <v>93</v>
      </c>
      <c r="K751" s="2" t="s">
        <v>1052</v>
      </c>
      <c r="L751" s="3">
        <v>115.2</v>
      </c>
      <c r="M751" s="3">
        <v>120.96</v>
      </c>
      <c r="N751" s="3">
        <v>249</v>
      </c>
      <c r="O751" s="2" t="s">
        <v>95</v>
      </c>
      <c r="P751" s="2" t="s">
        <v>142</v>
      </c>
      <c r="Q751" s="2" t="s">
        <v>97</v>
      </c>
      <c r="R751" s="2" t="s">
        <v>98</v>
      </c>
      <c r="S751" s="2" t="s">
        <v>98</v>
      </c>
      <c r="T751" s="2" t="s">
        <v>98</v>
      </c>
      <c r="U751" s="2" t="s">
        <v>117</v>
      </c>
      <c r="V751" s="2" t="s">
        <v>296</v>
      </c>
      <c r="W751" s="2" t="s">
        <v>119</v>
      </c>
      <c r="X751" s="2" t="s">
        <v>102</v>
      </c>
      <c r="Y751" s="2" t="s">
        <v>2819</v>
      </c>
      <c r="Z751" s="4">
        <v>87</v>
      </c>
      <c r="AA751" s="4">
        <f>=ROUNDDOWN(87,0)</f>
      </c>
      <c r="AB751" s="5">
        <v>1</v>
      </c>
      <c r="AC751" s="2" t="s">
        <v>98</v>
      </c>
      <c r="AD751" s="4"/>
      <c r="AE751" s="4"/>
      <c r="AF751" s="6">
        <v>74</v>
      </c>
      <c r="AG751" s="6"/>
      <c r="AH751" s="7">
        <v>1</v>
      </c>
      <c r="AI751" s="4"/>
      <c r="AJ751" s="4">
        <f>=ROUNDDOWN({0},0)</f>
      </c>
      <c r="AK751" s="5"/>
      <c r="AL751" s="2" t="s">
        <v>98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/>
      <c r="AW751" s="8"/>
      <c r="AX751" s="4"/>
      <c r="AY751" s="8"/>
      <c r="AZ751" s="7"/>
      <c r="BA751" s="7"/>
      <c r="BB751" s="7"/>
      <c r="BC751" s="4"/>
      <c r="BD751" s="8"/>
      <c r="BE751" s="4"/>
      <c r="BF751" s="8"/>
      <c r="BG751" s="7"/>
      <c r="BH751" s="7"/>
      <c r="BI751" s="7"/>
      <c r="BJ751" s="4"/>
      <c r="BK751" s="8"/>
      <c r="BL751" s="2" t="s">
        <v>98</v>
      </c>
      <c r="BM751" s="7"/>
      <c r="BN751" s="7"/>
      <c r="BO751" s="4"/>
      <c r="BP751" s="8"/>
      <c r="BQ751" s="4"/>
      <c r="BR751" s="8"/>
      <c r="BS751" s="7"/>
      <c r="BT751" s="7"/>
      <c r="BU751" s="2" t="s">
        <v>1376</v>
      </c>
      <c r="BV751" s="2" t="s">
        <v>95</v>
      </c>
      <c r="BW751" s="2" t="s">
        <v>98</v>
      </c>
      <c r="BX751" s="2" t="s">
        <v>98</v>
      </c>
      <c r="BY751" s="2" t="s">
        <v>110</v>
      </c>
      <c r="BZ751" s="2" t="s">
        <v>98</v>
      </c>
    </row>
    <row r="752">
      <c r="A752" s="2" t="s">
        <v>3876</v>
      </c>
      <c r="B752" s="2" t="s">
        <v>1345</v>
      </c>
      <c r="C752" s="2" t="s">
        <v>952</v>
      </c>
      <c r="D752" s="2" t="s">
        <v>3873</v>
      </c>
      <c r="E752" s="2" t="s">
        <v>3873</v>
      </c>
      <c r="F752" s="2" t="s">
        <v>3877</v>
      </c>
      <c r="G752" s="2" t="s">
        <v>3877</v>
      </c>
      <c r="H752" s="2" t="s">
        <v>3877</v>
      </c>
      <c r="I752" s="2" t="s">
        <v>3875</v>
      </c>
      <c r="J752" s="2" t="s">
        <v>93</v>
      </c>
      <c r="K752" s="2" t="s">
        <v>127</v>
      </c>
      <c r="L752" s="3">
        <v>121.5</v>
      </c>
      <c r="M752" s="3">
        <v>127.58</v>
      </c>
      <c r="N752" s="3">
        <v>259</v>
      </c>
      <c r="O752" s="2" t="s">
        <v>95</v>
      </c>
      <c r="P752" s="2" t="s">
        <v>134</v>
      </c>
      <c r="Q752" s="2" t="s">
        <v>97</v>
      </c>
      <c r="R752" s="2" t="s">
        <v>98</v>
      </c>
      <c r="S752" s="2" t="s">
        <v>98</v>
      </c>
      <c r="T752" s="2" t="s">
        <v>98</v>
      </c>
      <c r="U752" s="2" t="s">
        <v>98</v>
      </c>
      <c r="V752" s="2" t="s">
        <v>439</v>
      </c>
      <c r="W752" s="2" t="s">
        <v>968</v>
      </c>
      <c r="X752" s="2" t="s">
        <v>98</v>
      </c>
      <c r="Y752" s="2" t="s">
        <v>3505</v>
      </c>
      <c r="Z752" s="4">
        <v>146</v>
      </c>
      <c r="AA752" s="4">
        <f>=ROUNDDOWN(18.25,0)</f>
      </c>
      <c r="AB752" s="5">
        <v>8</v>
      </c>
      <c r="AC752" s="2" t="s">
        <v>1374</v>
      </c>
      <c r="AD752" s="4">
        <v>115</v>
      </c>
      <c r="AE752" s="4">
        <v>115</v>
      </c>
      <c r="AF752" s="6">
        <v>74</v>
      </c>
      <c r="AG752" s="6">
        <v>60</v>
      </c>
      <c r="AH752" s="7">
        <v>1</v>
      </c>
      <c r="AI752" s="4"/>
      <c r="AJ752" s="4">
        <f>=ROUNDDOWN({0},0)</f>
      </c>
      <c r="AK752" s="5"/>
      <c r="AL752" s="2" t="s">
        <v>98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/>
      <c r="AW752" s="8"/>
      <c r="AX752" s="4"/>
      <c r="AY752" s="8"/>
      <c r="AZ752" s="7"/>
      <c r="BA752" s="7"/>
      <c r="BB752" s="7"/>
      <c r="BC752" s="4" t="s">
        <v>98</v>
      </c>
      <c r="BD752" s="8" t="s">
        <v>98</v>
      </c>
      <c r="BE752" s="4" t="s">
        <v>98</v>
      </c>
      <c r="BF752" s="8" t="s">
        <v>98</v>
      </c>
      <c r="BG752" s="7" t="s">
        <v>98</v>
      </c>
      <c r="BH752" s="7" t="s">
        <v>98</v>
      </c>
      <c r="BI752" s="7"/>
      <c r="BJ752" s="4">
        <v>10</v>
      </c>
      <c r="BK752" s="8">
        <v>1337.49</v>
      </c>
      <c r="BL752" s="2" t="s">
        <v>3783</v>
      </c>
      <c r="BM752" s="7"/>
      <c r="BN752" s="7"/>
      <c r="BO752" s="4"/>
      <c r="BP752" s="8"/>
      <c r="BQ752" s="4"/>
      <c r="BR752" s="8"/>
      <c r="BS752" s="7"/>
      <c r="BT752" s="7"/>
      <c r="BU752" s="2" t="s">
        <v>107</v>
      </c>
      <c r="BV752" s="2" t="s">
        <v>1355</v>
      </c>
      <c r="BW752" s="2" t="s">
        <v>1550</v>
      </c>
      <c r="BX752" s="2" t="s">
        <v>3878</v>
      </c>
      <c r="BY752" s="2" t="s">
        <v>110</v>
      </c>
      <c r="BZ752" s="2" t="s">
        <v>98</v>
      </c>
    </row>
    <row r="753">
      <c r="A753" s="2" t="s">
        <v>3879</v>
      </c>
      <c r="B753" s="2" t="s">
        <v>1345</v>
      </c>
      <c r="C753" s="2" t="s">
        <v>952</v>
      </c>
      <c r="D753" s="2" t="s">
        <v>3873</v>
      </c>
      <c r="E753" s="2" t="s">
        <v>3873</v>
      </c>
      <c r="F753" s="2" t="s">
        <v>3877</v>
      </c>
      <c r="G753" s="2" t="s">
        <v>3877</v>
      </c>
      <c r="H753" s="2" t="s">
        <v>3877</v>
      </c>
      <c r="I753" s="2" t="s">
        <v>3875</v>
      </c>
      <c r="J753" s="2" t="s">
        <v>93</v>
      </c>
      <c r="K753" s="2" t="s">
        <v>3870</v>
      </c>
      <c r="L753" s="3">
        <v>121.5</v>
      </c>
      <c r="M753" s="3">
        <v>127.58</v>
      </c>
      <c r="N753" s="3">
        <v>259</v>
      </c>
      <c r="O753" s="2" t="s">
        <v>95</v>
      </c>
      <c r="P753" s="2" t="s">
        <v>142</v>
      </c>
      <c r="Q753" s="2" t="s">
        <v>97</v>
      </c>
      <c r="R753" s="2" t="s">
        <v>98</v>
      </c>
      <c r="S753" s="2" t="s">
        <v>98</v>
      </c>
      <c r="T753" s="2" t="s">
        <v>98</v>
      </c>
      <c r="U753" s="2" t="s">
        <v>117</v>
      </c>
      <c r="V753" s="2" t="s">
        <v>439</v>
      </c>
      <c r="W753" s="2" t="s">
        <v>968</v>
      </c>
      <c r="X753" s="2" t="s">
        <v>102</v>
      </c>
      <c r="Y753" s="2" t="s">
        <v>3880</v>
      </c>
      <c r="Z753" s="4">
        <v>112</v>
      </c>
      <c r="AA753" s="4">
        <f>=ROUNDDOWN(56,0)</f>
      </c>
      <c r="AB753" s="5">
        <v>2</v>
      </c>
      <c r="AC753" s="2" t="s">
        <v>98</v>
      </c>
      <c r="AD753" s="4"/>
      <c r="AE753" s="4"/>
      <c r="AF753" s="6">
        <v>74</v>
      </c>
      <c r="AG753" s="6">
        <v>60</v>
      </c>
      <c r="AH753" s="7">
        <v>1</v>
      </c>
      <c r="AI753" s="4"/>
      <c r="AJ753" s="4">
        <f>=ROUNDDOWN({0},0)</f>
      </c>
      <c r="AK753" s="5"/>
      <c r="AL753" s="2" t="s">
        <v>98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/>
      <c r="AW753" s="8"/>
      <c r="AX753" s="4"/>
      <c r="AY753" s="8"/>
      <c r="AZ753" s="7"/>
      <c r="BA753" s="7"/>
      <c r="BB753" s="7"/>
      <c r="BC753" s="4" t="s">
        <v>98</v>
      </c>
      <c r="BD753" s="8" t="s">
        <v>98</v>
      </c>
      <c r="BE753" s="4" t="s">
        <v>98</v>
      </c>
      <c r="BF753" s="8" t="s">
        <v>98</v>
      </c>
      <c r="BG753" s="7" t="s">
        <v>98</v>
      </c>
      <c r="BH753" s="7" t="s">
        <v>98</v>
      </c>
      <c r="BI753" s="7"/>
      <c r="BJ753" s="4">
        <v>1</v>
      </c>
      <c r="BK753" s="8">
        <v>131.4</v>
      </c>
      <c r="BL753" s="2" t="s">
        <v>3881</v>
      </c>
      <c r="BM753" s="7"/>
      <c r="BN753" s="7"/>
      <c r="BO753" s="4"/>
      <c r="BP753" s="8"/>
      <c r="BQ753" s="4"/>
      <c r="BR753" s="8"/>
      <c r="BS753" s="7"/>
      <c r="BT753" s="7"/>
      <c r="BU753" s="2" t="s">
        <v>1376</v>
      </c>
      <c r="BV753" s="2" t="s">
        <v>95</v>
      </c>
      <c r="BW753" s="2" t="s">
        <v>98</v>
      </c>
      <c r="BX753" s="2" t="s">
        <v>98</v>
      </c>
      <c r="BY753" s="2" t="s">
        <v>110</v>
      </c>
      <c r="BZ753" s="2" t="s">
        <v>98</v>
      </c>
    </row>
    <row r="754">
      <c r="A754" s="2" t="s">
        <v>3882</v>
      </c>
      <c r="B754" s="2" t="s">
        <v>1345</v>
      </c>
      <c r="C754" s="2" t="s">
        <v>952</v>
      </c>
      <c r="D754" s="2" t="s">
        <v>2205</v>
      </c>
      <c r="E754" s="2" t="s">
        <v>1876</v>
      </c>
      <c r="F754" s="2" t="s">
        <v>3883</v>
      </c>
      <c r="G754" s="2" t="s">
        <v>98</v>
      </c>
      <c r="H754" s="2" t="s">
        <v>98</v>
      </c>
      <c r="I754" s="2" t="s">
        <v>3884</v>
      </c>
      <c r="J754" s="2" t="s">
        <v>93</v>
      </c>
      <c r="K754" s="2" t="s">
        <v>1439</v>
      </c>
      <c r="L754" s="3">
        <v>256.5</v>
      </c>
      <c r="M754" s="3">
        <v>269.32</v>
      </c>
      <c r="N754" s="3">
        <v>549</v>
      </c>
      <c r="O754" s="2" t="s">
        <v>95</v>
      </c>
      <c r="P754" s="2" t="s">
        <v>134</v>
      </c>
      <c r="Q754" s="2" t="s">
        <v>97</v>
      </c>
      <c r="R754" s="2" t="s">
        <v>98</v>
      </c>
      <c r="S754" s="2" t="s">
        <v>3885</v>
      </c>
      <c r="T754" s="2" t="s">
        <v>98</v>
      </c>
      <c r="U754" s="2" t="s">
        <v>98</v>
      </c>
      <c r="V754" s="2" t="s">
        <v>439</v>
      </c>
      <c r="W754" s="2" t="s">
        <v>103</v>
      </c>
      <c r="X754" s="2" t="s">
        <v>98</v>
      </c>
      <c r="Y754" s="2" t="s">
        <v>366</v>
      </c>
      <c r="Z754" s="4">
        <v>104</v>
      </c>
      <c r="AA754" s="4">
        <f>=ROUNDDOWN(17.3333333333333,0)</f>
      </c>
      <c r="AB754" s="5">
        <v>6</v>
      </c>
      <c r="AC754" s="2" t="s">
        <v>1457</v>
      </c>
      <c r="AD754" s="4">
        <v>200</v>
      </c>
      <c r="AE754" s="4">
        <v>300</v>
      </c>
      <c r="AF754" s="6">
        <v>65</v>
      </c>
      <c r="AG754" s="6">
        <v>48</v>
      </c>
      <c r="AH754" s="7">
        <v>1</v>
      </c>
      <c r="AI754" s="4"/>
      <c r="AJ754" s="4">
        <f>=ROUNDDOWN({0},0)</f>
      </c>
      <c r="AK754" s="5"/>
      <c r="AL754" s="2" t="s">
        <v>98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/>
      <c r="AW754" s="8"/>
      <c r="AX754" s="4"/>
      <c r="AY754" s="8"/>
      <c r="AZ754" s="7"/>
      <c r="BA754" s="7"/>
      <c r="BB754" s="7"/>
      <c r="BC754" s="4"/>
      <c r="BD754" s="8"/>
      <c r="BE754" s="4"/>
      <c r="BF754" s="8"/>
      <c r="BG754" s="7"/>
      <c r="BH754" s="7"/>
      <c r="BI754" s="7"/>
      <c r="BJ754" s="4">
        <v>1</v>
      </c>
      <c r="BK754" s="8">
        <v>293.8</v>
      </c>
      <c r="BL754" s="2" t="s">
        <v>3886</v>
      </c>
      <c r="BM754" s="7"/>
      <c r="BN754" s="7"/>
      <c r="BO754" s="4"/>
      <c r="BP754" s="8"/>
      <c r="BQ754" s="4"/>
      <c r="BR754" s="8"/>
      <c r="BS754" s="7"/>
      <c r="BT754" s="7"/>
      <c r="BU754" s="2" t="s">
        <v>107</v>
      </c>
      <c r="BV754" s="2" t="s">
        <v>1355</v>
      </c>
      <c r="BW754" s="2" t="s">
        <v>3887</v>
      </c>
      <c r="BX754" s="2" t="s">
        <v>3654</v>
      </c>
      <c r="BY754" s="2" t="s">
        <v>110</v>
      </c>
      <c r="BZ754" s="2" t="s">
        <v>98</v>
      </c>
    </row>
    <row r="755">
      <c r="A755" s="2" t="s">
        <v>3888</v>
      </c>
      <c r="B755" s="2" t="s">
        <v>1345</v>
      </c>
      <c r="C755" s="2" t="s">
        <v>952</v>
      </c>
      <c r="D755" s="2" t="s">
        <v>2205</v>
      </c>
      <c r="E755" s="2" t="s">
        <v>1876</v>
      </c>
      <c r="F755" s="2" t="s">
        <v>3682</v>
      </c>
      <c r="G755" s="2" t="s">
        <v>3682</v>
      </c>
      <c r="H755" s="2" t="s">
        <v>98</v>
      </c>
      <c r="I755" s="2" t="s">
        <v>3889</v>
      </c>
      <c r="J755" s="2" t="s">
        <v>93</v>
      </c>
      <c r="K755" s="2" t="s">
        <v>1052</v>
      </c>
      <c r="L755" s="3">
        <v>163.35</v>
      </c>
      <c r="M755" s="3">
        <v>171.52</v>
      </c>
      <c r="N755" s="3">
        <v>349</v>
      </c>
      <c r="O755" s="2" t="s">
        <v>95</v>
      </c>
      <c r="P755" s="2" t="s">
        <v>142</v>
      </c>
      <c r="Q755" s="2" t="s">
        <v>97</v>
      </c>
      <c r="R755" s="2" t="s">
        <v>98</v>
      </c>
      <c r="S755" s="2" t="s">
        <v>3890</v>
      </c>
      <c r="T755" s="2" t="s">
        <v>98</v>
      </c>
      <c r="U755" s="2" t="s">
        <v>98</v>
      </c>
      <c r="V755" s="2" t="s">
        <v>439</v>
      </c>
      <c r="W755" s="2" t="s">
        <v>968</v>
      </c>
      <c r="X755" s="2" t="s">
        <v>98</v>
      </c>
      <c r="Y755" s="2" t="s">
        <v>1833</v>
      </c>
      <c r="Z755" s="4">
        <v>232</v>
      </c>
      <c r="AA755" s="4">
        <f>=ROUNDDOWN(116,0)</f>
      </c>
      <c r="AB755" s="5">
        <v>2</v>
      </c>
      <c r="AC755" s="2" t="s">
        <v>98</v>
      </c>
      <c r="AD755" s="4"/>
      <c r="AE755" s="4"/>
      <c r="AF755" s="6">
        <v>74</v>
      </c>
      <c r="AG755" s="6">
        <v>60</v>
      </c>
      <c r="AH755" s="7">
        <v>1</v>
      </c>
      <c r="AI755" s="4"/>
      <c r="AJ755" s="4">
        <f>=ROUNDDOWN({0},0)</f>
      </c>
      <c r="AK755" s="5"/>
      <c r="AL755" s="2" t="s">
        <v>98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/>
      <c r="AW755" s="8"/>
      <c r="AX755" s="4"/>
      <c r="AY755" s="8"/>
      <c r="AZ755" s="7"/>
      <c r="BA755" s="7"/>
      <c r="BB755" s="7"/>
      <c r="BC755" s="4"/>
      <c r="BD755" s="8"/>
      <c r="BE755" s="4"/>
      <c r="BF755" s="8"/>
      <c r="BG755" s="7"/>
      <c r="BH755" s="7"/>
      <c r="BI755" s="7"/>
      <c r="BJ755" s="4">
        <v>3</v>
      </c>
      <c r="BK755" s="8">
        <v>476.58</v>
      </c>
      <c r="BL755" s="2" t="s">
        <v>1375</v>
      </c>
      <c r="BM755" s="7"/>
      <c r="BN755" s="7"/>
      <c r="BO755" s="4"/>
      <c r="BP755" s="8"/>
      <c r="BQ755" s="4"/>
      <c r="BR755" s="8"/>
      <c r="BS755" s="7"/>
      <c r="BT755" s="7"/>
      <c r="BU755" s="2" t="s">
        <v>107</v>
      </c>
      <c r="BV755" s="2" t="s">
        <v>1355</v>
      </c>
      <c r="BW755" s="2" t="s">
        <v>2766</v>
      </c>
      <c r="BX755" s="2" t="s">
        <v>3891</v>
      </c>
      <c r="BY755" s="2" t="s">
        <v>110</v>
      </c>
      <c r="BZ755" s="2" t="s">
        <v>98</v>
      </c>
    </row>
    <row r="756">
      <c r="A756" s="2" t="s">
        <v>3892</v>
      </c>
      <c r="B756" s="2" t="s">
        <v>1345</v>
      </c>
      <c r="C756" s="2" t="s">
        <v>952</v>
      </c>
      <c r="D756" s="2" t="s">
        <v>2205</v>
      </c>
      <c r="E756" s="2" t="s">
        <v>1876</v>
      </c>
      <c r="F756" s="2" t="s">
        <v>3650</v>
      </c>
      <c r="G756" s="2" t="s">
        <v>98</v>
      </c>
      <c r="H756" s="2" t="s">
        <v>98</v>
      </c>
      <c r="I756" s="2" t="s">
        <v>3893</v>
      </c>
      <c r="J756" s="2" t="s">
        <v>93</v>
      </c>
      <c r="K756" s="2" t="s">
        <v>2076</v>
      </c>
      <c r="L756" s="3">
        <v>121.6</v>
      </c>
      <c r="M756" s="3">
        <v>127.68</v>
      </c>
      <c r="N756" s="3">
        <v>259</v>
      </c>
      <c r="O756" s="2" t="s">
        <v>95</v>
      </c>
      <c r="P756" s="2" t="s">
        <v>134</v>
      </c>
      <c r="Q756" s="2" t="s">
        <v>97</v>
      </c>
      <c r="R756" s="2" t="s">
        <v>98</v>
      </c>
      <c r="S756" s="2" t="s">
        <v>3894</v>
      </c>
      <c r="T756" s="2" t="s">
        <v>98</v>
      </c>
      <c r="U756" s="2" t="s">
        <v>98</v>
      </c>
      <c r="V756" s="2" t="s">
        <v>439</v>
      </c>
      <c r="W756" s="2" t="s">
        <v>968</v>
      </c>
      <c r="X756" s="2" t="s">
        <v>98</v>
      </c>
      <c r="Y756" s="2" t="s">
        <v>366</v>
      </c>
      <c r="Z756" s="4">
        <v>291</v>
      </c>
      <c r="AA756" s="4">
        <f>=ROUNDDOWN(32.3333333333333,0)</f>
      </c>
      <c r="AB756" s="5">
        <v>9</v>
      </c>
      <c r="AC756" s="2" t="s">
        <v>214</v>
      </c>
      <c r="AD756" s="4">
        <v>200</v>
      </c>
      <c r="AE756" s="4">
        <v>200</v>
      </c>
      <c r="AF756" s="6">
        <v>74</v>
      </c>
      <c r="AG756" s="6">
        <v>60</v>
      </c>
      <c r="AH756" s="7">
        <v>1</v>
      </c>
      <c r="AI756" s="4"/>
      <c r="AJ756" s="4">
        <f>=ROUNDDOWN({0},0)</f>
      </c>
      <c r="AK756" s="5"/>
      <c r="AL756" s="2" t="s">
        <v>98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/>
      <c r="AW756" s="8"/>
      <c r="AX756" s="4"/>
      <c r="AY756" s="8"/>
      <c r="AZ756" s="7"/>
      <c r="BA756" s="7"/>
      <c r="BB756" s="7"/>
      <c r="BC756" s="4"/>
      <c r="BD756" s="8"/>
      <c r="BE756" s="4"/>
      <c r="BF756" s="8"/>
      <c r="BG756" s="7"/>
      <c r="BH756" s="7"/>
      <c r="BI756" s="7"/>
      <c r="BJ756" s="4">
        <v>4</v>
      </c>
      <c r="BK756" s="8">
        <v>541.52</v>
      </c>
      <c r="BL756" s="2" t="s">
        <v>269</v>
      </c>
      <c r="BM756" s="7"/>
      <c r="BN756" s="7"/>
      <c r="BO756" s="4"/>
      <c r="BP756" s="8"/>
      <c r="BQ756" s="4"/>
      <c r="BR756" s="8"/>
      <c r="BS756" s="7"/>
      <c r="BT756" s="7"/>
      <c r="BU756" s="2" t="s">
        <v>107</v>
      </c>
      <c r="BV756" s="2" t="s">
        <v>1355</v>
      </c>
      <c r="BW756" s="2" t="s">
        <v>1356</v>
      </c>
      <c r="BX756" s="2" t="s">
        <v>3586</v>
      </c>
      <c r="BY756" s="2" t="s">
        <v>110</v>
      </c>
      <c r="BZ756" s="2" t="s">
        <v>98</v>
      </c>
    </row>
    <row r="757">
      <c r="A757" s="2" t="s">
        <v>3895</v>
      </c>
      <c r="B757" s="2" t="s">
        <v>1345</v>
      </c>
      <c r="C757" s="2" t="s">
        <v>952</v>
      </c>
      <c r="D757" s="2" t="s">
        <v>2205</v>
      </c>
      <c r="E757" s="2" t="s">
        <v>1876</v>
      </c>
      <c r="F757" s="2" t="s">
        <v>3896</v>
      </c>
      <c r="G757" s="2" t="s">
        <v>3896</v>
      </c>
      <c r="H757" s="2" t="s">
        <v>3896</v>
      </c>
      <c r="I757" s="2" t="s">
        <v>2290</v>
      </c>
      <c r="J757" s="2" t="s">
        <v>93</v>
      </c>
      <c r="K757" s="2" t="s">
        <v>3897</v>
      </c>
      <c r="L757" s="3">
        <v>209</v>
      </c>
      <c r="M757" s="3">
        <v>219.45</v>
      </c>
      <c r="N757" s="3">
        <v>459</v>
      </c>
      <c r="O757" s="2" t="s">
        <v>95</v>
      </c>
      <c r="P757" s="2" t="s">
        <v>134</v>
      </c>
      <c r="Q757" s="2" t="s">
        <v>97</v>
      </c>
      <c r="R757" s="2" t="s">
        <v>98</v>
      </c>
      <c r="S757" s="2" t="s">
        <v>3898</v>
      </c>
      <c r="T757" s="2" t="s">
        <v>98</v>
      </c>
      <c r="U757" s="2" t="s">
        <v>100</v>
      </c>
      <c r="V757" s="2" t="s">
        <v>439</v>
      </c>
      <c r="W757" s="2" t="s">
        <v>119</v>
      </c>
      <c r="X757" s="2" t="s">
        <v>98</v>
      </c>
      <c r="Y757" s="2" t="s">
        <v>3795</v>
      </c>
      <c r="Z757" s="4">
        <v>34</v>
      </c>
      <c r="AA757" s="4">
        <f>=ROUNDDOWN(3.4,0)</f>
      </c>
      <c r="AB757" s="5">
        <v>10</v>
      </c>
      <c r="AC757" s="2" t="s">
        <v>1516</v>
      </c>
      <c r="AD757" s="4">
        <v>100</v>
      </c>
      <c r="AE757" s="4">
        <v>326</v>
      </c>
      <c r="AF757" s="6">
        <v>65</v>
      </c>
      <c r="AG757" s="6">
        <v>48</v>
      </c>
      <c r="AH757" s="7">
        <v>1</v>
      </c>
      <c r="AI757" s="4"/>
      <c r="AJ757" s="4">
        <f>=ROUNDDOWN({0},0)</f>
      </c>
      <c r="AK757" s="5"/>
      <c r="AL757" s="2" t="s">
        <v>98</v>
      </c>
      <c r="AM757" s="4"/>
      <c r="AN757" s="4"/>
      <c r="AO757" s="7">
        <v>0</v>
      </c>
      <c r="AP757" s="4"/>
      <c r="AQ757" s="8"/>
      <c r="AR757" s="4">
        <v>2</v>
      </c>
      <c r="AS757" s="8">
        <v>386.84</v>
      </c>
      <c r="AT757" s="7">
        <v>-1</v>
      </c>
      <c r="AU757" s="7">
        <v>-1</v>
      </c>
      <c r="AV757" s="4"/>
      <c r="AW757" s="8"/>
      <c r="AX757" s="4">
        <v>2</v>
      </c>
      <c r="AY757" s="8">
        <v>386.84</v>
      </c>
      <c r="AZ757" s="7">
        <v>-1</v>
      </c>
      <c r="BA757" s="7">
        <v>-1</v>
      </c>
      <c r="BB757" s="7"/>
      <c r="BC757" s="4"/>
      <c r="BD757" s="8"/>
      <c r="BE757" s="4">
        <v>2</v>
      </c>
      <c r="BF757" s="8">
        <v>386.84</v>
      </c>
      <c r="BG757" s="7">
        <v>-1</v>
      </c>
      <c r="BH757" s="7">
        <v>-1</v>
      </c>
      <c r="BI757" s="7"/>
      <c r="BJ757" s="4">
        <v>11</v>
      </c>
      <c r="BK757" s="8">
        <v>2483.68</v>
      </c>
      <c r="BL757" s="2" t="s">
        <v>3011</v>
      </c>
      <c r="BM757" s="7"/>
      <c r="BN757" s="7"/>
      <c r="BO757" s="4"/>
      <c r="BP757" s="8"/>
      <c r="BQ757" s="4">
        <v>2</v>
      </c>
      <c r="BR757" s="8">
        <v>386.84</v>
      </c>
      <c r="BS757" s="7">
        <v>-1</v>
      </c>
      <c r="BT757" s="7">
        <v>-1</v>
      </c>
      <c r="BU757" s="2" t="s">
        <v>107</v>
      </c>
      <c r="BV757" s="2" t="s">
        <v>1355</v>
      </c>
      <c r="BW757" s="2" t="s">
        <v>1436</v>
      </c>
      <c r="BX757" s="2" t="s">
        <v>2797</v>
      </c>
      <c r="BY757" s="2" t="s">
        <v>110</v>
      </c>
      <c r="BZ757" s="2" t="s">
        <v>98</v>
      </c>
    </row>
    <row r="758">
      <c r="A758" s="2" t="s">
        <v>3899</v>
      </c>
      <c r="B758" s="2" t="s">
        <v>1345</v>
      </c>
      <c r="C758" s="2" t="s">
        <v>952</v>
      </c>
      <c r="D758" s="2" t="s">
        <v>2205</v>
      </c>
      <c r="E758" s="2" t="s">
        <v>1876</v>
      </c>
      <c r="F758" s="2" t="s">
        <v>3630</v>
      </c>
      <c r="G758" s="2" t="s">
        <v>3630</v>
      </c>
      <c r="H758" s="2" t="s">
        <v>3630</v>
      </c>
      <c r="I758" s="2" t="s">
        <v>2313</v>
      </c>
      <c r="J758" s="2" t="s">
        <v>93</v>
      </c>
      <c r="K758" s="2" t="s">
        <v>133</v>
      </c>
      <c r="L758" s="3">
        <v>195</v>
      </c>
      <c r="M758" s="3">
        <v>204.75</v>
      </c>
      <c r="N758" s="3">
        <v>409</v>
      </c>
      <c r="O758" s="2" t="s">
        <v>95</v>
      </c>
      <c r="P758" s="2" t="s">
        <v>142</v>
      </c>
      <c r="Q758" s="2" t="s">
        <v>97</v>
      </c>
      <c r="R758" s="2" t="s">
        <v>98</v>
      </c>
      <c r="S758" s="2" t="s">
        <v>3900</v>
      </c>
      <c r="T758" s="2" t="s">
        <v>98</v>
      </c>
      <c r="U758" s="2" t="s">
        <v>98</v>
      </c>
      <c r="V758" s="2" t="s">
        <v>439</v>
      </c>
      <c r="W758" s="2" t="s">
        <v>968</v>
      </c>
      <c r="X758" s="2" t="s">
        <v>98</v>
      </c>
      <c r="Y758" s="2" t="s">
        <v>366</v>
      </c>
      <c r="Z758" s="4">
        <v>91</v>
      </c>
      <c r="AA758" s="4">
        <f>=ROUNDDOWN(22.75,0)</f>
      </c>
      <c r="AB758" s="5">
        <v>4</v>
      </c>
      <c r="AC758" s="2" t="s">
        <v>1932</v>
      </c>
      <c r="AD758" s="4">
        <v>176</v>
      </c>
      <c r="AE758" s="4">
        <v>176</v>
      </c>
      <c r="AF758" s="6">
        <v>76</v>
      </c>
      <c r="AG758" s="6"/>
      <c r="AH758" s="7">
        <v>1</v>
      </c>
      <c r="AI758" s="4"/>
      <c r="AJ758" s="4">
        <f>=ROUNDDOWN({0},0)</f>
      </c>
      <c r="AK758" s="5"/>
      <c r="AL758" s="2" t="s">
        <v>98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/>
      <c r="AW758" s="8"/>
      <c r="AX758" s="4"/>
      <c r="AY758" s="8"/>
      <c r="AZ758" s="7"/>
      <c r="BA758" s="7"/>
      <c r="BB758" s="7"/>
      <c r="BC758" s="4"/>
      <c r="BD758" s="8"/>
      <c r="BE758" s="4"/>
      <c r="BF758" s="8"/>
      <c r="BG758" s="7"/>
      <c r="BH758" s="7"/>
      <c r="BI758" s="7"/>
      <c r="BJ758" s="4"/>
      <c r="BK758" s="8"/>
      <c r="BL758" s="2" t="s">
        <v>895</v>
      </c>
      <c r="BM758" s="7"/>
      <c r="BN758" s="7"/>
      <c r="BO758" s="4"/>
      <c r="BP758" s="8"/>
      <c r="BQ758" s="4"/>
      <c r="BR758" s="8"/>
      <c r="BS758" s="7"/>
      <c r="BT758" s="7"/>
      <c r="BU758" s="2" t="s">
        <v>107</v>
      </c>
      <c r="BV758" s="2" t="s">
        <v>1355</v>
      </c>
      <c r="BW758" s="2" t="s">
        <v>1356</v>
      </c>
      <c r="BX758" s="2" t="s">
        <v>3633</v>
      </c>
      <c r="BY758" s="2" t="s">
        <v>110</v>
      </c>
      <c r="BZ758" s="2" t="s">
        <v>98</v>
      </c>
    </row>
    <row r="759">
      <c r="A759" s="2" t="s">
        <v>3901</v>
      </c>
      <c r="B759" s="2" t="s">
        <v>1345</v>
      </c>
      <c r="C759" s="2" t="s">
        <v>952</v>
      </c>
      <c r="D759" s="2" t="s">
        <v>2205</v>
      </c>
      <c r="E759" s="2" t="s">
        <v>2205</v>
      </c>
      <c r="F759" s="2" t="s">
        <v>3902</v>
      </c>
      <c r="G759" s="2" t="s">
        <v>3902</v>
      </c>
      <c r="H759" s="2" t="s">
        <v>3902</v>
      </c>
      <c r="I759" s="2" t="s">
        <v>3903</v>
      </c>
      <c r="J759" s="2" t="s">
        <v>93</v>
      </c>
      <c r="K759" s="2" t="s">
        <v>514</v>
      </c>
      <c r="L759" s="3">
        <v>204.25</v>
      </c>
      <c r="M759" s="3">
        <v>214.46</v>
      </c>
      <c r="N759" s="3">
        <v>429</v>
      </c>
      <c r="O759" s="2" t="s">
        <v>95</v>
      </c>
      <c r="P759" s="2" t="s">
        <v>142</v>
      </c>
      <c r="Q759" s="2" t="s">
        <v>97</v>
      </c>
      <c r="R759" s="2" t="s">
        <v>98</v>
      </c>
      <c r="S759" s="2" t="s">
        <v>98</v>
      </c>
      <c r="T759" s="2" t="s">
        <v>98</v>
      </c>
      <c r="U759" s="2" t="s">
        <v>100</v>
      </c>
      <c r="V759" s="2" t="s">
        <v>296</v>
      </c>
      <c r="W759" s="2" t="s">
        <v>963</v>
      </c>
      <c r="X759" s="2" t="s">
        <v>102</v>
      </c>
      <c r="Y759" s="2" t="s">
        <v>2819</v>
      </c>
      <c r="Z759" s="4">
        <v>88</v>
      </c>
      <c r="AA759" s="4">
        <f>=ROUNDDOWN(29.3333333333333,0)</f>
      </c>
      <c r="AB759" s="5">
        <v>3</v>
      </c>
      <c r="AC759" s="2" t="s">
        <v>98</v>
      </c>
      <c r="AD759" s="4"/>
      <c r="AE759" s="4"/>
      <c r="AF759" s="6">
        <v>74</v>
      </c>
      <c r="AG759" s="6"/>
      <c r="AH759" s="7">
        <v>1</v>
      </c>
      <c r="AI759" s="4"/>
      <c r="AJ759" s="4">
        <f>=ROUNDDOWN({0},0)</f>
      </c>
      <c r="AK759" s="5"/>
      <c r="AL759" s="2" t="s">
        <v>98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/>
      <c r="AW759" s="8"/>
      <c r="AX759" s="4"/>
      <c r="AY759" s="8"/>
      <c r="AZ759" s="7"/>
      <c r="BA759" s="7"/>
      <c r="BB759" s="7"/>
      <c r="BC759" s="4"/>
      <c r="BD759" s="8"/>
      <c r="BE759" s="4"/>
      <c r="BF759" s="8"/>
      <c r="BG759" s="7"/>
      <c r="BH759" s="7"/>
      <c r="BI759" s="7"/>
      <c r="BJ759" s="4"/>
      <c r="BK759" s="8"/>
      <c r="BL759" s="2" t="s">
        <v>98</v>
      </c>
      <c r="BM759" s="7"/>
      <c r="BN759" s="7"/>
      <c r="BO759" s="4"/>
      <c r="BP759" s="8"/>
      <c r="BQ759" s="4"/>
      <c r="BR759" s="8"/>
      <c r="BS759" s="7"/>
      <c r="BT759" s="7"/>
      <c r="BU759" s="2" t="s">
        <v>1376</v>
      </c>
      <c r="BV759" s="2" t="s">
        <v>95</v>
      </c>
      <c r="BW759" s="2" t="s">
        <v>98</v>
      </c>
      <c r="BX759" s="2" t="s">
        <v>98</v>
      </c>
      <c r="BY759" s="2" t="s">
        <v>110</v>
      </c>
      <c r="BZ759" s="2" t="s">
        <v>98</v>
      </c>
    </row>
    <row r="760">
      <c r="A760" s="2" t="s">
        <v>3904</v>
      </c>
      <c r="B760" s="2" t="s">
        <v>1345</v>
      </c>
      <c r="C760" s="2" t="s">
        <v>952</v>
      </c>
      <c r="D760" s="2" t="s">
        <v>2205</v>
      </c>
      <c r="E760" s="2" t="s">
        <v>2205</v>
      </c>
      <c r="F760" s="2" t="s">
        <v>3517</v>
      </c>
      <c r="G760" s="2" t="s">
        <v>3517</v>
      </c>
      <c r="H760" s="2" t="s">
        <v>3517</v>
      </c>
      <c r="I760" s="2" t="s">
        <v>2313</v>
      </c>
      <c r="J760" s="2" t="s">
        <v>93</v>
      </c>
      <c r="K760" s="2" t="s">
        <v>277</v>
      </c>
      <c r="L760" s="3">
        <v>193.5</v>
      </c>
      <c r="M760" s="3">
        <v>203.18</v>
      </c>
      <c r="N760" s="3">
        <v>399</v>
      </c>
      <c r="O760" s="2" t="s">
        <v>95</v>
      </c>
      <c r="P760" s="2" t="s">
        <v>134</v>
      </c>
      <c r="Q760" s="2" t="s">
        <v>97</v>
      </c>
      <c r="R760" s="2" t="s">
        <v>98</v>
      </c>
      <c r="S760" s="2" t="s">
        <v>3905</v>
      </c>
      <c r="T760" s="2" t="s">
        <v>98</v>
      </c>
      <c r="U760" s="2" t="s">
        <v>98</v>
      </c>
      <c r="V760" s="2" t="s">
        <v>439</v>
      </c>
      <c r="W760" s="2" t="s">
        <v>963</v>
      </c>
      <c r="X760" s="2" t="s">
        <v>98</v>
      </c>
      <c r="Y760" s="2" t="s">
        <v>366</v>
      </c>
      <c r="Z760" s="4">
        <v>39</v>
      </c>
      <c r="AA760" s="4">
        <f>=ROUNDDOWN(3.25,0)</f>
      </c>
      <c r="AB760" s="5">
        <v>12</v>
      </c>
      <c r="AC760" s="2" t="s">
        <v>1516</v>
      </c>
      <c r="AD760" s="4">
        <v>137</v>
      </c>
      <c r="AE760" s="4">
        <v>589</v>
      </c>
      <c r="AF760" s="6">
        <v>65</v>
      </c>
      <c r="AG760" s="6">
        <v>48</v>
      </c>
      <c r="AH760" s="7">
        <v>1</v>
      </c>
      <c r="AI760" s="4"/>
      <c r="AJ760" s="4">
        <f>=ROUNDDOWN({0},0)</f>
      </c>
      <c r="AK760" s="5"/>
      <c r="AL760" s="2" t="s">
        <v>98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/>
      <c r="AW760" s="8"/>
      <c r="AX760" s="4"/>
      <c r="AY760" s="8"/>
      <c r="AZ760" s="7"/>
      <c r="BA760" s="7"/>
      <c r="BB760" s="7"/>
      <c r="BC760" s="4" t="s">
        <v>98</v>
      </c>
      <c r="BD760" s="8" t="s">
        <v>98</v>
      </c>
      <c r="BE760" s="4">
        <v>4</v>
      </c>
      <c r="BF760" s="8">
        <v>840.24</v>
      </c>
      <c r="BG760" s="7" t="s">
        <v>98</v>
      </c>
      <c r="BH760" s="7" t="s">
        <v>98</v>
      </c>
      <c r="BI760" s="7"/>
      <c r="BJ760" s="4">
        <v>2</v>
      </c>
      <c r="BK760" s="8">
        <v>428.24</v>
      </c>
      <c r="BL760" s="2" t="s">
        <v>2086</v>
      </c>
      <c r="BM760" s="7"/>
      <c r="BN760" s="7"/>
      <c r="BO760" s="4"/>
      <c r="BP760" s="8"/>
      <c r="BQ760" s="4"/>
      <c r="BR760" s="8"/>
      <c r="BS760" s="7"/>
      <c r="BT760" s="7"/>
      <c r="BU760" s="2" t="s">
        <v>107</v>
      </c>
      <c r="BV760" s="2" t="s">
        <v>1355</v>
      </c>
      <c r="BW760" s="2" t="s">
        <v>1356</v>
      </c>
      <c r="BX760" s="2" t="s">
        <v>3551</v>
      </c>
      <c r="BY760" s="2" t="s">
        <v>110</v>
      </c>
      <c r="BZ760" s="2" t="s">
        <v>98</v>
      </c>
    </row>
    <row r="761">
      <c r="A761" s="2" t="s">
        <v>3906</v>
      </c>
      <c r="B761" s="2" t="s">
        <v>1345</v>
      </c>
      <c r="C761" s="2" t="s">
        <v>952</v>
      </c>
      <c r="D761" s="2" t="s">
        <v>2205</v>
      </c>
      <c r="E761" s="2" t="s">
        <v>2205</v>
      </c>
      <c r="F761" s="2" t="s">
        <v>3517</v>
      </c>
      <c r="G761" s="2" t="s">
        <v>3517</v>
      </c>
      <c r="H761" s="2" t="s">
        <v>3517</v>
      </c>
      <c r="I761" s="2" t="s">
        <v>2313</v>
      </c>
      <c r="J761" s="2" t="s">
        <v>93</v>
      </c>
      <c r="K761" s="2" t="s">
        <v>1915</v>
      </c>
      <c r="L761" s="3">
        <v>193.5</v>
      </c>
      <c r="M761" s="3">
        <v>203.18</v>
      </c>
      <c r="N761" s="3">
        <v>399</v>
      </c>
      <c r="O761" s="2" t="s">
        <v>95</v>
      </c>
      <c r="P761" s="2" t="s">
        <v>134</v>
      </c>
      <c r="Q761" s="2" t="s">
        <v>97</v>
      </c>
      <c r="R761" s="2" t="s">
        <v>98</v>
      </c>
      <c r="S761" s="2" t="s">
        <v>3642</v>
      </c>
      <c r="T761" s="2" t="s">
        <v>98</v>
      </c>
      <c r="U761" s="2" t="s">
        <v>98</v>
      </c>
      <c r="V761" s="2" t="s">
        <v>439</v>
      </c>
      <c r="W761" s="2" t="s">
        <v>968</v>
      </c>
      <c r="X761" s="2" t="s">
        <v>98</v>
      </c>
      <c r="Y761" s="2" t="s">
        <v>1953</v>
      </c>
      <c r="Z761" s="4">
        <v>161</v>
      </c>
      <c r="AA761" s="4">
        <f>=ROUNDDOWN(14.6363636363636,0)</f>
      </c>
      <c r="AB761" s="5">
        <v>11</v>
      </c>
      <c r="AC761" s="2" t="s">
        <v>222</v>
      </c>
      <c r="AD761" s="4">
        <v>114</v>
      </c>
      <c r="AE761" s="4">
        <v>157</v>
      </c>
      <c r="AF761" s="6">
        <v>65</v>
      </c>
      <c r="AG761" s="6">
        <v>48</v>
      </c>
      <c r="AH761" s="7">
        <v>1</v>
      </c>
      <c r="AI761" s="4"/>
      <c r="AJ761" s="4">
        <f>=ROUNDDOWN({0},0)</f>
      </c>
      <c r="AK761" s="5"/>
      <c r="AL761" s="2" t="s">
        <v>98</v>
      </c>
      <c r="AM761" s="4"/>
      <c r="AN761" s="4"/>
      <c r="AO761" s="7">
        <v>0</v>
      </c>
      <c r="AP761" s="4"/>
      <c r="AQ761" s="8"/>
      <c r="AR761" s="4">
        <v>4</v>
      </c>
      <c r="AS761" s="8">
        <v>840.24</v>
      </c>
      <c r="AT761" s="7">
        <v>-1</v>
      </c>
      <c r="AU761" s="7">
        <v>-1</v>
      </c>
      <c r="AV761" s="4"/>
      <c r="AW761" s="8"/>
      <c r="AX761" s="4">
        <v>4</v>
      </c>
      <c r="AY761" s="8">
        <v>840.24</v>
      </c>
      <c r="AZ761" s="7">
        <v>-1</v>
      </c>
      <c r="BA761" s="7">
        <v>-1</v>
      </c>
      <c r="BB761" s="7"/>
      <c r="BC761" s="4" t="s">
        <v>98</v>
      </c>
      <c r="BD761" s="8" t="s">
        <v>98</v>
      </c>
      <c r="BE761" s="4" t="s">
        <v>98</v>
      </c>
      <c r="BF761" s="8" t="s">
        <v>98</v>
      </c>
      <c r="BG761" s="7" t="s">
        <v>98</v>
      </c>
      <c r="BH761" s="7" t="s">
        <v>98</v>
      </c>
      <c r="BI761" s="7"/>
      <c r="BJ761" s="4">
        <v>5</v>
      </c>
      <c r="BK761" s="8">
        <v>1137.8</v>
      </c>
      <c r="BL761" s="2" t="s">
        <v>3479</v>
      </c>
      <c r="BM761" s="7"/>
      <c r="BN761" s="7"/>
      <c r="BO761" s="4"/>
      <c r="BP761" s="8"/>
      <c r="BQ761" s="4">
        <v>4</v>
      </c>
      <c r="BR761" s="8">
        <v>840.24</v>
      </c>
      <c r="BS761" s="7">
        <v>-1</v>
      </c>
      <c r="BT761" s="7">
        <v>-1</v>
      </c>
      <c r="BU761" s="2" t="s">
        <v>107</v>
      </c>
      <c r="BV761" s="2" t="s">
        <v>1355</v>
      </c>
      <c r="BW761" s="2" t="s">
        <v>1777</v>
      </c>
      <c r="BX761" s="2" t="s">
        <v>3506</v>
      </c>
      <c r="BY761" s="2" t="s">
        <v>110</v>
      </c>
      <c r="BZ761" s="2" t="s">
        <v>98</v>
      </c>
    </row>
    <row r="762">
      <c r="A762" s="2" t="s">
        <v>3907</v>
      </c>
      <c r="B762" s="2" t="s">
        <v>1345</v>
      </c>
      <c r="C762" s="2" t="s">
        <v>952</v>
      </c>
      <c r="D762" s="2" t="s">
        <v>2205</v>
      </c>
      <c r="E762" s="2" t="s">
        <v>2205</v>
      </c>
      <c r="F762" s="2" t="s">
        <v>3874</v>
      </c>
      <c r="G762" s="2" t="s">
        <v>3874</v>
      </c>
      <c r="H762" s="2" t="s">
        <v>3874</v>
      </c>
      <c r="I762" s="2" t="s">
        <v>3908</v>
      </c>
      <c r="J762" s="2" t="s">
        <v>93</v>
      </c>
      <c r="K762" s="2" t="s">
        <v>1262</v>
      </c>
      <c r="L762" s="3">
        <v>215</v>
      </c>
      <c r="M762" s="3">
        <v>225.75</v>
      </c>
      <c r="N762" s="3">
        <v>449</v>
      </c>
      <c r="O762" s="2" t="s">
        <v>95</v>
      </c>
      <c r="P762" s="2" t="s">
        <v>142</v>
      </c>
      <c r="Q762" s="2" t="s">
        <v>97</v>
      </c>
      <c r="R762" s="2" t="s">
        <v>98</v>
      </c>
      <c r="S762" s="2" t="s">
        <v>98</v>
      </c>
      <c r="T762" s="2" t="s">
        <v>98</v>
      </c>
      <c r="U762" s="2" t="s">
        <v>100</v>
      </c>
      <c r="V762" s="2" t="s">
        <v>296</v>
      </c>
      <c r="W762" s="2" t="s">
        <v>119</v>
      </c>
      <c r="X762" s="2" t="s">
        <v>102</v>
      </c>
      <c r="Y762" s="2" t="s">
        <v>3909</v>
      </c>
      <c r="Z762" s="4">
        <v>52</v>
      </c>
      <c r="AA762" s="4">
        <f>=ROUNDDOWN(8.66666666666667,0)</f>
      </c>
      <c r="AB762" s="5">
        <v>6</v>
      </c>
      <c r="AC762" s="2" t="s">
        <v>185</v>
      </c>
      <c r="AD762" s="4">
        <v>100</v>
      </c>
      <c r="AE762" s="4">
        <v>100</v>
      </c>
      <c r="AF762" s="6">
        <v>74</v>
      </c>
      <c r="AG762" s="6"/>
      <c r="AH762" s="7">
        <v>1</v>
      </c>
      <c r="AI762" s="4"/>
      <c r="AJ762" s="4">
        <f>=ROUNDDOWN({0},0)</f>
      </c>
      <c r="AK762" s="5"/>
      <c r="AL762" s="2" t="s">
        <v>98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/>
      <c r="AW762" s="8"/>
      <c r="AX762" s="4"/>
      <c r="AY762" s="8"/>
      <c r="AZ762" s="7"/>
      <c r="BA762" s="7"/>
      <c r="BB762" s="7"/>
      <c r="BC762" s="4"/>
      <c r="BD762" s="8"/>
      <c r="BE762" s="4"/>
      <c r="BF762" s="8"/>
      <c r="BG762" s="7"/>
      <c r="BH762" s="7"/>
      <c r="BI762" s="7"/>
      <c r="BJ762" s="4"/>
      <c r="BK762" s="8"/>
      <c r="BL762" s="2" t="s">
        <v>98</v>
      </c>
      <c r="BM762" s="7"/>
      <c r="BN762" s="7"/>
      <c r="BO762" s="4"/>
      <c r="BP762" s="8"/>
      <c r="BQ762" s="4"/>
      <c r="BR762" s="8"/>
      <c r="BS762" s="7"/>
      <c r="BT762" s="7"/>
      <c r="BU762" s="2" t="s">
        <v>1376</v>
      </c>
      <c r="BV762" s="2" t="s">
        <v>95</v>
      </c>
      <c r="BW762" s="2" t="s">
        <v>98</v>
      </c>
      <c r="BX762" s="2" t="s">
        <v>98</v>
      </c>
      <c r="BY762" s="2" t="s">
        <v>110</v>
      </c>
      <c r="BZ762" s="2" t="s">
        <v>98</v>
      </c>
    </row>
    <row r="763">
      <c r="A763" s="2" t="s">
        <v>3910</v>
      </c>
      <c r="B763" s="2" t="s">
        <v>1345</v>
      </c>
      <c r="C763" s="2" t="s">
        <v>952</v>
      </c>
      <c r="D763" s="2" t="s">
        <v>2205</v>
      </c>
      <c r="E763" s="2" t="s">
        <v>2205</v>
      </c>
      <c r="F763" s="2" t="s">
        <v>3465</v>
      </c>
      <c r="G763" s="2" t="s">
        <v>3465</v>
      </c>
      <c r="H763" s="2" t="s">
        <v>3465</v>
      </c>
      <c r="I763" s="2" t="s">
        <v>3911</v>
      </c>
      <c r="J763" s="2" t="s">
        <v>93</v>
      </c>
      <c r="K763" s="2" t="s">
        <v>1052</v>
      </c>
      <c r="L763" s="3">
        <v>203</v>
      </c>
      <c r="M763" s="3">
        <v>213.15</v>
      </c>
      <c r="N763" s="3">
        <v>429</v>
      </c>
      <c r="O763" s="2" t="s">
        <v>95</v>
      </c>
      <c r="P763" s="2" t="s">
        <v>134</v>
      </c>
      <c r="Q763" s="2" t="s">
        <v>97</v>
      </c>
      <c r="R763" s="2" t="s">
        <v>98</v>
      </c>
      <c r="S763" s="2" t="s">
        <v>98</v>
      </c>
      <c r="T763" s="2" t="s">
        <v>98</v>
      </c>
      <c r="U763" s="2" t="s">
        <v>100</v>
      </c>
      <c r="V763" s="2" t="s">
        <v>296</v>
      </c>
      <c r="W763" s="2" t="s">
        <v>119</v>
      </c>
      <c r="X763" s="2" t="s">
        <v>102</v>
      </c>
      <c r="Y763" s="2" t="s">
        <v>2039</v>
      </c>
      <c r="Z763" s="4">
        <v>145</v>
      </c>
      <c r="AA763" s="4">
        <f>=ROUNDDOWN(18.125,0)</f>
      </c>
      <c r="AB763" s="5">
        <v>8</v>
      </c>
      <c r="AC763" s="2" t="s">
        <v>1457</v>
      </c>
      <c r="AD763" s="4">
        <v>150</v>
      </c>
      <c r="AE763" s="4">
        <v>250</v>
      </c>
      <c r="AF763" s="6">
        <v>65</v>
      </c>
      <c r="AG763" s="6">
        <v>48</v>
      </c>
      <c r="AH763" s="7">
        <v>1</v>
      </c>
      <c r="AI763" s="4"/>
      <c r="AJ763" s="4">
        <f>=ROUNDDOWN({0},0)</f>
      </c>
      <c r="AK763" s="5"/>
      <c r="AL763" s="2" t="s">
        <v>98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/>
      <c r="AW763" s="8"/>
      <c r="AX763" s="4"/>
      <c r="AY763" s="8"/>
      <c r="AZ763" s="7"/>
      <c r="BA763" s="7"/>
      <c r="BB763" s="7"/>
      <c r="BC763" s="4" t="s">
        <v>98</v>
      </c>
      <c r="BD763" s="8" t="s">
        <v>98</v>
      </c>
      <c r="BE763" s="4">
        <v>3</v>
      </c>
      <c r="BF763" s="8">
        <v>552.66</v>
      </c>
      <c r="BG763" s="7" t="s">
        <v>98</v>
      </c>
      <c r="BH763" s="7" t="s">
        <v>98</v>
      </c>
      <c r="BI763" s="7"/>
      <c r="BJ763" s="4">
        <v>5</v>
      </c>
      <c r="BK763" s="8">
        <v>1054.57</v>
      </c>
      <c r="BL763" s="2" t="s">
        <v>2959</v>
      </c>
      <c r="BM763" s="7"/>
      <c r="BN763" s="7"/>
      <c r="BO763" s="4"/>
      <c r="BP763" s="8"/>
      <c r="BQ763" s="4"/>
      <c r="BR763" s="8"/>
      <c r="BS763" s="7"/>
      <c r="BT763" s="7"/>
      <c r="BU763" s="2" t="s">
        <v>1376</v>
      </c>
      <c r="BV763" s="2" t="s">
        <v>95</v>
      </c>
      <c r="BW763" s="2" t="s">
        <v>98</v>
      </c>
      <c r="BX763" s="2" t="s">
        <v>98</v>
      </c>
      <c r="BY763" s="2" t="s">
        <v>110</v>
      </c>
      <c r="BZ763" s="2" t="s">
        <v>98</v>
      </c>
    </row>
    <row r="764">
      <c r="A764" s="2" t="s">
        <v>3912</v>
      </c>
      <c r="B764" s="2" t="s">
        <v>1345</v>
      </c>
      <c r="C764" s="2" t="s">
        <v>952</v>
      </c>
      <c r="D764" s="2" t="s">
        <v>2205</v>
      </c>
      <c r="E764" s="2" t="s">
        <v>2205</v>
      </c>
      <c r="F764" s="2" t="s">
        <v>3465</v>
      </c>
      <c r="G764" s="2" t="s">
        <v>3465</v>
      </c>
      <c r="H764" s="2" t="s">
        <v>3465</v>
      </c>
      <c r="I764" s="2" t="s">
        <v>3911</v>
      </c>
      <c r="J764" s="2" t="s">
        <v>93</v>
      </c>
      <c r="K764" s="2" t="s">
        <v>3466</v>
      </c>
      <c r="L764" s="3">
        <v>203</v>
      </c>
      <c r="M764" s="3">
        <v>213.15</v>
      </c>
      <c r="N764" s="3">
        <v>429</v>
      </c>
      <c r="O764" s="2" t="s">
        <v>95</v>
      </c>
      <c r="P764" s="2" t="s">
        <v>163</v>
      </c>
      <c r="Q764" s="2" t="s">
        <v>97</v>
      </c>
      <c r="R764" s="2" t="s">
        <v>98</v>
      </c>
      <c r="S764" s="2" t="s">
        <v>98</v>
      </c>
      <c r="T764" s="2" t="s">
        <v>98</v>
      </c>
      <c r="U764" s="2" t="s">
        <v>100</v>
      </c>
      <c r="V764" s="2" t="s">
        <v>439</v>
      </c>
      <c r="W764" s="2" t="s">
        <v>119</v>
      </c>
      <c r="X764" s="2" t="s">
        <v>98</v>
      </c>
      <c r="Y764" s="2" t="s">
        <v>1458</v>
      </c>
      <c r="Z764" s="4">
        <v>138</v>
      </c>
      <c r="AA764" s="4">
        <f>=ROUNDDOWN(13.0188679245283,0)</f>
      </c>
      <c r="AB764" s="5">
        <v>10.6</v>
      </c>
      <c r="AC764" s="2" t="s">
        <v>167</v>
      </c>
      <c r="AD764" s="4">
        <v>84</v>
      </c>
      <c r="AE764" s="4">
        <v>1334</v>
      </c>
      <c r="AF764" s="6">
        <v>65</v>
      </c>
      <c r="AG764" s="6">
        <v>48</v>
      </c>
      <c r="AH764" s="7">
        <v>1</v>
      </c>
      <c r="AI764" s="4"/>
      <c r="AJ764" s="4">
        <f>=ROUNDDOWN({0},0)</f>
      </c>
      <c r="AK764" s="5"/>
      <c r="AL764" s="2" t="s">
        <v>98</v>
      </c>
      <c r="AM764" s="4"/>
      <c r="AN764" s="4"/>
      <c r="AO764" s="7">
        <v>0</v>
      </c>
      <c r="AP764" s="4"/>
      <c r="AQ764" s="8"/>
      <c r="AR764" s="4">
        <v>3</v>
      </c>
      <c r="AS764" s="8">
        <v>552.66</v>
      </c>
      <c r="AT764" s="7">
        <v>-1</v>
      </c>
      <c r="AU764" s="7">
        <v>-1</v>
      </c>
      <c r="AV764" s="4"/>
      <c r="AW764" s="8"/>
      <c r="AX764" s="4">
        <v>3</v>
      </c>
      <c r="AY764" s="8">
        <v>552.66</v>
      </c>
      <c r="AZ764" s="7">
        <v>-1</v>
      </c>
      <c r="BA764" s="7">
        <v>-1</v>
      </c>
      <c r="BB764" s="7"/>
      <c r="BC764" s="4" t="s">
        <v>98</v>
      </c>
      <c r="BD764" s="8" t="s">
        <v>98</v>
      </c>
      <c r="BE764" s="4" t="s">
        <v>98</v>
      </c>
      <c r="BF764" s="8" t="s">
        <v>98</v>
      </c>
      <c r="BG764" s="7" t="s">
        <v>98</v>
      </c>
      <c r="BH764" s="7" t="s">
        <v>98</v>
      </c>
      <c r="BI764" s="7"/>
      <c r="BJ764" s="4">
        <v>17</v>
      </c>
      <c r="BK764" s="8">
        <v>3457.42</v>
      </c>
      <c r="BL764" s="2" t="s">
        <v>3913</v>
      </c>
      <c r="BM764" s="7"/>
      <c r="BN764" s="7"/>
      <c r="BO764" s="4"/>
      <c r="BP764" s="8"/>
      <c r="BQ764" s="4">
        <v>3</v>
      </c>
      <c r="BR764" s="8">
        <v>552.66</v>
      </c>
      <c r="BS764" s="7">
        <v>-1</v>
      </c>
      <c r="BT764" s="7">
        <v>-1</v>
      </c>
      <c r="BU764" s="2" t="s">
        <v>107</v>
      </c>
      <c r="BV764" s="2" t="s">
        <v>1355</v>
      </c>
      <c r="BW764" s="2" t="s">
        <v>1388</v>
      </c>
      <c r="BX764" s="2" t="s">
        <v>98</v>
      </c>
      <c r="BY764" s="2" t="s">
        <v>110</v>
      </c>
      <c r="BZ764" s="2" t="s">
        <v>98</v>
      </c>
    </row>
    <row r="765">
      <c r="A765" s="2" t="s">
        <v>3914</v>
      </c>
      <c r="B765" s="2" t="s">
        <v>1345</v>
      </c>
      <c r="C765" s="2" t="s">
        <v>952</v>
      </c>
      <c r="D765" s="2" t="s">
        <v>2205</v>
      </c>
      <c r="E765" s="2" t="s">
        <v>2205</v>
      </c>
      <c r="F765" s="2" t="s">
        <v>3915</v>
      </c>
      <c r="G765" s="2" t="s">
        <v>3915</v>
      </c>
      <c r="H765" s="2" t="s">
        <v>3915</v>
      </c>
      <c r="I765" s="2" t="s">
        <v>3916</v>
      </c>
      <c r="J765" s="2" t="s">
        <v>93</v>
      </c>
      <c r="K765" s="2" t="s">
        <v>2139</v>
      </c>
      <c r="L765" s="3">
        <v>190</v>
      </c>
      <c r="M765" s="3">
        <v>199.5</v>
      </c>
      <c r="N765" s="3">
        <v>399</v>
      </c>
      <c r="O765" s="2" t="s">
        <v>95</v>
      </c>
      <c r="P765" s="2" t="s">
        <v>142</v>
      </c>
      <c r="Q765" s="2" t="s">
        <v>97</v>
      </c>
      <c r="R765" s="2" t="s">
        <v>98</v>
      </c>
      <c r="S765" s="2" t="s">
        <v>98</v>
      </c>
      <c r="T765" s="2" t="s">
        <v>98</v>
      </c>
      <c r="U765" s="2" t="s">
        <v>100</v>
      </c>
      <c r="V765" s="2" t="s">
        <v>439</v>
      </c>
      <c r="W765" s="2" t="s">
        <v>102</v>
      </c>
      <c r="X765" s="2" t="s">
        <v>963</v>
      </c>
      <c r="Y765" s="2" t="s">
        <v>3917</v>
      </c>
      <c r="Z765" s="4">
        <v>38</v>
      </c>
      <c r="AA765" s="4">
        <f>=ROUNDDOWN(38,0)</f>
      </c>
      <c r="AB765" s="5">
        <v>1</v>
      </c>
      <c r="AC765" s="2" t="s">
        <v>1470</v>
      </c>
      <c r="AD765" s="4">
        <v>100</v>
      </c>
      <c r="AE765" s="4">
        <v>100</v>
      </c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98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/>
      <c r="AW765" s="8"/>
      <c r="AX765" s="4"/>
      <c r="AY765" s="8"/>
      <c r="AZ765" s="7"/>
      <c r="BA765" s="7"/>
      <c r="BB765" s="7"/>
      <c r="BC765" s="4"/>
      <c r="BD765" s="8"/>
      <c r="BE765" s="4"/>
      <c r="BF765" s="8"/>
      <c r="BG765" s="7"/>
      <c r="BH765" s="7"/>
      <c r="BI765" s="7"/>
      <c r="BJ765" s="4">
        <v>1</v>
      </c>
      <c r="BK765" s="8">
        <v>205.49</v>
      </c>
      <c r="BL765" s="2" t="s">
        <v>895</v>
      </c>
      <c r="BM765" s="7"/>
      <c r="BN765" s="7"/>
      <c r="BO765" s="4"/>
      <c r="BP765" s="8"/>
      <c r="BQ765" s="4"/>
      <c r="BR765" s="8"/>
      <c r="BS765" s="7"/>
      <c r="BT765" s="7"/>
      <c r="BU765" s="2" t="s">
        <v>1376</v>
      </c>
      <c r="BV765" s="2" t="s">
        <v>95</v>
      </c>
      <c r="BW765" s="2" t="s">
        <v>98</v>
      </c>
      <c r="BX765" s="2" t="s">
        <v>98</v>
      </c>
      <c r="BY765" s="2" t="s">
        <v>110</v>
      </c>
      <c r="BZ765" s="2" t="s">
        <v>98</v>
      </c>
    </row>
    <row r="766">
      <c r="A766" s="2" t="s">
        <v>3918</v>
      </c>
      <c r="B766" s="2" t="s">
        <v>1345</v>
      </c>
      <c r="C766" s="2" t="s">
        <v>952</v>
      </c>
      <c r="D766" s="2" t="s">
        <v>2205</v>
      </c>
      <c r="E766" s="2" t="s">
        <v>2205</v>
      </c>
      <c r="F766" s="2" t="s">
        <v>3919</v>
      </c>
      <c r="G766" s="2" t="s">
        <v>3919</v>
      </c>
      <c r="H766" s="2" t="s">
        <v>3919</v>
      </c>
      <c r="I766" s="2" t="s">
        <v>2318</v>
      </c>
      <c r="J766" s="2" t="s">
        <v>93</v>
      </c>
      <c r="K766" s="2" t="s">
        <v>1727</v>
      </c>
      <c r="L766" s="3">
        <v>166.25</v>
      </c>
      <c r="M766" s="3">
        <v>174.56</v>
      </c>
      <c r="N766" s="3">
        <v>349</v>
      </c>
      <c r="O766" s="2" t="s">
        <v>95</v>
      </c>
      <c r="P766" s="2" t="s">
        <v>115</v>
      </c>
      <c r="Q766" s="2" t="s">
        <v>97</v>
      </c>
      <c r="R766" s="2" t="s">
        <v>98</v>
      </c>
      <c r="S766" s="2" t="s">
        <v>98</v>
      </c>
      <c r="T766" s="2" t="s">
        <v>98</v>
      </c>
      <c r="U766" s="2" t="s">
        <v>100</v>
      </c>
      <c r="V766" s="2" t="s">
        <v>296</v>
      </c>
      <c r="W766" s="2" t="s">
        <v>103</v>
      </c>
      <c r="X766" s="2" t="s">
        <v>98</v>
      </c>
      <c r="Y766" s="2" t="s">
        <v>1886</v>
      </c>
      <c r="Z766" s="4">
        <v>23</v>
      </c>
      <c r="AA766" s="4">
        <f>=ROUNDDOWN(9.2,0)</f>
      </c>
      <c r="AB766" s="5">
        <v>2.5</v>
      </c>
      <c r="AC766" s="2" t="s">
        <v>98</v>
      </c>
      <c r="AD766" s="4"/>
      <c r="AE766" s="4"/>
      <c r="AF766" s="6">
        <v>67</v>
      </c>
      <c r="AG766" s="6"/>
      <c r="AH766" s="7">
        <v>1</v>
      </c>
      <c r="AI766" s="4"/>
      <c r="AJ766" s="4">
        <f>=ROUNDDOWN({0},0)</f>
      </c>
      <c r="AK766" s="5"/>
      <c r="AL766" s="2" t="s">
        <v>98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/>
      <c r="AW766" s="8"/>
      <c r="AX766" s="4"/>
      <c r="AY766" s="8"/>
      <c r="AZ766" s="7"/>
      <c r="BA766" s="7"/>
      <c r="BB766" s="7"/>
      <c r="BC766" s="4"/>
      <c r="BD766" s="8"/>
      <c r="BE766" s="4"/>
      <c r="BF766" s="8"/>
      <c r="BG766" s="7"/>
      <c r="BH766" s="7"/>
      <c r="BI766" s="7"/>
      <c r="BJ766" s="4">
        <v>2</v>
      </c>
      <c r="BK766" s="8">
        <v>353.3</v>
      </c>
      <c r="BL766" s="2" t="s">
        <v>269</v>
      </c>
      <c r="BM766" s="7"/>
      <c r="BN766" s="7"/>
      <c r="BO766" s="4"/>
      <c r="BP766" s="8"/>
      <c r="BQ766" s="4"/>
      <c r="BR766" s="8"/>
      <c r="BS766" s="7"/>
      <c r="BT766" s="7"/>
      <c r="BU766" s="2" t="s">
        <v>1376</v>
      </c>
      <c r="BV766" s="2" t="s">
        <v>95</v>
      </c>
      <c r="BW766" s="2" t="s">
        <v>98</v>
      </c>
      <c r="BX766" s="2" t="s">
        <v>98</v>
      </c>
      <c r="BY766" s="2" t="s">
        <v>110</v>
      </c>
      <c r="BZ766" s="2" t="s">
        <v>98</v>
      </c>
    </row>
    <row r="767">
      <c r="A767" s="2" t="s">
        <v>3920</v>
      </c>
      <c r="B767" s="2" t="s">
        <v>1345</v>
      </c>
      <c r="C767" s="2" t="s">
        <v>952</v>
      </c>
      <c r="D767" s="2" t="s">
        <v>2205</v>
      </c>
      <c r="E767" s="2" t="s">
        <v>2205</v>
      </c>
      <c r="F767" s="2" t="s">
        <v>3896</v>
      </c>
      <c r="G767" s="2" t="s">
        <v>3896</v>
      </c>
      <c r="H767" s="2" t="s">
        <v>3896</v>
      </c>
      <c r="I767" s="2" t="s">
        <v>2290</v>
      </c>
      <c r="J767" s="2" t="s">
        <v>93</v>
      </c>
      <c r="K767" s="2" t="s">
        <v>1439</v>
      </c>
      <c r="L767" s="3">
        <v>209</v>
      </c>
      <c r="M767" s="3">
        <v>219.45</v>
      </c>
      <c r="N767" s="3">
        <v>459</v>
      </c>
      <c r="O767" s="2" t="s">
        <v>95</v>
      </c>
      <c r="P767" s="2" t="s">
        <v>163</v>
      </c>
      <c r="Q767" s="2" t="s">
        <v>97</v>
      </c>
      <c r="R767" s="2" t="s">
        <v>98</v>
      </c>
      <c r="S767" s="2" t="s">
        <v>98</v>
      </c>
      <c r="T767" s="2" t="s">
        <v>98</v>
      </c>
      <c r="U767" s="2" t="s">
        <v>100</v>
      </c>
      <c r="V767" s="2" t="s">
        <v>439</v>
      </c>
      <c r="W767" s="2" t="s">
        <v>119</v>
      </c>
      <c r="X767" s="2" t="s">
        <v>98</v>
      </c>
      <c r="Y767" s="2" t="s">
        <v>970</v>
      </c>
      <c r="Z767" s="4">
        <v>339</v>
      </c>
      <c r="AA767" s="4">
        <f>=ROUNDDOWN(9.68571428571429,0)</f>
      </c>
      <c r="AB767" s="5">
        <v>35</v>
      </c>
      <c r="AC767" s="2" t="s">
        <v>1516</v>
      </c>
      <c r="AD767" s="4">
        <v>460</v>
      </c>
      <c r="AE767" s="4">
        <v>915</v>
      </c>
      <c r="AF767" s="6">
        <v>65</v>
      </c>
      <c r="AG767" s="6">
        <v>48</v>
      </c>
      <c r="AH767" s="7">
        <v>1</v>
      </c>
      <c r="AI767" s="4"/>
      <c r="AJ767" s="4">
        <f>=ROUNDDOWN({0},0)</f>
      </c>
      <c r="AK767" s="5"/>
      <c r="AL767" s="2" t="s">
        <v>98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/>
      <c r="AW767" s="8"/>
      <c r="AX767" s="4"/>
      <c r="AY767" s="8"/>
      <c r="AZ767" s="7"/>
      <c r="BA767" s="7"/>
      <c r="BB767" s="7"/>
      <c r="BC767" s="4" t="s">
        <v>98</v>
      </c>
      <c r="BD767" s="8" t="s">
        <v>98</v>
      </c>
      <c r="BE767" s="4" t="s">
        <v>98</v>
      </c>
      <c r="BF767" s="8" t="s">
        <v>98</v>
      </c>
      <c r="BG767" s="7" t="s">
        <v>98</v>
      </c>
      <c r="BH767" s="7" t="s">
        <v>98</v>
      </c>
      <c r="BI767" s="7"/>
      <c r="BJ767" s="4">
        <v>66</v>
      </c>
      <c r="BK767" s="8">
        <v>13518.41</v>
      </c>
      <c r="BL767" s="2" t="s">
        <v>3921</v>
      </c>
      <c r="BM767" s="7"/>
      <c r="BN767" s="7"/>
      <c r="BO767" s="4"/>
      <c r="BP767" s="8"/>
      <c r="BQ767" s="4"/>
      <c r="BR767" s="8"/>
      <c r="BS767" s="7"/>
      <c r="BT767" s="7"/>
      <c r="BU767" s="2" t="s">
        <v>107</v>
      </c>
      <c r="BV767" s="2" t="s">
        <v>1355</v>
      </c>
      <c r="BW767" s="2" t="s">
        <v>1388</v>
      </c>
      <c r="BX767" s="2" t="s">
        <v>3922</v>
      </c>
      <c r="BY767" s="2" t="s">
        <v>110</v>
      </c>
      <c r="BZ767" s="2" t="s">
        <v>98</v>
      </c>
    </row>
    <row r="768">
      <c r="A768" s="2" t="s">
        <v>3923</v>
      </c>
      <c r="B768" s="2" t="s">
        <v>1345</v>
      </c>
      <c r="C768" s="2" t="s">
        <v>952</v>
      </c>
      <c r="D768" s="2" t="s">
        <v>2205</v>
      </c>
      <c r="E768" s="2" t="s">
        <v>2205</v>
      </c>
      <c r="F768" s="2" t="s">
        <v>3896</v>
      </c>
      <c r="G768" s="2" t="s">
        <v>3896</v>
      </c>
      <c r="H768" s="2" t="s">
        <v>3896</v>
      </c>
      <c r="I768" s="2" t="s">
        <v>2290</v>
      </c>
      <c r="J768" s="2" t="s">
        <v>93</v>
      </c>
      <c r="K768" s="2" t="s">
        <v>357</v>
      </c>
      <c r="L768" s="3">
        <v>209</v>
      </c>
      <c r="M768" s="3">
        <v>219.45</v>
      </c>
      <c r="N768" s="3">
        <v>459</v>
      </c>
      <c r="O768" s="2" t="s">
        <v>95</v>
      </c>
      <c r="P768" s="2" t="s">
        <v>134</v>
      </c>
      <c r="Q768" s="2" t="s">
        <v>97</v>
      </c>
      <c r="R768" s="2" t="s">
        <v>98</v>
      </c>
      <c r="S768" s="2" t="s">
        <v>98</v>
      </c>
      <c r="T768" s="2" t="s">
        <v>98</v>
      </c>
      <c r="U768" s="2" t="s">
        <v>100</v>
      </c>
      <c r="V768" s="2" t="s">
        <v>439</v>
      </c>
      <c r="W768" s="2" t="s">
        <v>119</v>
      </c>
      <c r="X768" s="2" t="s">
        <v>98</v>
      </c>
      <c r="Y768" s="2" t="s">
        <v>3924</v>
      </c>
      <c r="Z768" s="4">
        <v>123</v>
      </c>
      <c r="AA768" s="4">
        <f>=ROUNDDOWN(9.46153846153846,0)</f>
      </c>
      <c r="AB768" s="5">
        <v>13</v>
      </c>
      <c r="AC768" s="2" t="s">
        <v>1516</v>
      </c>
      <c r="AD768" s="4">
        <v>100</v>
      </c>
      <c r="AE768" s="4">
        <v>230</v>
      </c>
      <c r="AF768" s="6">
        <v>65</v>
      </c>
      <c r="AG768" s="6">
        <v>48</v>
      </c>
      <c r="AH768" s="7">
        <v>1</v>
      </c>
      <c r="AI768" s="4"/>
      <c r="AJ768" s="4">
        <f>=ROUNDDOWN({0},0)</f>
      </c>
      <c r="AK768" s="5"/>
      <c r="AL768" s="2" t="s">
        <v>98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/>
      <c r="AW768" s="8"/>
      <c r="AX768" s="4"/>
      <c r="AY768" s="8"/>
      <c r="AZ768" s="7"/>
      <c r="BA768" s="7"/>
      <c r="BB768" s="7"/>
      <c r="BC768" s="4" t="s">
        <v>98</v>
      </c>
      <c r="BD768" s="8" t="s">
        <v>98</v>
      </c>
      <c r="BE768" s="4" t="s">
        <v>98</v>
      </c>
      <c r="BF768" s="8" t="s">
        <v>98</v>
      </c>
      <c r="BG768" s="7" t="s">
        <v>98</v>
      </c>
      <c r="BH768" s="7" t="s">
        <v>98</v>
      </c>
      <c r="BI768" s="7"/>
      <c r="BJ768" s="4">
        <v>6</v>
      </c>
      <c r="BK768" s="8">
        <v>1365.22</v>
      </c>
      <c r="BL768" s="2" t="s">
        <v>1583</v>
      </c>
      <c r="BM768" s="7"/>
      <c r="BN768" s="7"/>
      <c r="BO768" s="4"/>
      <c r="BP768" s="8"/>
      <c r="BQ768" s="4"/>
      <c r="BR768" s="8"/>
      <c r="BS768" s="7"/>
      <c r="BT768" s="7"/>
      <c r="BU768" s="2" t="s">
        <v>1376</v>
      </c>
      <c r="BV768" s="2" t="s">
        <v>95</v>
      </c>
      <c r="BW768" s="2" t="s">
        <v>98</v>
      </c>
      <c r="BX768" s="2" t="s">
        <v>98</v>
      </c>
      <c r="BY768" s="2" t="s">
        <v>110</v>
      </c>
      <c r="BZ768" s="2" t="s">
        <v>98</v>
      </c>
    </row>
    <row r="769">
      <c r="A769" s="2" t="s">
        <v>3925</v>
      </c>
      <c r="B769" s="2" t="s">
        <v>1345</v>
      </c>
      <c r="C769" s="2" t="s">
        <v>952</v>
      </c>
      <c r="D769" s="2" t="s">
        <v>2205</v>
      </c>
      <c r="E769" s="2" t="s">
        <v>2205</v>
      </c>
      <c r="F769" s="2" t="s">
        <v>3926</v>
      </c>
      <c r="G769" s="2" t="s">
        <v>3926</v>
      </c>
      <c r="H769" s="2" t="s">
        <v>3926</v>
      </c>
      <c r="I769" s="2" t="s">
        <v>3927</v>
      </c>
      <c r="J769" s="2" t="s">
        <v>93</v>
      </c>
      <c r="K769" s="2" t="s">
        <v>3928</v>
      </c>
      <c r="L769" s="3">
        <v>162</v>
      </c>
      <c r="M769" s="3">
        <v>170.1</v>
      </c>
      <c r="N769" s="3">
        <v>349</v>
      </c>
      <c r="O769" s="2" t="s">
        <v>95</v>
      </c>
      <c r="P769" s="2" t="s">
        <v>134</v>
      </c>
      <c r="Q769" s="2" t="s">
        <v>97</v>
      </c>
      <c r="R769" s="2" t="s">
        <v>98</v>
      </c>
      <c r="S769" s="2" t="s">
        <v>98</v>
      </c>
      <c r="T769" s="2" t="s">
        <v>98</v>
      </c>
      <c r="U769" s="2" t="s">
        <v>98</v>
      </c>
      <c r="V769" s="2" t="s">
        <v>296</v>
      </c>
      <c r="W769" s="2" t="s">
        <v>968</v>
      </c>
      <c r="X769" s="2" t="s">
        <v>103</v>
      </c>
      <c r="Y769" s="2" t="s">
        <v>3929</v>
      </c>
      <c r="Z769" s="4">
        <v>131</v>
      </c>
      <c r="AA769" s="4">
        <f>=ROUNDDOWN(9.35714285714286,0)</f>
      </c>
      <c r="AB769" s="5">
        <v>14</v>
      </c>
      <c r="AC769" s="2" t="s">
        <v>2449</v>
      </c>
      <c r="AD769" s="4">
        <v>298</v>
      </c>
      <c r="AE769" s="4">
        <v>300</v>
      </c>
      <c r="AF769" s="6">
        <v>74</v>
      </c>
      <c r="AG769" s="6">
        <v>60</v>
      </c>
      <c r="AH769" s="7">
        <v>1</v>
      </c>
      <c r="AI769" s="4"/>
      <c r="AJ769" s="4">
        <f>=ROUNDDOWN({0},0)</f>
      </c>
      <c r="AK769" s="5"/>
      <c r="AL769" s="2" t="s">
        <v>98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/>
      <c r="AW769" s="8"/>
      <c r="AX769" s="4"/>
      <c r="AY769" s="8"/>
      <c r="AZ769" s="7"/>
      <c r="BA769" s="7"/>
      <c r="BB769" s="7"/>
      <c r="BC769" s="4" t="s">
        <v>98</v>
      </c>
      <c r="BD769" s="8" t="s">
        <v>98</v>
      </c>
      <c r="BE769" s="4" t="s">
        <v>98</v>
      </c>
      <c r="BF769" s="8" t="s">
        <v>98</v>
      </c>
      <c r="BG769" s="7" t="s">
        <v>98</v>
      </c>
      <c r="BH769" s="7" t="s">
        <v>98</v>
      </c>
      <c r="BI769" s="7"/>
      <c r="BJ769" s="4">
        <v>5</v>
      </c>
      <c r="BK769" s="8">
        <v>991.6</v>
      </c>
      <c r="BL769" s="2" t="s">
        <v>3930</v>
      </c>
      <c r="BM769" s="7"/>
      <c r="BN769" s="7"/>
      <c r="BO769" s="4"/>
      <c r="BP769" s="8"/>
      <c r="BQ769" s="4"/>
      <c r="BR769" s="8"/>
      <c r="BS769" s="7"/>
      <c r="BT769" s="7"/>
      <c r="BU769" s="2" t="s">
        <v>1376</v>
      </c>
      <c r="BV769" s="2" t="s">
        <v>95</v>
      </c>
      <c r="BW769" s="2" t="s">
        <v>98</v>
      </c>
      <c r="BX769" s="2" t="s">
        <v>98</v>
      </c>
      <c r="BY769" s="2" t="s">
        <v>110</v>
      </c>
      <c r="BZ769" s="2" t="s">
        <v>98</v>
      </c>
    </row>
    <row r="770">
      <c r="A770" s="2" t="s">
        <v>3931</v>
      </c>
      <c r="B770" s="2" t="s">
        <v>1345</v>
      </c>
      <c r="C770" s="2" t="s">
        <v>952</v>
      </c>
      <c r="D770" s="2" t="s">
        <v>2205</v>
      </c>
      <c r="E770" s="2" t="s">
        <v>2205</v>
      </c>
      <c r="F770" s="2" t="s">
        <v>3926</v>
      </c>
      <c r="G770" s="2" t="s">
        <v>3926</v>
      </c>
      <c r="H770" s="2" t="s">
        <v>3926</v>
      </c>
      <c r="I770" s="2" t="s">
        <v>3932</v>
      </c>
      <c r="J770" s="2" t="s">
        <v>93</v>
      </c>
      <c r="K770" s="2" t="s">
        <v>937</v>
      </c>
      <c r="L770" s="3">
        <v>162</v>
      </c>
      <c r="M770" s="3">
        <v>170.1</v>
      </c>
      <c r="N770" s="3">
        <v>349</v>
      </c>
      <c r="O770" s="2" t="s">
        <v>95</v>
      </c>
      <c r="P770" s="2" t="s">
        <v>134</v>
      </c>
      <c r="Q770" s="2" t="s">
        <v>97</v>
      </c>
      <c r="R770" s="2" t="s">
        <v>98</v>
      </c>
      <c r="S770" s="2" t="s">
        <v>98</v>
      </c>
      <c r="T770" s="2" t="s">
        <v>98</v>
      </c>
      <c r="U770" s="2" t="s">
        <v>98</v>
      </c>
      <c r="V770" s="2" t="s">
        <v>439</v>
      </c>
      <c r="W770" s="2" t="s">
        <v>968</v>
      </c>
      <c r="X770" s="2" t="s">
        <v>98</v>
      </c>
      <c r="Y770" s="2" t="s">
        <v>3505</v>
      </c>
      <c r="Z770" s="4">
        <v>101</v>
      </c>
      <c r="AA770" s="4">
        <f>=ROUNDDOWN(5.05,0)</f>
      </c>
      <c r="AB770" s="5">
        <v>20</v>
      </c>
      <c r="AC770" s="2" t="s">
        <v>1353</v>
      </c>
      <c r="AD770" s="4">
        <v>93</v>
      </c>
      <c r="AE770" s="4">
        <v>519</v>
      </c>
      <c r="AF770" s="6">
        <v>74</v>
      </c>
      <c r="AG770" s="6">
        <v>60</v>
      </c>
      <c r="AH770" s="7">
        <v>1</v>
      </c>
      <c r="AI770" s="4"/>
      <c r="AJ770" s="4">
        <f>=ROUNDDOWN({0},0)</f>
      </c>
      <c r="AK770" s="5"/>
      <c r="AL770" s="2" t="s">
        <v>98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/>
      <c r="AW770" s="8"/>
      <c r="AX770" s="4"/>
      <c r="AY770" s="8"/>
      <c r="AZ770" s="7"/>
      <c r="BA770" s="7"/>
      <c r="BB770" s="7"/>
      <c r="BC770" s="4" t="s">
        <v>98</v>
      </c>
      <c r="BD770" s="8" t="s">
        <v>98</v>
      </c>
      <c r="BE770" s="4" t="s">
        <v>98</v>
      </c>
      <c r="BF770" s="8" t="s">
        <v>98</v>
      </c>
      <c r="BG770" s="7" t="s">
        <v>98</v>
      </c>
      <c r="BH770" s="7" t="s">
        <v>98</v>
      </c>
      <c r="BI770" s="7"/>
      <c r="BJ770" s="4">
        <v>5</v>
      </c>
      <c r="BK770" s="8">
        <v>804.17</v>
      </c>
      <c r="BL770" s="2" t="s">
        <v>3321</v>
      </c>
      <c r="BM770" s="7"/>
      <c r="BN770" s="7"/>
      <c r="BO770" s="4"/>
      <c r="BP770" s="8"/>
      <c r="BQ770" s="4"/>
      <c r="BR770" s="8"/>
      <c r="BS770" s="7"/>
      <c r="BT770" s="7"/>
      <c r="BU770" s="2" t="s">
        <v>107</v>
      </c>
      <c r="BV770" s="2" t="s">
        <v>1355</v>
      </c>
      <c r="BW770" s="2" t="s">
        <v>1550</v>
      </c>
      <c r="BX770" s="2" t="s">
        <v>3933</v>
      </c>
      <c r="BY770" s="2" t="s">
        <v>110</v>
      </c>
      <c r="BZ770" s="2" t="s">
        <v>98</v>
      </c>
    </row>
    <row r="771">
      <c r="A771" s="2" t="s">
        <v>3934</v>
      </c>
      <c r="B771" s="2" t="s">
        <v>1345</v>
      </c>
      <c r="C771" s="2" t="s">
        <v>952</v>
      </c>
      <c r="D771" s="2" t="s">
        <v>2205</v>
      </c>
      <c r="E771" s="2" t="s">
        <v>2205</v>
      </c>
      <c r="F771" s="2" t="s">
        <v>3609</v>
      </c>
      <c r="G771" s="2" t="s">
        <v>3609</v>
      </c>
      <c r="H771" s="2" t="s">
        <v>3609</v>
      </c>
      <c r="I771" s="2" t="s">
        <v>3935</v>
      </c>
      <c r="J771" s="2" t="s">
        <v>93</v>
      </c>
      <c r="K771" s="2" t="s">
        <v>1052</v>
      </c>
      <c r="L771" s="3">
        <v>229.14</v>
      </c>
      <c r="M771" s="3">
        <v>240.6</v>
      </c>
      <c r="N771" s="3">
        <v>479</v>
      </c>
      <c r="O771" s="2" t="s">
        <v>95</v>
      </c>
      <c r="P771" s="2" t="s">
        <v>295</v>
      </c>
      <c r="Q771" s="2" t="s">
        <v>97</v>
      </c>
      <c r="R771" s="2" t="s">
        <v>98</v>
      </c>
      <c r="S771" s="2" t="s">
        <v>98</v>
      </c>
      <c r="T771" s="2" t="s">
        <v>98</v>
      </c>
      <c r="U771" s="2" t="s">
        <v>100</v>
      </c>
      <c r="V771" s="2" t="s">
        <v>296</v>
      </c>
      <c r="W771" s="2" t="s">
        <v>119</v>
      </c>
      <c r="X771" s="2" t="s">
        <v>963</v>
      </c>
      <c r="Y771" s="2" t="s">
        <v>1922</v>
      </c>
      <c r="Z771" s="4">
        <v>103</v>
      </c>
      <c r="AA771" s="4">
        <f>=ROUNDDOWN(34.3333333333333,0)</f>
      </c>
      <c r="AB771" s="5">
        <v>3</v>
      </c>
      <c r="AC771" s="2" t="s">
        <v>98</v>
      </c>
      <c r="AD771" s="4"/>
      <c r="AE771" s="4"/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98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/>
      <c r="AW771" s="8"/>
      <c r="AX771" s="4"/>
      <c r="AY771" s="8"/>
      <c r="AZ771" s="7"/>
      <c r="BA771" s="7"/>
      <c r="BB771" s="7"/>
      <c r="BC771" s="4"/>
      <c r="BD771" s="8"/>
      <c r="BE771" s="4"/>
      <c r="BF771" s="8"/>
      <c r="BG771" s="7"/>
      <c r="BH771" s="7"/>
      <c r="BI771" s="7"/>
      <c r="BJ771" s="4"/>
      <c r="BK771" s="8"/>
      <c r="BL771" s="2" t="s">
        <v>98</v>
      </c>
      <c r="BM771" s="7"/>
      <c r="BN771" s="7"/>
      <c r="BO771" s="4"/>
      <c r="BP771" s="8"/>
      <c r="BQ771" s="4"/>
      <c r="BR771" s="8"/>
      <c r="BS771" s="7"/>
      <c r="BT771" s="7"/>
      <c r="BU771" s="2" t="s">
        <v>1376</v>
      </c>
      <c r="BV771" s="2" t="s">
        <v>95</v>
      </c>
      <c r="BW771" s="2" t="s">
        <v>98</v>
      </c>
      <c r="BX771" s="2" t="s">
        <v>98</v>
      </c>
      <c r="BY771" s="2" t="s">
        <v>110</v>
      </c>
      <c r="BZ771" s="2" t="s">
        <v>98</v>
      </c>
    </row>
    <row r="772">
      <c r="A772" s="2" t="s">
        <v>3936</v>
      </c>
      <c r="B772" s="2" t="s">
        <v>1345</v>
      </c>
      <c r="C772" s="2" t="s">
        <v>952</v>
      </c>
      <c r="D772" s="2" t="s">
        <v>2205</v>
      </c>
      <c r="E772" s="2" t="s">
        <v>2205</v>
      </c>
      <c r="F772" s="2" t="s">
        <v>3877</v>
      </c>
      <c r="G772" s="2" t="s">
        <v>3877</v>
      </c>
      <c r="H772" s="2" t="s">
        <v>3877</v>
      </c>
      <c r="I772" s="2" t="s">
        <v>3937</v>
      </c>
      <c r="J772" s="2" t="s">
        <v>93</v>
      </c>
      <c r="K772" s="2" t="s">
        <v>937</v>
      </c>
      <c r="L772" s="3">
        <v>164.59</v>
      </c>
      <c r="M772" s="3">
        <v>172.82</v>
      </c>
      <c r="N772" s="3">
        <v>349</v>
      </c>
      <c r="O772" s="2" t="s">
        <v>95</v>
      </c>
      <c r="P772" s="2" t="s">
        <v>134</v>
      </c>
      <c r="Q772" s="2" t="s">
        <v>97</v>
      </c>
      <c r="R772" s="2" t="s">
        <v>98</v>
      </c>
      <c r="S772" s="2" t="s">
        <v>98</v>
      </c>
      <c r="T772" s="2" t="s">
        <v>98</v>
      </c>
      <c r="U772" s="2" t="s">
        <v>98</v>
      </c>
      <c r="V772" s="2" t="s">
        <v>439</v>
      </c>
      <c r="W772" s="2" t="s">
        <v>968</v>
      </c>
      <c r="X772" s="2" t="s">
        <v>98</v>
      </c>
      <c r="Y772" s="2" t="s">
        <v>3505</v>
      </c>
      <c r="Z772" s="4">
        <v>171</v>
      </c>
      <c r="AA772" s="4">
        <f>=ROUNDDOWN(24.4285714285714,0)</f>
      </c>
      <c r="AB772" s="5">
        <v>7</v>
      </c>
      <c r="AC772" s="2" t="s">
        <v>1983</v>
      </c>
      <c r="AD772" s="4">
        <v>100</v>
      </c>
      <c r="AE772" s="4">
        <v>100</v>
      </c>
      <c r="AF772" s="6">
        <v>74</v>
      </c>
      <c r="AG772" s="6">
        <v>60</v>
      </c>
      <c r="AH772" s="7">
        <v>1</v>
      </c>
      <c r="AI772" s="4"/>
      <c r="AJ772" s="4">
        <f>=ROUNDDOWN({0},0)</f>
      </c>
      <c r="AK772" s="5"/>
      <c r="AL772" s="2" t="s">
        <v>98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/>
      <c r="AW772" s="8"/>
      <c r="AX772" s="4"/>
      <c r="AY772" s="8"/>
      <c r="AZ772" s="7"/>
      <c r="BA772" s="7"/>
      <c r="BB772" s="7"/>
      <c r="BC772" s="4" t="s">
        <v>98</v>
      </c>
      <c r="BD772" s="8" t="s">
        <v>98</v>
      </c>
      <c r="BE772" s="4" t="s">
        <v>98</v>
      </c>
      <c r="BF772" s="8" t="s">
        <v>98</v>
      </c>
      <c r="BG772" s="7" t="s">
        <v>98</v>
      </c>
      <c r="BH772" s="7" t="s">
        <v>98</v>
      </c>
      <c r="BI772" s="7"/>
      <c r="BJ772" s="4">
        <v>2</v>
      </c>
      <c r="BK772" s="8">
        <v>302.26</v>
      </c>
      <c r="BL772" s="2" t="s">
        <v>1625</v>
      </c>
      <c r="BM772" s="7"/>
      <c r="BN772" s="7"/>
      <c r="BO772" s="4"/>
      <c r="BP772" s="8"/>
      <c r="BQ772" s="4"/>
      <c r="BR772" s="8"/>
      <c r="BS772" s="7"/>
      <c r="BT772" s="7"/>
      <c r="BU772" s="2" t="s">
        <v>107</v>
      </c>
      <c r="BV772" s="2" t="s">
        <v>1355</v>
      </c>
      <c r="BW772" s="2" t="s">
        <v>1550</v>
      </c>
      <c r="BX772" s="2" t="s">
        <v>3938</v>
      </c>
      <c r="BY772" s="2" t="s">
        <v>110</v>
      </c>
      <c r="BZ772" s="2" t="s">
        <v>98</v>
      </c>
    </row>
    <row r="773">
      <c r="A773" s="2" t="s">
        <v>3939</v>
      </c>
      <c r="B773" s="2" t="s">
        <v>1345</v>
      </c>
      <c r="C773" s="2" t="s">
        <v>952</v>
      </c>
      <c r="D773" s="2" t="s">
        <v>2205</v>
      </c>
      <c r="E773" s="2" t="s">
        <v>2205</v>
      </c>
      <c r="F773" s="2" t="s">
        <v>3877</v>
      </c>
      <c r="G773" s="2" t="s">
        <v>3877</v>
      </c>
      <c r="H773" s="2" t="s">
        <v>3877</v>
      </c>
      <c r="I773" s="2" t="s">
        <v>3937</v>
      </c>
      <c r="J773" s="2" t="s">
        <v>93</v>
      </c>
      <c r="K773" s="2" t="s">
        <v>94</v>
      </c>
      <c r="L773" s="3">
        <v>164.59</v>
      </c>
      <c r="M773" s="3">
        <v>172.82</v>
      </c>
      <c r="N773" s="3">
        <v>349</v>
      </c>
      <c r="O773" s="2" t="s">
        <v>95</v>
      </c>
      <c r="P773" s="2" t="s">
        <v>134</v>
      </c>
      <c r="Q773" s="2" t="s">
        <v>97</v>
      </c>
      <c r="R773" s="2" t="s">
        <v>98</v>
      </c>
      <c r="S773" s="2" t="s">
        <v>98</v>
      </c>
      <c r="T773" s="2" t="s">
        <v>98</v>
      </c>
      <c r="U773" s="2" t="s">
        <v>98</v>
      </c>
      <c r="V773" s="2" t="s">
        <v>439</v>
      </c>
      <c r="W773" s="2" t="s">
        <v>968</v>
      </c>
      <c r="X773" s="2" t="s">
        <v>102</v>
      </c>
      <c r="Y773" s="2" t="s">
        <v>3940</v>
      </c>
      <c r="Z773" s="4">
        <v>72</v>
      </c>
      <c r="AA773" s="4">
        <f>=ROUNDDOWN(65.4545454545455,0)</f>
      </c>
      <c r="AB773" s="5">
        <v>1.1</v>
      </c>
      <c r="AC773" s="2" t="s">
        <v>1353</v>
      </c>
      <c r="AD773" s="4">
        <v>100</v>
      </c>
      <c r="AE773" s="4">
        <v>100</v>
      </c>
      <c r="AF773" s="6">
        <v>74</v>
      </c>
      <c r="AG773" s="6"/>
      <c r="AH773" s="7">
        <v>1</v>
      </c>
      <c r="AI773" s="4"/>
      <c r="AJ773" s="4">
        <f>=ROUNDDOWN({0},0)</f>
      </c>
      <c r="AK773" s="5"/>
      <c r="AL773" s="2" t="s">
        <v>98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/>
      <c r="AW773" s="8"/>
      <c r="AX773" s="4"/>
      <c r="AY773" s="8"/>
      <c r="AZ773" s="7"/>
      <c r="BA773" s="7"/>
      <c r="BB773" s="7"/>
      <c r="BC773" s="4" t="s">
        <v>98</v>
      </c>
      <c r="BD773" s="8" t="s">
        <v>98</v>
      </c>
      <c r="BE773" s="4" t="s">
        <v>98</v>
      </c>
      <c r="BF773" s="8" t="s">
        <v>98</v>
      </c>
      <c r="BG773" s="7" t="s">
        <v>98</v>
      </c>
      <c r="BH773" s="7" t="s">
        <v>98</v>
      </c>
      <c r="BI773" s="7"/>
      <c r="BJ773" s="4"/>
      <c r="BK773" s="8"/>
      <c r="BL773" s="2" t="s">
        <v>895</v>
      </c>
      <c r="BM773" s="7"/>
      <c r="BN773" s="7"/>
      <c r="BO773" s="4"/>
      <c r="BP773" s="8"/>
      <c r="BQ773" s="4"/>
      <c r="BR773" s="8"/>
      <c r="BS773" s="7"/>
      <c r="BT773" s="7"/>
      <c r="BU773" s="2" t="s">
        <v>1376</v>
      </c>
      <c r="BV773" s="2" t="s">
        <v>95</v>
      </c>
      <c r="BW773" s="2" t="s">
        <v>98</v>
      </c>
      <c r="BX773" s="2" t="s">
        <v>98</v>
      </c>
      <c r="BY773" s="2" t="s">
        <v>110</v>
      </c>
      <c r="BZ773" s="2" t="s">
        <v>98</v>
      </c>
    </row>
    <row r="774">
      <c r="A774" s="2" t="s">
        <v>3941</v>
      </c>
      <c r="B774" s="2" t="s">
        <v>1345</v>
      </c>
      <c r="C774" s="2" t="s">
        <v>952</v>
      </c>
      <c r="D774" s="2" t="s">
        <v>2205</v>
      </c>
      <c r="E774" s="2" t="s">
        <v>2205</v>
      </c>
      <c r="F774" s="2" t="s">
        <v>3877</v>
      </c>
      <c r="G774" s="2" t="s">
        <v>3877</v>
      </c>
      <c r="H774" s="2" t="s">
        <v>3877</v>
      </c>
      <c r="I774" s="2" t="s">
        <v>3937</v>
      </c>
      <c r="J774" s="2" t="s">
        <v>93</v>
      </c>
      <c r="K774" s="2" t="s">
        <v>3870</v>
      </c>
      <c r="L774" s="3">
        <v>164.59</v>
      </c>
      <c r="M774" s="3">
        <v>172.82</v>
      </c>
      <c r="N774" s="3">
        <v>349</v>
      </c>
      <c r="O774" s="2" t="s">
        <v>95</v>
      </c>
      <c r="P774" s="2" t="s">
        <v>134</v>
      </c>
      <c r="Q774" s="2" t="s">
        <v>97</v>
      </c>
      <c r="R774" s="2" t="s">
        <v>98</v>
      </c>
      <c r="S774" s="2" t="s">
        <v>98</v>
      </c>
      <c r="T774" s="2" t="s">
        <v>98</v>
      </c>
      <c r="U774" s="2" t="s">
        <v>98</v>
      </c>
      <c r="V774" s="2" t="s">
        <v>439</v>
      </c>
      <c r="W774" s="2" t="s">
        <v>968</v>
      </c>
      <c r="X774" s="2" t="s">
        <v>102</v>
      </c>
      <c r="Y774" s="2" t="s">
        <v>3942</v>
      </c>
      <c r="Z774" s="4">
        <v>99</v>
      </c>
      <c r="AA774" s="4">
        <f>=ROUNDDOWN(14.1428571428571,0)</f>
      </c>
      <c r="AB774" s="5">
        <v>7</v>
      </c>
      <c r="AC774" s="2" t="s">
        <v>1353</v>
      </c>
      <c r="AD774" s="4">
        <v>36</v>
      </c>
      <c r="AE774" s="4">
        <v>111</v>
      </c>
      <c r="AF774" s="6">
        <v>74</v>
      </c>
      <c r="AG774" s="6">
        <v>60</v>
      </c>
      <c r="AH774" s="7">
        <v>1</v>
      </c>
      <c r="AI774" s="4"/>
      <c r="AJ774" s="4">
        <f>=ROUNDDOWN({0},0)</f>
      </c>
      <c r="AK774" s="5"/>
      <c r="AL774" s="2" t="s">
        <v>98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/>
      <c r="AW774" s="8"/>
      <c r="AX774" s="4"/>
      <c r="AY774" s="8"/>
      <c r="AZ774" s="7"/>
      <c r="BA774" s="7"/>
      <c r="BB774" s="7"/>
      <c r="BC774" s="4" t="s">
        <v>98</v>
      </c>
      <c r="BD774" s="8" t="s">
        <v>98</v>
      </c>
      <c r="BE774" s="4" t="s">
        <v>98</v>
      </c>
      <c r="BF774" s="8" t="s">
        <v>98</v>
      </c>
      <c r="BG774" s="7" t="s">
        <v>98</v>
      </c>
      <c r="BH774" s="7" t="s">
        <v>98</v>
      </c>
      <c r="BI774" s="7"/>
      <c r="BJ774" s="4">
        <v>3</v>
      </c>
      <c r="BK774" s="8">
        <v>460.78</v>
      </c>
      <c r="BL774" s="2" t="s">
        <v>1379</v>
      </c>
      <c r="BM774" s="7"/>
      <c r="BN774" s="7"/>
      <c r="BO774" s="4"/>
      <c r="BP774" s="8"/>
      <c r="BQ774" s="4"/>
      <c r="BR774" s="8"/>
      <c r="BS774" s="7"/>
      <c r="BT774" s="7"/>
      <c r="BU774" s="2" t="s">
        <v>1376</v>
      </c>
      <c r="BV774" s="2" t="s">
        <v>95</v>
      </c>
      <c r="BW774" s="2" t="s">
        <v>98</v>
      </c>
      <c r="BX774" s="2" t="s">
        <v>98</v>
      </c>
      <c r="BY774" s="2" t="s">
        <v>110</v>
      </c>
      <c r="BZ774" s="2" t="s">
        <v>98</v>
      </c>
    </row>
    <row r="775">
      <c r="A775" s="2" t="s">
        <v>3943</v>
      </c>
      <c r="B775" s="2" t="s">
        <v>1345</v>
      </c>
      <c r="C775" s="2" t="s">
        <v>952</v>
      </c>
      <c r="D775" s="2" t="s">
        <v>2700</v>
      </c>
      <c r="E775" s="2" t="s">
        <v>2700</v>
      </c>
      <c r="F775" s="2" t="s">
        <v>3844</v>
      </c>
      <c r="G775" s="2" t="s">
        <v>98</v>
      </c>
      <c r="H775" s="2" t="s">
        <v>98</v>
      </c>
      <c r="I775" s="2" t="s">
        <v>3944</v>
      </c>
      <c r="J775" s="2" t="s">
        <v>93</v>
      </c>
      <c r="K775" s="2" t="s">
        <v>3713</v>
      </c>
      <c r="L775" s="3">
        <v>180.5</v>
      </c>
      <c r="M775" s="3">
        <v>189.52</v>
      </c>
      <c r="N775" s="3">
        <v>379</v>
      </c>
      <c r="O775" s="2" t="s">
        <v>95</v>
      </c>
      <c r="P775" s="2" t="s">
        <v>142</v>
      </c>
      <c r="Q775" s="2" t="s">
        <v>97</v>
      </c>
      <c r="R775" s="2" t="s">
        <v>98</v>
      </c>
      <c r="S775" s="2" t="s">
        <v>3945</v>
      </c>
      <c r="T775" s="2" t="s">
        <v>98</v>
      </c>
      <c r="U775" s="2" t="s">
        <v>98</v>
      </c>
      <c r="V775" s="2" t="s">
        <v>439</v>
      </c>
      <c r="W775" s="2" t="s">
        <v>963</v>
      </c>
      <c r="X775" s="2" t="s">
        <v>98</v>
      </c>
      <c r="Y775" s="2" t="s">
        <v>366</v>
      </c>
      <c r="Z775" s="4">
        <v>99</v>
      </c>
      <c r="AA775" s="4">
        <f>=ROUNDDOWN(33,0)</f>
      </c>
      <c r="AB775" s="5">
        <v>3</v>
      </c>
      <c r="AC775" s="2" t="s">
        <v>214</v>
      </c>
      <c r="AD775" s="4">
        <v>100</v>
      </c>
      <c r="AE775" s="4">
        <v>100</v>
      </c>
      <c r="AF775" s="6">
        <v>74</v>
      </c>
      <c r="AG775" s="6">
        <v>60</v>
      </c>
      <c r="AH775" s="7">
        <v>1</v>
      </c>
      <c r="AI775" s="4"/>
      <c r="AJ775" s="4">
        <f>=ROUNDDOWN({0},0)</f>
      </c>
      <c r="AK775" s="5"/>
      <c r="AL775" s="2" t="s">
        <v>98</v>
      </c>
      <c r="AM775" s="4"/>
      <c r="AN775" s="4"/>
      <c r="AO775" s="7">
        <v>0</v>
      </c>
      <c r="AP775" s="4"/>
      <c r="AQ775" s="8"/>
      <c r="AR775" s="4">
        <v>1</v>
      </c>
      <c r="AS775" s="8">
        <v>167.09</v>
      </c>
      <c r="AT775" s="7">
        <v>-1</v>
      </c>
      <c r="AU775" s="7">
        <v>-1</v>
      </c>
      <c r="AV775" s="4"/>
      <c r="AW775" s="8"/>
      <c r="AX775" s="4">
        <v>1</v>
      </c>
      <c r="AY775" s="8">
        <v>167.09</v>
      </c>
      <c r="AZ775" s="7">
        <v>-1</v>
      </c>
      <c r="BA775" s="7">
        <v>-1</v>
      </c>
      <c r="BB775" s="7"/>
      <c r="BC775" s="4"/>
      <c r="BD775" s="8"/>
      <c r="BE775" s="4">
        <v>1</v>
      </c>
      <c r="BF775" s="8">
        <v>167.09</v>
      </c>
      <c r="BG775" s="7">
        <v>-1</v>
      </c>
      <c r="BH775" s="7">
        <v>-1</v>
      </c>
      <c r="BI775" s="7"/>
      <c r="BJ775" s="4">
        <v>2</v>
      </c>
      <c r="BK775" s="8">
        <v>403.01</v>
      </c>
      <c r="BL775" s="2" t="s">
        <v>3011</v>
      </c>
      <c r="BM775" s="7"/>
      <c r="BN775" s="7"/>
      <c r="BO775" s="4"/>
      <c r="BP775" s="8"/>
      <c r="BQ775" s="4">
        <v>1</v>
      </c>
      <c r="BR775" s="8">
        <v>167.09</v>
      </c>
      <c r="BS775" s="7">
        <v>-1</v>
      </c>
      <c r="BT775" s="7">
        <v>-1</v>
      </c>
      <c r="BU775" s="2" t="s">
        <v>107</v>
      </c>
      <c r="BV775" s="2" t="s">
        <v>1355</v>
      </c>
      <c r="BW775" s="2" t="s">
        <v>1356</v>
      </c>
      <c r="BX775" s="2" t="s">
        <v>3633</v>
      </c>
      <c r="BY775" s="2" t="s">
        <v>110</v>
      </c>
      <c r="BZ775" s="2" t="s">
        <v>98</v>
      </c>
    </row>
    <row r="776">
      <c r="A776" s="2" t="s">
        <v>3946</v>
      </c>
      <c r="B776" s="2" t="s">
        <v>1345</v>
      </c>
      <c r="C776" s="2" t="s">
        <v>952</v>
      </c>
      <c r="D776" s="2" t="s">
        <v>2700</v>
      </c>
      <c r="E776" s="2" t="s">
        <v>2700</v>
      </c>
      <c r="F776" s="2" t="s">
        <v>436</v>
      </c>
      <c r="G776" s="2" t="s">
        <v>436</v>
      </c>
      <c r="H776" s="2" t="s">
        <v>436</v>
      </c>
      <c r="I776" s="2" t="s">
        <v>2725</v>
      </c>
      <c r="J776" s="2" t="s">
        <v>93</v>
      </c>
      <c r="K776" s="2" t="s">
        <v>3713</v>
      </c>
      <c r="L776" s="3">
        <v>256.68</v>
      </c>
      <c r="M776" s="3">
        <v>269.51</v>
      </c>
      <c r="N776" s="3">
        <v>549</v>
      </c>
      <c r="O776" s="2" t="s">
        <v>95</v>
      </c>
      <c r="P776" s="2" t="s">
        <v>142</v>
      </c>
      <c r="Q776" s="2" t="s">
        <v>97</v>
      </c>
      <c r="R776" s="2" t="s">
        <v>98</v>
      </c>
      <c r="S776" s="2" t="s">
        <v>98</v>
      </c>
      <c r="T776" s="2" t="s">
        <v>98</v>
      </c>
      <c r="U776" s="2" t="s">
        <v>98</v>
      </c>
      <c r="V776" s="2" t="s">
        <v>296</v>
      </c>
      <c r="W776" s="2" t="s">
        <v>102</v>
      </c>
      <c r="X776" s="2" t="s">
        <v>963</v>
      </c>
      <c r="Y776" s="2" t="s">
        <v>3780</v>
      </c>
      <c r="Z776" s="4">
        <v>37</v>
      </c>
      <c r="AA776" s="4">
        <f>=ROUNDDOWN(18.5,0)</f>
      </c>
      <c r="AB776" s="5">
        <v>2</v>
      </c>
      <c r="AC776" s="2" t="s">
        <v>2011</v>
      </c>
      <c r="AD776" s="4">
        <v>100</v>
      </c>
      <c r="AE776" s="4">
        <v>100</v>
      </c>
      <c r="AF776" s="6">
        <v>74</v>
      </c>
      <c r="AG776" s="6"/>
      <c r="AH776" s="7">
        <v>1</v>
      </c>
      <c r="AI776" s="4"/>
      <c r="AJ776" s="4">
        <f>=ROUNDDOWN({0},0)</f>
      </c>
      <c r="AK776" s="5"/>
      <c r="AL776" s="2" t="s">
        <v>98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/>
      <c r="AW776" s="8"/>
      <c r="AX776" s="4"/>
      <c r="AY776" s="8"/>
      <c r="AZ776" s="7"/>
      <c r="BA776" s="7"/>
      <c r="BB776" s="7"/>
      <c r="BC776" s="4"/>
      <c r="BD776" s="8"/>
      <c r="BE776" s="4"/>
      <c r="BF776" s="8"/>
      <c r="BG776" s="7"/>
      <c r="BH776" s="7"/>
      <c r="BI776" s="7"/>
      <c r="BJ776" s="4"/>
      <c r="BK776" s="8"/>
      <c r="BL776" s="2" t="s">
        <v>98</v>
      </c>
      <c r="BM776" s="7"/>
      <c r="BN776" s="7"/>
      <c r="BO776" s="4"/>
      <c r="BP776" s="8"/>
      <c r="BQ776" s="4"/>
      <c r="BR776" s="8"/>
      <c r="BS776" s="7"/>
      <c r="BT776" s="7"/>
      <c r="BU776" s="2" t="s">
        <v>1376</v>
      </c>
      <c r="BV776" s="2" t="s">
        <v>95</v>
      </c>
      <c r="BW776" s="2" t="s">
        <v>98</v>
      </c>
      <c r="BX776" s="2" t="s">
        <v>98</v>
      </c>
      <c r="BY776" s="2" t="s">
        <v>110</v>
      </c>
      <c r="BZ776" s="2" t="s">
        <v>98</v>
      </c>
    </row>
    <row r="777">
      <c r="A777" s="2" t="s">
        <v>3947</v>
      </c>
      <c r="B777" s="2" t="s">
        <v>1345</v>
      </c>
      <c r="C777" s="2" t="s">
        <v>952</v>
      </c>
      <c r="D777" s="2" t="s">
        <v>2700</v>
      </c>
      <c r="E777" s="2" t="s">
        <v>2700</v>
      </c>
      <c r="F777" s="2" t="s">
        <v>3874</v>
      </c>
      <c r="G777" s="2" t="s">
        <v>3874</v>
      </c>
      <c r="H777" s="2" t="s">
        <v>3874</v>
      </c>
      <c r="I777" s="2" t="s">
        <v>3948</v>
      </c>
      <c r="J777" s="2" t="s">
        <v>93</v>
      </c>
      <c r="K777" s="2" t="s">
        <v>1052</v>
      </c>
      <c r="L777" s="3">
        <v>380</v>
      </c>
      <c r="M777" s="3">
        <v>399</v>
      </c>
      <c r="N777" s="3">
        <v>799</v>
      </c>
      <c r="O777" s="2" t="s">
        <v>95</v>
      </c>
      <c r="P777" s="2" t="s">
        <v>142</v>
      </c>
      <c r="Q777" s="2" t="s">
        <v>271</v>
      </c>
      <c r="R777" s="2" t="s">
        <v>98</v>
      </c>
      <c r="S777" s="2" t="s">
        <v>98</v>
      </c>
      <c r="T777" s="2" t="s">
        <v>98</v>
      </c>
      <c r="U777" s="2" t="s">
        <v>117</v>
      </c>
      <c r="V777" s="2" t="s">
        <v>296</v>
      </c>
      <c r="W777" s="2" t="s">
        <v>119</v>
      </c>
      <c r="X777" s="2" t="s">
        <v>102</v>
      </c>
      <c r="Y777" s="2" t="s">
        <v>2819</v>
      </c>
      <c r="Z777" s="4">
        <v>90</v>
      </c>
      <c r="AA777" s="4">
        <f>=ROUNDDOWN(225,0)</f>
      </c>
      <c r="AB777" s="5">
        <v>0.4</v>
      </c>
      <c r="AC777" s="2" t="s">
        <v>98</v>
      </c>
      <c r="AD777" s="4"/>
      <c r="AE777" s="4"/>
      <c r="AF777" s="6">
        <v>74</v>
      </c>
      <c r="AG777" s="6"/>
      <c r="AH777" s="7">
        <v>1</v>
      </c>
      <c r="AI777" s="4"/>
      <c r="AJ777" s="4">
        <f>=ROUNDDOWN({0},0)</f>
      </c>
      <c r="AK777" s="5"/>
      <c r="AL777" s="2" t="s">
        <v>98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/>
      <c r="AW777" s="8"/>
      <c r="AX777" s="4"/>
      <c r="AY777" s="8"/>
      <c r="AZ777" s="7"/>
      <c r="BA777" s="7"/>
      <c r="BB777" s="7"/>
      <c r="BC777" s="4"/>
      <c r="BD777" s="8"/>
      <c r="BE777" s="4"/>
      <c r="BF777" s="8"/>
      <c r="BG777" s="7"/>
      <c r="BH777" s="7"/>
      <c r="BI777" s="7"/>
      <c r="BJ777" s="4"/>
      <c r="BK777" s="8"/>
      <c r="BL777" s="2" t="s">
        <v>98</v>
      </c>
      <c r="BM777" s="7"/>
      <c r="BN777" s="7"/>
      <c r="BO777" s="4"/>
      <c r="BP777" s="8"/>
      <c r="BQ777" s="4"/>
      <c r="BR777" s="8"/>
      <c r="BS777" s="7"/>
      <c r="BT777" s="7"/>
      <c r="BU777" s="2" t="s">
        <v>1376</v>
      </c>
      <c r="BV777" s="2" t="s">
        <v>95</v>
      </c>
      <c r="BW777" s="2" t="s">
        <v>98</v>
      </c>
      <c r="BX777" s="2" t="s">
        <v>98</v>
      </c>
      <c r="BY777" s="2" t="s">
        <v>110</v>
      </c>
      <c r="BZ777" s="2" t="s">
        <v>98</v>
      </c>
    </row>
    <row r="778">
      <c r="A778" s="2" t="s">
        <v>3949</v>
      </c>
      <c r="B778" s="2" t="s">
        <v>1345</v>
      </c>
      <c r="C778" s="2" t="s">
        <v>952</v>
      </c>
      <c r="D778" s="2" t="s">
        <v>2700</v>
      </c>
      <c r="E778" s="2" t="s">
        <v>2700</v>
      </c>
      <c r="F778" s="2" t="s">
        <v>3950</v>
      </c>
      <c r="G778" s="2" t="s">
        <v>3950</v>
      </c>
      <c r="H778" s="2" t="s">
        <v>3950</v>
      </c>
      <c r="I778" s="2" t="s">
        <v>3951</v>
      </c>
      <c r="J778" s="2" t="s">
        <v>93</v>
      </c>
      <c r="K778" s="2" t="s">
        <v>3713</v>
      </c>
      <c r="L778" s="3">
        <v>262.2</v>
      </c>
      <c r="M778" s="3">
        <v>275.31</v>
      </c>
      <c r="N778" s="3">
        <v>549</v>
      </c>
      <c r="O778" s="2" t="s">
        <v>95</v>
      </c>
      <c r="P778" s="2" t="s">
        <v>134</v>
      </c>
      <c r="Q778" s="2" t="s">
        <v>97</v>
      </c>
      <c r="R778" s="2" t="s">
        <v>98</v>
      </c>
      <c r="S778" s="2" t="s">
        <v>98</v>
      </c>
      <c r="T778" s="2" t="s">
        <v>98</v>
      </c>
      <c r="U778" s="2" t="s">
        <v>117</v>
      </c>
      <c r="V778" s="2" t="s">
        <v>296</v>
      </c>
      <c r="W778" s="2" t="s">
        <v>102</v>
      </c>
      <c r="X778" s="2" t="s">
        <v>119</v>
      </c>
      <c r="Y778" s="2" t="s">
        <v>2927</v>
      </c>
      <c r="Z778" s="4">
        <v>79</v>
      </c>
      <c r="AA778" s="4">
        <f>=ROUNDDOWN(23.9393939393939,0)</f>
      </c>
      <c r="AB778" s="5">
        <v>3.3</v>
      </c>
      <c r="AC778" s="2" t="s">
        <v>1562</v>
      </c>
      <c r="AD778" s="4">
        <v>155</v>
      </c>
      <c r="AE778" s="4">
        <v>155</v>
      </c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98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/>
      <c r="AW778" s="8"/>
      <c r="AX778" s="4"/>
      <c r="AY778" s="8"/>
      <c r="AZ778" s="7"/>
      <c r="BA778" s="7"/>
      <c r="BB778" s="7"/>
      <c r="BC778" s="4"/>
      <c r="BD778" s="8"/>
      <c r="BE778" s="4"/>
      <c r="BF778" s="8"/>
      <c r="BG778" s="7"/>
      <c r="BH778" s="7"/>
      <c r="BI778" s="7"/>
      <c r="BJ778" s="4"/>
      <c r="BK778" s="8"/>
      <c r="BL778" s="2" t="s">
        <v>98</v>
      </c>
      <c r="BM778" s="7"/>
      <c r="BN778" s="7"/>
      <c r="BO778" s="4"/>
      <c r="BP778" s="8"/>
      <c r="BQ778" s="4"/>
      <c r="BR778" s="8"/>
      <c r="BS778" s="7"/>
      <c r="BT778" s="7"/>
      <c r="BU778" s="2" t="s">
        <v>1376</v>
      </c>
      <c r="BV778" s="2" t="s">
        <v>95</v>
      </c>
      <c r="BW778" s="2" t="s">
        <v>98</v>
      </c>
      <c r="BX778" s="2" t="s">
        <v>98</v>
      </c>
      <c r="BY778" s="2" t="s">
        <v>110</v>
      </c>
      <c r="BZ778" s="2" t="s">
        <v>98</v>
      </c>
    </row>
    <row r="779">
      <c r="A779" s="2" t="s">
        <v>3952</v>
      </c>
      <c r="B779" s="2" t="s">
        <v>1345</v>
      </c>
      <c r="C779" s="2" t="s">
        <v>952</v>
      </c>
      <c r="D779" s="2" t="s">
        <v>2700</v>
      </c>
      <c r="E779" s="2" t="s">
        <v>2700</v>
      </c>
      <c r="F779" s="2" t="s">
        <v>3650</v>
      </c>
      <c r="G779" s="2" t="s">
        <v>98</v>
      </c>
      <c r="H779" s="2" t="s">
        <v>98</v>
      </c>
      <c r="I779" s="2" t="s">
        <v>3953</v>
      </c>
      <c r="J779" s="2" t="s">
        <v>93</v>
      </c>
      <c r="K779" s="2" t="s">
        <v>3652</v>
      </c>
      <c r="L779" s="3">
        <v>451.25</v>
      </c>
      <c r="M779" s="3">
        <v>473.81</v>
      </c>
      <c r="N779" s="3">
        <v>949</v>
      </c>
      <c r="O779" s="2" t="s">
        <v>95</v>
      </c>
      <c r="P779" s="2" t="s">
        <v>142</v>
      </c>
      <c r="Q779" s="2" t="s">
        <v>97</v>
      </c>
      <c r="R779" s="2" t="s">
        <v>98</v>
      </c>
      <c r="S779" s="2" t="s">
        <v>3954</v>
      </c>
      <c r="T779" s="2" t="s">
        <v>98</v>
      </c>
      <c r="U779" s="2" t="s">
        <v>98</v>
      </c>
      <c r="V779" s="2" t="s">
        <v>439</v>
      </c>
      <c r="W779" s="2" t="s">
        <v>968</v>
      </c>
      <c r="X779" s="2" t="s">
        <v>98</v>
      </c>
      <c r="Y779" s="2" t="s">
        <v>366</v>
      </c>
      <c r="Z779" s="4">
        <v>74</v>
      </c>
      <c r="AA779" s="4">
        <f>=ROUNDDOWN(24.6666666666667,0)</f>
      </c>
      <c r="AB779" s="5">
        <v>3</v>
      </c>
      <c r="AC779" s="2" t="s">
        <v>3955</v>
      </c>
      <c r="AD779" s="4">
        <v>59</v>
      </c>
      <c r="AE779" s="4">
        <v>59</v>
      </c>
      <c r="AF779" s="6">
        <v>74</v>
      </c>
      <c r="AG779" s="6"/>
      <c r="AH779" s="7">
        <v>1</v>
      </c>
      <c r="AI779" s="4"/>
      <c r="AJ779" s="4">
        <f>=ROUNDDOWN({0},0)</f>
      </c>
      <c r="AK779" s="5"/>
      <c r="AL779" s="2" t="s">
        <v>98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/>
      <c r="AW779" s="8"/>
      <c r="AX779" s="4"/>
      <c r="AY779" s="8"/>
      <c r="AZ779" s="7"/>
      <c r="BA779" s="7"/>
      <c r="BB779" s="7"/>
      <c r="BC779" s="4" t="s">
        <v>98</v>
      </c>
      <c r="BD779" s="8" t="s">
        <v>98</v>
      </c>
      <c r="BE779" s="4" t="s">
        <v>98</v>
      </c>
      <c r="BF779" s="8" t="s">
        <v>98</v>
      </c>
      <c r="BG779" s="7" t="s">
        <v>98</v>
      </c>
      <c r="BH779" s="7" t="s">
        <v>98</v>
      </c>
      <c r="BI779" s="7"/>
      <c r="BJ779" s="4"/>
      <c r="BK779" s="8"/>
      <c r="BL779" s="2" t="s">
        <v>98</v>
      </c>
      <c r="BM779" s="7"/>
      <c r="BN779" s="7"/>
      <c r="BO779" s="4"/>
      <c r="BP779" s="8"/>
      <c r="BQ779" s="4"/>
      <c r="BR779" s="8"/>
      <c r="BS779" s="7"/>
      <c r="BT779" s="7"/>
      <c r="BU779" s="2" t="s">
        <v>107</v>
      </c>
      <c r="BV779" s="2" t="s">
        <v>1355</v>
      </c>
      <c r="BW779" s="2" t="s">
        <v>3231</v>
      </c>
      <c r="BX779" s="2" t="s">
        <v>2985</v>
      </c>
      <c r="BY779" s="2" t="s">
        <v>110</v>
      </c>
      <c r="BZ779" s="2" t="s">
        <v>98</v>
      </c>
    </row>
    <row r="780">
      <c r="A780" s="2" t="s">
        <v>3956</v>
      </c>
      <c r="B780" s="2" t="s">
        <v>1345</v>
      </c>
      <c r="C780" s="2" t="s">
        <v>952</v>
      </c>
      <c r="D780" s="2" t="s">
        <v>2700</v>
      </c>
      <c r="E780" s="2" t="s">
        <v>2700</v>
      </c>
      <c r="F780" s="2" t="s">
        <v>3650</v>
      </c>
      <c r="G780" s="2" t="s">
        <v>3650</v>
      </c>
      <c r="H780" s="2" t="s">
        <v>98</v>
      </c>
      <c r="I780" s="2" t="s">
        <v>3957</v>
      </c>
      <c r="J780" s="2" t="s">
        <v>93</v>
      </c>
      <c r="K780" s="2" t="s">
        <v>3707</v>
      </c>
      <c r="L780" s="3">
        <v>380</v>
      </c>
      <c r="M780" s="3">
        <v>399</v>
      </c>
      <c r="N780" s="3">
        <v>799</v>
      </c>
      <c r="O780" s="2" t="s">
        <v>95</v>
      </c>
      <c r="P780" s="2" t="s">
        <v>134</v>
      </c>
      <c r="Q780" s="2" t="s">
        <v>97</v>
      </c>
      <c r="R780" s="2" t="s">
        <v>98</v>
      </c>
      <c r="S780" s="2" t="s">
        <v>3958</v>
      </c>
      <c r="T780" s="2" t="s">
        <v>98</v>
      </c>
      <c r="U780" s="2" t="s">
        <v>98</v>
      </c>
      <c r="V780" s="2" t="s">
        <v>439</v>
      </c>
      <c r="W780" s="2" t="s">
        <v>968</v>
      </c>
      <c r="X780" s="2" t="s">
        <v>98</v>
      </c>
      <c r="Y780" s="2" t="s">
        <v>366</v>
      </c>
      <c r="Z780" s="4">
        <v>269</v>
      </c>
      <c r="AA780" s="4">
        <f>=ROUNDDOWN(38.4285714285714,0)</f>
      </c>
      <c r="AB780" s="5">
        <v>7</v>
      </c>
      <c r="AC780" s="2" t="s">
        <v>98</v>
      </c>
      <c r="AD780" s="4"/>
      <c r="AE780" s="4"/>
      <c r="AF780" s="6">
        <v>74</v>
      </c>
      <c r="AG780" s="6">
        <v>60</v>
      </c>
      <c r="AH780" s="7">
        <v>1</v>
      </c>
      <c r="AI780" s="4"/>
      <c r="AJ780" s="4">
        <f>=ROUNDDOWN({0},0)</f>
      </c>
      <c r="AK780" s="5"/>
      <c r="AL780" s="2" t="s">
        <v>98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/>
      <c r="AW780" s="8"/>
      <c r="AX780" s="4"/>
      <c r="AY780" s="8"/>
      <c r="AZ780" s="7"/>
      <c r="BA780" s="7"/>
      <c r="BB780" s="7"/>
      <c r="BC780" s="4" t="s">
        <v>98</v>
      </c>
      <c r="BD780" s="8" t="s">
        <v>98</v>
      </c>
      <c r="BE780" s="4" t="s">
        <v>98</v>
      </c>
      <c r="BF780" s="8" t="s">
        <v>98</v>
      </c>
      <c r="BG780" s="7" t="s">
        <v>98</v>
      </c>
      <c r="BH780" s="7" t="s">
        <v>98</v>
      </c>
      <c r="BI780" s="7"/>
      <c r="BJ780" s="4">
        <v>6</v>
      </c>
      <c r="BK780" s="8">
        <v>2475.72</v>
      </c>
      <c r="BL780" s="2" t="s">
        <v>269</v>
      </c>
      <c r="BM780" s="7"/>
      <c r="BN780" s="7"/>
      <c r="BO780" s="4"/>
      <c r="BP780" s="8"/>
      <c r="BQ780" s="4"/>
      <c r="BR780" s="8"/>
      <c r="BS780" s="7"/>
      <c r="BT780" s="7"/>
      <c r="BU780" s="2" t="s">
        <v>107</v>
      </c>
      <c r="BV780" s="2" t="s">
        <v>1355</v>
      </c>
      <c r="BW780" s="2" t="s">
        <v>1369</v>
      </c>
      <c r="BX780" s="2" t="s">
        <v>3022</v>
      </c>
      <c r="BY780" s="2" t="s">
        <v>110</v>
      </c>
      <c r="BZ780" s="2" t="s">
        <v>98</v>
      </c>
    </row>
    <row r="781">
      <c r="A781" s="2" t="s">
        <v>3959</v>
      </c>
      <c r="B781" s="2" t="s">
        <v>1345</v>
      </c>
      <c r="C781" s="2" t="s">
        <v>952</v>
      </c>
      <c r="D781" s="2" t="s">
        <v>2700</v>
      </c>
      <c r="E781" s="2" t="s">
        <v>2700</v>
      </c>
      <c r="F781" s="2" t="s">
        <v>3650</v>
      </c>
      <c r="G781" s="2" t="s">
        <v>3650</v>
      </c>
      <c r="H781" s="2" t="s">
        <v>3650</v>
      </c>
      <c r="I781" s="2" t="s">
        <v>2718</v>
      </c>
      <c r="J781" s="2" t="s">
        <v>93</v>
      </c>
      <c r="K781" s="2" t="s">
        <v>154</v>
      </c>
      <c r="L781" s="3">
        <v>460</v>
      </c>
      <c r="M781" s="3">
        <v>483</v>
      </c>
      <c r="N781" s="3">
        <v>969</v>
      </c>
      <c r="O781" s="2" t="s">
        <v>155</v>
      </c>
      <c r="P781" s="2" t="s">
        <v>115</v>
      </c>
      <c r="Q781" s="2" t="s">
        <v>97</v>
      </c>
      <c r="R781" s="2" t="s">
        <v>98</v>
      </c>
      <c r="S781" s="2" t="s">
        <v>98</v>
      </c>
      <c r="T781" s="2" t="s">
        <v>98</v>
      </c>
      <c r="U781" s="2" t="s">
        <v>117</v>
      </c>
      <c r="V781" s="2" t="s">
        <v>439</v>
      </c>
      <c r="W781" s="2" t="s">
        <v>968</v>
      </c>
      <c r="X781" s="2" t="s">
        <v>102</v>
      </c>
      <c r="Y781" s="2" t="s">
        <v>2759</v>
      </c>
      <c r="Z781" s="4">
        <v>37</v>
      </c>
      <c r="AA781" s="4">
        <f>=ROUNDDOWN(370,0)</f>
      </c>
      <c r="AB781" s="5">
        <v>0.1</v>
      </c>
      <c r="AC781" s="2" t="s">
        <v>98</v>
      </c>
      <c r="AD781" s="4"/>
      <c r="AE781" s="4"/>
      <c r="AF781" s="6">
        <v>74</v>
      </c>
      <c r="AG781" s="6"/>
      <c r="AH781" s="7">
        <v>1</v>
      </c>
      <c r="AI781" s="4"/>
      <c r="AJ781" s="4">
        <f>=ROUNDDOWN({0},0)</f>
      </c>
      <c r="AK781" s="5"/>
      <c r="AL781" s="2" t="s">
        <v>98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/>
      <c r="AW781" s="8"/>
      <c r="AX781" s="4"/>
      <c r="AY781" s="8"/>
      <c r="AZ781" s="7"/>
      <c r="BA781" s="7"/>
      <c r="BB781" s="7"/>
      <c r="BC781" s="4" t="s">
        <v>98</v>
      </c>
      <c r="BD781" s="8" t="s">
        <v>98</v>
      </c>
      <c r="BE781" s="4" t="s">
        <v>98</v>
      </c>
      <c r="BF781" s="8" t="s">
        <v>98</v>
      </c>
      <c r="BG781" s="7" t="s">
        <v>98</v>
      </c>
      <c r="BH781" s="7" t="s">
        <v>98</v>
      </c>
      <c r="BI781" s="7"/>
      <c r="BJ781" s="4"/>
      <c r="BK781" s="8"/>
      <c r="BL781" s="2" t="s">
        <v>98</v>
      </c>
      <c r="BM781" s="7"/>
      <c r="BN781" s="7"/>
      <c r="BO781" s="4"/>
      <c r="BP781" s="8"/>
      <c r="BQ781" s="4"/>
      <c r="BR781" s="8"/>
      <c r="BS781" s="7"/>
      <c r="BT781" s="7"/>
      <c r="BU781" s="2" t="s">
        <v>1376</v>
      </c>
      <c r="BV781" s="2" t="s">
        <v>95</v>
      </c>
      <c r="BW781" s="2" t="s">
        <v>98</v>
      </c>
      <c r="BX781" s="2" t="s">
        <v>98</v>
      </c>
      <c r="BY781" s="2" t="s">
        <v>110</v>
      </c>
      <c r="BZ781" s="2" t="s">
        <v>98</v>
      </c>
    </row>
    <row r="782">
      <c r="A782" s="2" t="s">
        <v>3960</v>
      </c>
      <c r="B782" s="2" t="s">
        <v>1345</v>
      </c>
      <c r="C782" s="2" t="s">
        <v>952</v>
      </c>
      <c r="D782" s="2" t="s">
        <v>2700</v>
      </c>
      <c r="E782" s="2" t="s">
        <v>2700</v>
      </c>
      <c r="F782" s="2" t="s">
        <v>3716</v>
      </c>
      <c r="G782" s="2" t="s">
        <v>3716</v>
      </c>
      <c r="H782" s="2" t="s">
        <v>3716</v>
      </c>
      <c r="I782" s="2" t="s">
        <v>3961</v>
      </c>
      <c r="J782" s="2" t="s">
        <v>93</v>
      </c>
      <c r="K782" s="2" t="s">
        <v>473</v>
      </c>
      <c r="L782" s="3">
        <v>405</v>
      </c>
      <c r="M782" s="3">
        <v>425.25</v>
      </c>
      <c r="N782" s="3">
        <v>849</v>
      </c>
      <c r="O782" s="2" t="s">
        <v>95</v>
      </c>
      <c r="P782" s="2" t="s">
        <v>134</v>
      </c>
      <c r="Q782" s="2" t="s">
        <v>97</v>
      </c>
      <c r="R782" s="2" t="s">
        <v>98</v>
      </c>
      <c r="S782" s="2" t="s">
        <v>98</v>
      </c>
      <c r="T782" s="2" t="s">
        <v>98</v>
      </c>
      <c r="U782" s="2" t="s">
        <v>98</v>
      </c>
      <c r="V782" s="2" t="s">
        <v>296</v>
      </c>
      <c r="W782" s="2" t="s">
        <v>963</v>
      </c>
      <c r="X782" s="2" t="s">
        <v>102</v>
      </c>
      <c r="Y782" s="2" t="s">
        <v>2373</v>
      </c>
      <c r="Z782" s="4">
        <v>67</v>
      </c>
      <c r="AA782" s="4">
        <f>=ROUNDDOWN(31.9047619047619,0)</f>
      </c>
      <c r="AB782" s="5">
        <v>2.1</v>
      </c>
      <c r="AC782" s="2" t="s">
        <v>3962</v>
      </c>
      <c r="AD782" s="4">
        <v>68</v>
      </c>
      <c r="AE782" s="4">
        <v>168</v>
      </c>
      <c r="AF782" s="6">
        <v>74</v>
      </c>
      <c r="AG782" s="6"/>
      <c r="AH782" s="7">
        <v>1</v>
      </c>
      <c r="AI782" s="4"/>
      <c r="AJ782" s="4">
        <f>=ROUNDDOWN({0},0)</f>
      </c>
      <c r="AK782" s="5"/>
      <c r="AL782" s="2" t="s">
        <v>98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/>
      <c r="BD782" s="8"/>
      <c r="BE782" s="4"/>
      <c r="BF782" s="8"/>
      <c r="BG782" s="7"/>
      <c r="BH782" s="7"/>
      <c r="BI782" s="7"/>
      <c r="BJ782" s="4">
        <v>2</v>
      </c>
      <c r="BK782" s="8">
        <v>721.1</v>
      </c>
      <c r="BL782" s="2" t="s">
        <v>895</v>
      </c>
      <c r="BM782" s="7"/>
      <c r="BN782" s="7"/>
      <c r="BO782" s="4"/>
      <c r="BP782" s="8"/>
      <c r="BQ782" s="4"/>
      <c r="BR782" s="8"/>
      <c r="BS782" s="7"/>
      <c r="BT782" s="7"/>
      <c r="BU782" s="2" t="s">
        <v>1376</v>
      </c>
      <c r="BV782" s="2" t="s">
        <v>95</v>
      </c>
      <c r="BW782" s="2" t="s">
        <v>98</v>
      </c>
      <c r="BX782" s="2" t="s">
        <v>98</v>
      </c>
      <c r="BY782" s="2" t="s">
        <v>110</v>
      </c>
      <c r="BZ782" s="2" t="s">
        <v>98</v>
      </c>
    </row>
    <row r="783">
      <c r="A783" s="2" t="s">
        <v>3963</v>
      </c>
      <c r="B783" s="2" t="s">
        <v>1345</v>
      </c>
      <c r="C783" s="2" t="s">
        <v>952</v>
      </c>
      <c r="D783" s="2" t="s">
        <v>2700</v>
      </c>
      <c r="E783" s="2" t="s">
        <v>2700</v>
      </c>
      <c r="F783" s="2" t="s">
        <v>3926</v>
      </c>
      <c r="G783" s="2" t="s">
        <v>3926</v>
      </c>
      <c r="H783" s="2" t="s">
        <v>3926</v>
      </c>
      <c r="I783" s="2" t="s">
        <v>3964</v>
      </c>
      <c r="J783" s="2" t="s">
        <v>93</v>
      </c>
      <c r="K783" s="2" t="s">
        <v>133</v>
      </c>
      <c r="L783" s="3">
        <v>313.5</v>
      </c>
      <c r="M783" s="3">
        <v>329.18</v>
      </c>
      <c r="N783" s="3">
        <v>659</v>
      </c>
      <c r="O783" s="2" t="s">
        <v>95</v>
      </c>
      <c r="P783" s="2" t="s">
        <v>134</v>
      </c>
      <c r="Q783" s="2" t="s">
        <v>97</v>
      </c>
      <c r="R783" s="2" t="s">
        <v>98</v>
      </c>
      <c r="S783" s="2" t="s">
        <v>98</v>
      </c>
      <c r="T783" s="2" t="s">
        <v>98</v>
      </c>
      <c r="U783" s="2" t="s">
        <v>98</v>
      </c>
      <c r="V783" s="2" t="s">
        <v>439</v>
      </c>
      <c r="W783" s="2" t="s">
        <v>968</v>
      </c>
      <c r="X783" s="2" t="s">
        <v>98</v>
      </c>
      <c r="Y783" s="2" t="s">
        <v>3505</v>
      </c>
      <c r="Z783" s="4">
        <v>67</v>
      </c>
      <c r="AA783" s="4">
        <f>=ROUNDDOWN(14.5652173913043,0)</f>
      </c>
      <c r="AB783" s="5">
        <v>4.6</v>
      </c>
      <c r="AC783" s="2" t="s">
        <v>1700</v>
      </c>
      <c r="AD783" s="4">
        <v>69</v>
      </c>
      <c r="AE783" s="4">
        <v>100</v>
      </c>
      <c r="AF783" s="6">
        <v>74</v>
      </c>
      <c r="AG783" s="6">
        <v>60</v>
      </c>
      <c r="AH783" s="7">
        <v>1</v>
      </c>
      <c r="AI783" s="4"/>
      <c r="AJ783" s="4">
        <f>=ROUNDDOWN({0},0)</f>
      </c>
      <c r="AK783" s="5"/>
      <c r="AL783" s="2" t="s">
        <v>98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/>
      <c r="AW783" s="8"/>
      <c r="AX783" s="4"/>
      <c r="AY783" s="8"/>
      <c r="AZ783" s="7"/>
      <c r="BA783" s="7"/>
      <c r="BB783" s="7"/>
      <c r="BC783" s="4"/>
      <c r="BD783" s="8"/>
      <c r="BE783" s="4"/>
      <c r="BF783" s="8"/>
      <c r="BG783" s="7"/>
      <c r="BH783" s="7"/>
      <c r="BI783" s="7"/>
      <c r="BJ783" s="4">
        <v>3</v>
      </c>
      <c r="BK783" s="8">
        <v>999.56</v>
      </c>
      <c r="BL783" s="2" t="s">
        <v>1379</v>
      </c>
      <c r="BM783" s="7"/>
      <c r="BN783" s="7"/>
      <c r="BO783" s="4"/>
      <c r="BP783" s="8"/>
      <c r="BQ783" s="4"/>
      <c r="BR783" s="8"/>
      <c r="BS783" s="7"/>
      <c r="BT783" s="7"/>
      <c r="BU783" s="2" t="s">
        <v>107</v>
      </c>
      <c r="BV783" s="2" t="s">
        <v>1355</v>
      </c>
      <c r="BW783" s="2" t="s">
        <v>1550</v>
      </c>
      <c r="BX783" s="2" t="s">
        <v>3965</v>
      </c>
      <c r="BY783" s="2" t="s">
        <v>110</v>
      </c>
      <c r="BZ783" s="2" t="s">
        <v>98</v>
      </c>
    </row>
    <row r="784">
      <c r="A784" s="2" t="s">
        <v>3966</v>
      </c>
      <c r="B784" s="2" t="s">
        <v>1345</v>
      </c>
      <c r="C784" s="2" t="s">
        <v>952</v>
      </c>
      <c r="D784" s="2" t="s">
        <v>2700</v>
      </c>
      <c r="E784" s="2" t="s">
        <v>2700</v>
      </c>
      <c r="F784" s="2" t="s">
        <v>3699</v>
      </c>
      <c r="G784" s="2" t="s">
        <v>3699</v>
      </c>
      <c r="H784" s="2" t="s">
        <v>98</v>
      </c>
      <c r="I784" s="2" t="s">
        <v>3967</v>
      </c>
      <c r="J784" s="2" t="s">
        <v>93</v>
      </c>
      <c r="K784" s="2" t="s">
        <v>3466</v>
      </c>
      <c r="L784" s="3">
        <v>120</v>
      </c>
      <c r="M784" s="3">
        <v>126</v>
      </c>
      <c r="N784" s="3">
        <v>249</v>
      </c>
      <c r="O784" s="2" t="s">
        <v>95</v>
      </c>
      <c r="P784" s="2" t="s">
        <v>134</v>
      </c>
      <c r="Q784" s="2" t="s">
        <v>97</v>
      </c>
      <c r="R784" s="2" t="s">
        <v>98</v>
      </c>
      <c r="S784" s="2" t="s">
        <v>3968</v>
      </c>
      <c r="T784" s="2" t="s">
        <v>98</v>
      </c>
      <c r="U784" s="2" t="s">
        <v>98</v>
      </c>
      <c r="V784" s="2" t="s">
        <v>439</v>
      </c>
      <c r="W784" s="2" t="s">
        <v>968</v>
      </c>
      <c r="X784" s="2" t="s">
        <v>98</v>
      </c>
      <c r="Y784" s="2" t="s">
        <v>366</v>
      </c>
      <c r="Z784" s="4">
        <v>90</v>
      </c>
      <c r="AA784" s="4">
        <f>=ROUNDDOWN(180,0)</f>
      </c>
      <c r="AB784" s="5">
        <v>0.5</v>
      </c>
      <c r="AC784" s="2" t="s">
        <v>2449</v>
      </c>
      <c r="AD784" s="4">
        <v>70</v>
      </c>
      <c r="AE784" s="4">
        <v>70</v>
      </c>
      <c r="AF784" s="6">
        <v>74</v>
      </c>
      <c r="AG784" s="6">
        <v>60</v>
      </c>
      <c r="AH784" s="7">
        <v>1</v>
      </c>
      <c r="AI784" s="4"/>
      <c r="AJ784" s="4">
        <f>=ROUNDDOWN({0},0)</f>
      </c>
      <c r="AK784" s="5"/>
      <c r="AL784" s="2" t="s">
        <v>2575</v>
      </c>
      <c r="AM784" s="4">
        <v>50</v>
      </c>
      <c r="AN784" s="4">
        <v>90</v>
      </c>
      <c r="AO784" s="7">
        <v>0</v>
      </c>
      <c r="AP784" s="4"/>
      <c r="AQ784" s="8"/>
      <c r="AR784" s="4"/>
      <c r="AS784" s="8"/>
      <c r="AT784" s="7"/>
      <c r="AU784" s="7"/>
      <c r="AV784" s="4"/>
      <c r="AW784" s="8"/>
      <c r="AX784" s="4"/>
      <c r="AY784" s="8"/>
      <c r="AZ784" s="7"/>
      <c r="BA784" s="7"/>
      <c r="BB784" s="7"/>
      <c r="BC784" s="4"/>
      <c r="BD784" s="8"/>
      <c r="BE784" s="4"/>
      <c r="BF784" s="8"/>
      <c r="BG784" s="7"/>
      <c r="BH784" s="7"/>
      <c r="BI784" s="7"/>
      <c r="BJ784" s="4">
        <v>3</v>
      </c>
      <c r="BK784" s="8">
        <v>362.28</v>
      </c>
      <c r="BL784" s="2" t="s">
        <v>1368</v>
      </c>
      <c r="BM784" s="7"/>
      <c r="BN784" s="7"/>
      <c r="BO784" s="4"/>
      <c r="BP784" s="8"/>
      <c r="BQ784" s="4"/>
      <c r="BR784" s="8"/>
      <c r="BS784" s="7"/>
      <c r="BT784" s="7"/>
      <c r="BU784" s="2" t="s">
        <v>107</v>
      </c>
      <c r="BV784" s="2" t="s">
        <v>1355</v>
      </c>
      <c r="BW784" s="2" t="s">
        <v>2766</v>
      </c>
      <c r="BX784" s="2" t="s">
        <v>3703</v>
      </c>
      <c r="BY784" s="2" t="s">
        <v>110</v>
      </c>
      <c r="BZ784" s="2" t="s">
        <v>98</v>
      </c>
    </row>
    <row r="785">
      <c r="A785" s="2" t="s">
        <v>3969</v>
      </c>
      <c r="B785" s="2" t="s">
        <v>1345</v>
      </c>
      <c r="C785" s="2" t="s">
        <v>952</v>
      </c>
      <c r="D785" s="2" t="s">
        <v>2700</v>
      </c>
      <c r="E785" s="2" t="s">
        <v>2700</v>
      </c>
      <c r="F785" s="2" t="s">
        <v>3877</v>
      </c>
      <c r="G785" s="2" t="s">
        <v>3877</v>
      </c>
      <c r="H785" s="2" t="s">
        <v>3877</v>
      </c>
      <c r="I785" s="2" t="s">
        <v>3953</v>
      </c>
      <c r="J785" s="2" t="s">
        <v>93</v>
      </c>
      <c r="K785" s="2" t="s">
        <v>127</v>
      </c>
      <c r="L785" s="3">
        <v>285.2</v>
      </c>
      <c r="M785" s="3">
        <v>299.46</v>
      </c>
      <c r="N785" s="3">
        <v>599</v>
      </c>
      <c r="O785" s="2" t="s">
        <v>95</v>
      </c>
      <c r="P785" s="2" t="s">
        <v>96</v>
      </c>
      <c r="Q785" s="2" t="s">
        <v>97</v>
      </c>
      <c r="R785" s="2" t="s">
        <v>98</v>
      </c>
      <c r="S785" s="2" t="s">
        <v>98</v>
      </c>
      <c r="T785" s="2" t="s">
        <v>98</v>
      </c>
      <c r="U785" s="2" t="s">
        <v>98</v>
      </c>
      <c r="V785" s="2" t="s">
        <v>439</v>
      </c>
      <c r="W785" s="2" t="s">
        <v>968</v>
      </c>
      <c r="X785" s="2" t="s">
        <v>98</v>
      </c>
      <c r="Y785" s="2" t="s">
        <v>3505</v>
      </c>
      <c r="Z785" s="4">
        <v>185</v>
      </c>
      <c r="AA785" s="4">
        <f>=ROUNDDOWN(37,0)</f>
      </c>
      <c r="AB785" s="5">
        <v>5</v>
      </c>
      <c r="AC785" s="2" t="s">
        <v>177</v>
      </c>
      <c r="AD785" s="4">
        <v>35</v>
      </c>
      <c r="AE785" s="4">
        <v>35</v>
      </c>
      <c r="AF785" s="6">
        <v>74</v>
      </c>
      <c r="AG785" s="6">
        <v>60</v>
      </c>
      <c r="AH785" s="7">
        <v>1</v>
      </c>
      <c r="AI785" s="4"/>
      <c r="AJ785" s="4">
        <f>=ROUNDDOWN({0},0)</f>
      </c>
      <c r="AK785" s="5"/>
      <c r="AL785" s="2" t="s">
        <v>1729</v>
      </c>
      <c r="AM785" s="4">
        <v>45</v>
      </c>
      <c r="AN785" s="4">
        <v>105</v>
      </c>
      <c r="AO785" s="7">
        <v>0</v>
      </c>
      <c r="AP785" s="4"/>
      <c r="AQ785" s="8"/>
      <c r="AR785" s="4"/>
      <c r="AS785" s="8"/>
      <c r="AT785" s="7"/>
      <c r="AU785" s="7"/>
      <c r="AV785" s="4"/>
      <c r="AW785" s="8"/>
      <c r="AX785" s="4"/>
      <c r="AY785" s="8"/>
      <c r="AZ785" s="7"/>
      <c r="BA785" s="7"/>
      <c r="BB785" s="7"/>
      <c r="BC785" s="4" t="s">
        <v>98</v>
      </c>
      <c r="BD785" s="8" t="s">
        <v>98</v>
      </c>
      <c r="BE785" s="4" t="s">
        <v>98</v>
      </c>
      <c r="BF785" s="8" t="s">
        <v>98</v>
      </c>
      <c r="BG785" s="7" t="s">
        <v>98</v>
      </c>
      <c r="BH785" s="7" t="s">
        <v>98</v>
      </c>
      <c r="BI785" s="7"/>
      <c r="BJ785" s="4">
        <v>11</v>
      </c>
      <c r="BK785" s="8">
        <v>3408.24</v>
      </c>
      <c r="BL785" s="2" t="s">
        <v>3970</v>
      </c>
      <c r="BM785" s="7"/>
      <c r="BN785" s="7"/>
      <c r="BO785" s="4"/>
      <c r="BP785" s="8"/>
      <c r="BQ785" s="4"/>
      <c r="BR785" s="8"/>
      <c r="BS785" s="7"/>
      <c r="BT785" s="7"/>
      <c r="BU785" s="2" t="s">
        <v>107</v>
      </c>
      <c r="BV785" s="2" t="s">
        <v>1355</v>
      </c>
      <c r="BW785" s="2" t="s">
        <v>1550</v>
      </c>
      <c r="BX785" s="2" t="s">
        <v>3878</v>
      </c>
      <c r="BY785" s="2" t="s">
        <v>110</v>
      </c>
      <c r="BZ785" s="2" t="s">
        <v>98</v>
      </c>
    </row>
    <row r="786">
      <c r="A786" s="2" t="s">
        <v>3971</v>
      </c>
      <c r="B786" s="2" t="s">
        <v>1345</v>
      </c>
      <c r="C786" s="2" t="s">
        <v>952</v>
      </c>
      <c r="D786" s="2" t="s">
        <v>2700</v>
      </c>
      <c r="E786" s="2" t="s">
        <v>2700</v>
      </c>
      <c r="F786" s="2" t="s">
        <v>3877</v>
      </c>
      <c r="G786" s="2" t="s">
        <v>3877</v>
      </c>
      <c r="H786" s="2" t="s">
        <v>3877</v>
      </c>
      <c r="I786" s="2" t="s">
        <v>3953</v>
      </c>
      <c r="J786" s="2" t="s">
        <v>93</v>
      </c>
      <c r="K786" s="2" t="s">
        <v>94</v>
      </c>
      <c r="L786" s="3">
        <v>285.2</v>
      </c>
      <c r="M786" s="3">
        <v>299.46</v>
      </c>
      <c r="N786" s="3">
        <v>599</v>
      </c>
      <c r="O786" s="2" t="s">
        <v>95</v>
      </c>
      <c r="P786" s="2" t="s">
        <v>134</v>
      </c>
      <c r="Q786" s="2" t="s">
        <v>97</v>
      </c>
      <c r="R786" s="2" t="s">
        <v>98</v>
      </c>
      <c r="S786" s="2" t="s">
        <v>98</v>
      </c>
      <c r="T786" s="2" t="s">
        <v>98</v>
      </c>
      <c r="U786" s="2" t="s">
        <v>117</v>
      </c>
      <c r="V786" s="2" t="s">
        <v>439</v>
      </c>
      <c r="W786" s="2" t="s">
        <v>968</v>
      </c>
      <c r="X786" s="2" t="s">
        <v>102</v>
      </c>
      <c r="Y786" s="2" t="s">
        <v>3942</v>
      </c>
      <c r="Z786" s="4">
        <v>116</v>
      </c>
      <c r="AA786" s="4">
        <f>=ROUNDDOWN(23.2,0)</f>
      </c>
      <c r="AB786" s="5">
        <v>5</v>
      </c>
      <c r="AC786" s="2" t="s">
        <v>2780</v>
      </c>
      <c r="AD786" s="4">
        <v>100</v>
      </c>
      <c r="AE786" s="4">
        <v>100</v>
      </c>
      <c r="AF786" s="6">
        <v>74</v>
      </c>
      <c r="AG786" s="6"/>
      <c r="AH786" s="7">
        <v>1</v>
      </c>
      <c r="AI786" s="4"/>
      <c r="AJ786" s="4">
        <f>=ROUNDDOWN({0},0)</f>
      </c>
      <c r="AK786" s="5"/>
      <c r="AL786" s="2" t="s">
        <v>98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/>
      <c r="AW786" s="8"/>
      <c r="AX786" s="4"/>
      <c r="AY786" s="8"/>
      <c r="AZ786" s="7"/>
      <c r="BA786" s="7"/>
      <c r="BB786" s="7"/>
      <c r="BC786" s="4" t="s">
        <v>98</v>
      </c>
      <c r="BD786" s="8" t="s">
        <v>98</v>
      </c>
      <c r="BE786" s="4" t="s">
        <v>98</v>
      </c>
      <c r="BF786" s="8" t="s">
        <v>98</v>
      </c>
      <c r="BG786" s="7" t="s">
        <v>98</v>
      </c>
      <c r="BH786" s="7" t="s">
        <v>98</v>
      </c>
      <c r="BI786" s="7"/>
      <c r="BJ786" s="4">
        <v>1</v>
      </c>
      <c r="BK786" s="8">
        <v>348.06</v>
      </c>
      <c r="BL786" s="2" t="s">
        <v>2959</v>
      </c>
      <c r="BM786" s="7"/>
      <c r="BN786" s="7"/>
      <c r="BO786" s="4"/>
      <c r="BP786" s="8"/>
      <c r="BQ786" s="4"/>
      <c r="BR786" s="8"/>
      <c r="BS786" s="7"/>
      <c r="BT786" s="7"/>
      <c r="BU786" s="2" t="s">
        <v>1376</v>
      </c>
      <c r="BV786" s="2" t="s">
        <v>95</v>
      </c>
      <c r="BW786" s="2" t="s">
        <v>98</v>
      </c>
      <c r="BX786" s="2" t="s">
        <v>98</v>
      </c>
      <c r="BY786" s="2" t="s">
        <v>110</v>
      </c>
      <c r="BZ786" s="2" t="s">
        <v>98</v>
      </c>
    </row>
    <row r="787">
      <c r="A787" s="2" t="s">
        <v>3972</v>
      </c>
      <c r="B787" s="2" t="s">
        <v>1345</v>
      </c>
      <c r="C787" s="2" t="s">
        <v>952</v>
      </c>
      <c r="D787" s="2" t="s">
        <v>2700</v>
      </c>
      <c r="E787" s="2" t="s">
        <v>2700</v>
      </c>
      <c r="F787" s="2" t="s">
        <v>3877</v>
      </c>
      <c r="G787" s="2" t="s">
        <v>3877</v>
      </c>
      <c r="H787" s="2" t="s">
        <v>3877</v>
      </c>
      <c r="I787" s="2" t="s">
        <v>3953</v>
      </c>
      <c r="J787" s="2" t="s">
        <v>93</v>
      </c>
      <c r="K787" s="2" t="s">
        <v>3870</v>
      </c>
      <c r="L787" s="3">
        <v>285.2</v>
      </c>
      <c r="M787" s="3">
        <v>299.46</v>
      </c>
      <c r="N787" s="3">
        <v>599</v>
      </c>
      <c r="O787" s="2" t="s">
        <v>95</v>
      </c>
      <c r="P787" s="2" t="s">
        <v>142</v>
      </c>
      <c r="Q787" s="2" t="s">
        <v>97</v>
      </c>
      <c r="R787" s="2" t="s">
        <v>98</v>
      </c>
      <c r="S787" s="2" t="s">
        <v>98</v>
      </c>
      <c r="T787" s="2" t="s">
        <v>98</v>
      </c>
      <c r="U787" s="2" t="s">
        <v>117</v>
      </c>
      <c r="V787" s="2" t="s">
        <v>439</v>
      </c>
      <c r="W787" s="2" t="s">
        <v>968</v>
      </c>
      <c r="X787" s="2" t="s">
        <v>102</v>
      </c>
      <c r="Y787" s="2" t="s">
        <v>3880</v>
      </c>
      <c r="Z787" s="4">
        <v>90</v>
      </c>
      <c r="AA787" s="4">
        <f>=ROUNDDOWN(23.6842105263158,0)</f>
      </c>
      <c r="AB787" s="5">
        <v>3.8</v>
      </c>
      <c r="AC787" s="2" t="s">
        <v>214</v>
      </c>
      <c r="AD787" s="4">
        <v>100</v>
      </c>
      <c r="AE787" s="4">
        <v>100</v>
      </c>
      <c r="AF787" s="6">
        <v>74</v>
      </c>
      <c r="AG787" s="6">
        <v>60</v>
      </c>
      <c r="AH787" s="7">
        <v>1</v>
      </c>
      <c r="AI787" s="4"/>
      <c r="AJ787" s="4">
        <f>=ROUNDDOWN({0},0)</f>
      </c>
      <c r="AK787" s="5"/>
      <c r="AL787" s="2" t="s">
        <v>98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/>
      <c r="AW787" s="8"/>
      <c r="AX787" s="4"/>
      <c r="AY787" s="8"/>
      <c r="AZ787" s="7"/>
      <c r="BA787" s="7"/>
      <c r="BB787" s="7"/>
      <c r="BC787" s="4" t="s">
        <v>98</v>
      </c>
      <c r="BD787" s="8" t="s">
        <v>98</v>
      </c>
      <c r="BE787" s="4" t="s">
        <v>98</v>
      </c>
      <c r="BF787" s="8" t="s">
        <v>98</v>
      </c>
      <c r="BG787" s="7" t="s">
        <v>98</v>
      </c>
      <c r="BH787" s="7" t="s">
        <v>98</v>
      </c>
      <c r="BI787" s="7"/>
      <c r="BJ787" s="4">
        <v>2</v>
      </c>
      <c r="BK787" s="8">
        <v>609.08</v>
      </c>
      <c r="BL787" s="2" t="s">
        <v>1379</v>
      </c>
      <c r="BM787" s="7"/>
      <c r="BN787" s="7"/>
      <c r="BO787" s="4"/>
      <c r="BP787" s="8"/>
      <c r="BQ787" s="4"/>
      <c r="BR787" s="8"/>
      <c r="BS787" s="7"/>
      <c r="BT787" s="7"/>
      <c r="BU787" s="2" t="s">
        <v>1376</v>
      </c>
      <c r="BV787" s="2" t="s">
        <v>95</v>
      </c>
      <c r="BW787" s="2" t="s">
        <v>98</v>
      </c>
      <c r="BX787" s="2" t="s">
        <v>98</v>
      </c>
      <c r="BY787" s="2" t="s">
        <v>110</v>
      </c>
      <c r="BZ787" s="2" t="s">
        <v>98</v>
      </c>
    </row>
    <row r="788">
      <c r="A788" s="2" t="s">
        <v>3973</v>
      </c>
      <c r="B788" s="2" t="s">
        <v>1345</v>
      </c>
      <c r="C788" s="2" t="s">
        <v>952</v>
      </c>
      <c r="D788" s="2" t="s">
        <v>3974</v>
      </c>
      <c r="E788" s="2" t="s">
        <v>3975</v>
      </c>
      <c r="F788" s="2" t="s">
        <v>3650</v>
      </c>
      <c r="G788" s="2" t="s">
        <v>98</v>
      </c>
      <c r="H788" s="2" t="s">
        <v>98</v>
      </c>
      <c r="I788" s="2" t="s">
        <v>3976</v>
      </c>
      <c r="J788" s="2" t="s">
        <v>93</v>
      </c>
      <c r="K788" s="2" t="s">
        <v>3652</v>
      </c>
      <c r="L788" s="3">
        <v>346.5</v>
      </c>
      <c r="M788" s="3">
        <v>363.82</v>
      </c>
      <c r="N788" s="3">
        <v>729</v>
      </c>
      <c r="O788" s="2" t="s">
        <v>155</v>
      </c>
      <c r="P788" s="2" t="s">
        <v>115</v>
      </c>
      <c r="Q788" s="2" t="s">
        <v>97</v>
      </c>
      <c r="R788" s="2" t="s">
        <v>98</v>
      </c>
      <c r="S788" s="2" t="s">
        <v>3977</v>
      </c>
      <c r="T788" s="2" t="s">
        <v>98</v>
      </c>
      <c r="U788" s="2" t="s">
        <v>98</v>
      </c>
      <c r="V788" s="2" t="s">
        <v>439</v>
      </c>
      <c r="W788" s="2" t="s">
        <v>968</v>
      </c>
      <c r="X788" s="2" t="s">
        <v>98</v>
      </c>
      <c r="Y788" s="2" t="s">
        <v>366</v>
      </c>
      <c r="Z788" s="4">
        <v>29</v>
      </c>
      <c r="AA788" s="4">
        <f>=ROUNDDOWN(26.3636363636364,0)</f>
      </c>
      <c r="AB788" s="5">
        <v>1.1</v>
      </c>
      <c r="AC788" s="2" t="s">
        <v>98</v>
      </c>
      <c r="AD788" s="4"/>
      <c r="AE788" s="4"/>
      <c r="AF788" s="6">
        <v>74</v>
      </c>
      <c r="AG788" s="6"/>
      <c r="AH788" s="7">
        <v>1</v>
      </c>
      <c r="AI788" s="4"/>
      <c r="AJ788" s="4">
        <f>=ROUNDDOWN({0},0)</f>
      </c>
      <c r="AK788" s="5"/>
      <c r="AL788" s="2" t="s">
        <v>98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/>
      <c r="AW788" s="8"/>
      <c r="AX788" s="4"/>
      <c r="AY788" s="8"/>
      <c r="AZ788" s="7"/>
      <c r="BA788" s="7"/>
      <c r="BB788" s="7"/>
      <c r="BC788" s="4"/>
      <c r="BD788" s="8"/>
      <c r="BE788" s="4"/>
      <c r="BF788" s="8"/>
      <c r="BG788" s="7"/>
      <c r="BH788" s="7"/>
      <c r="BI788" s="7"/>
      <c r="BJ788" s="4"/>
      <c r="BK788" s="8"/>
      <c r="BL788" s="2" t="s">
        <v>98</v>
      </c>
      <c r="BM788" s="7"/>
      <c r="BN788" s="7"/>
      <c r="BO788" s="4"/>
      <c r="BP788" s="8"/>
      <c r="BQ788" s="4"/>
      <c r="BR788" s="8"/>
      <c r="BS788" s="7"/>
      <c r="BT788" s="7"/>
      <c r="BU788" s="2" t="s">
        <v>107</v>
      </c>
      <c r="BV788" s="2" t="s">
        <v>1355</v>
      </c>
      <c r="BW788" s="2" t="s">
        <v>250</v>
      </c>
      <c r="BX788" s="2" t="s">
        <v>3978</v>
      </c>
      <c r="BY788" s="2" t="s">
        <v>110</v>
      </c>
      <c r="BZ788" s="2" t="s">
        <v>98</v>
      </c>
    </row>
    <row r="789">
      <c r="A789" s="2" t="s">
        <v>3979</v>
      </c>
      <c r="B789" s="2" t="s">
        <v>1345</v>
      </c>
      <c r="C789" s="2" t="s">
        <v>952</v>
      </c>
      <c r="D789" s="2" t="s">
        <v>2821</v>
      </c>
      <c r="E789" s="2" t="s">
        <v>2821</v>
      </c>
      <c r="F789" s="2" t="s">
        <v>3699</v>
      </c>
      <c r="G789" s="2" t="s">
        <v>98</v>
      </c>
      <c r="H789" s="2" t="s">
        <v>98</v>
      </c>
      <c r="I789" s="2" t="s">
        <v>2860</v>
      </c>
      <c r="J789" s="2" t="s">
        <v>2826</v>
      </c>
      <c r="K789" s="2" t="s">
        <v>3980</v>
      </c>
      <c r="L789" s="3">
        <v>190</v>
      </c>
      <c r="M789" s="3">
        <v>199.5</v>
      </c>
      <c r="N789" s="3">
        <v>399</v>
      </c>
      <c r="O789" s="2" t="s">
        <v>155</v>
      </c>
      <c r="P789" s="2" t="s">
        <v>115</v>
      </c>
      <c r="Q789" s="2" t="s">
        <v>97</v>
      </c>
      <c r="R789" s="2" t="s">
        <v>98</v>
      </c>
      <c r="S789" s="2" t="s">
        <v>3981</v>
      </c>
      <c r="T789" s="2" t="s">
        <v>98</v>
      </c>
      <c r="U789" s="2" t="s">
        <v>98</v>
      </c>
      <c r="V789" s="2" t="s">
        <v>439</v>
      </c>
      <c r="W789" s="2" t="s">
        <v>968</v>
      </c>
      <c r="X789" s="2" t="s">
        <v>98</v>
      </c>
      <c r="Y789" s="2" t="s">
        <v>366</v>
      </c>
      <c r="Z789" s="4">
        <v>45</v>
      </c>
      <c r="AA789" s="4">
        <f>=ROUNDDOWN(25,0)</f>
      </c>
      <c r="AB789" s="5">
        <v>1.8</v>
      </c>
      <c r="AC789" s="2" t="s">
        <v>98</v>
      </c>
      <c r="AD789" s="4"/>
      <c r="AE789" s="4"/>
      <c r="AF789" s="6">
        <v>74</v>
      </c>
      <c r="AG789" s="6"/>
      <c r="AH789" s="7">
        <v>1</v>
      </c>
      <c r="AI789" s="4"/>
      <c r="AJ789" s="4">
        <f>=ROUNDDOWN({0},0)</f>
      </c>
      <c r="AK789" s="5"/>
      <c r="AL789" s="2" t="s">
        <v>98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/>
      <c r="AW789" s="8"/>
      <c r="AX789" s="4"/>
      <c r="AY789" s="8"/>
      <c r="AZ789" s="7"/>
      <c r="BA789" s="7"/>
      <c r="BB789" s="7"/>
      <c r="BC789" s="4"/>
      <c r="BD789" s="8"/>
      <c r="BE789" s="4"/>
      <c r="BF789" s="8"/>
      <c r="BG789" s="7"/>
      <c r="BH789" s="7"/>
      <c r="BI789" s="7"/>
      <c r="BJ789" s="4">
        <v>1</v>
      </c>
      <c r="BK789" s="8">
        <v>129.68</v>
      </c>
      <c r="BL789" s="2" t="s">
        <v>759</v>
      </c>
      <c r="BM789" s="7"/>
      <c r="BN789" s="7"/>
      <c r="BO789" s="4"/>
      <c r="BP789" s="8"/>
      <c r="BQ789" s="4"/>
      <c r="BR789" s="8"/>
      <c r="BS789" s="7"/>
      <c r="BT789" s="7"/>
      <c r="BU789" s="2" t="s">
        <v>107</v>
      </c>
      <c r="BV789" s="2" t="s">
        <v>1355</v>
      </c>
      <c r="BW789" s="2" t="s">
        <v>497</v>
      </c>
      <c r="BX789" s="2" t="s">
        <v>3982</v>
      </c>
      <c r="BY789" s="2" t="s">
        <v>110</v>
      </c>
      <c r="BZ789" s="2" t="s">
        <v>98</v>
      </c>
    </row>
    <row r="790">
      <c r="A790" s="2" t="s">
        <v>3983</v>
      </c>
      <c r="B790" s="2" t="s">
        <v>1345</v>
      </c>
      <c r="C790" s="2" t="s">
        <v>952</v>
      </c>
      <c r="D790" s="2" t="s">
        <v>2821</v>
      </c>
      <c r="E790" s="2" t="s">
        <v>2821</v>
      </c>
      <c r="F790" s="2" t="s">
        <v>3822</v>
      </c>
      <c r="G790" s="2" t="s">
        <v>3822</v>
      </c>
      <c r="H790" s="2" t="s">
        <v>3822</v>
      </c>
      <c r="I790" s="2" t="s">
        <v>3984</v>
      </c>
      <c r="J790" s="2" t="s">
        <v>93</v>
      </c>
      <c r="K790" s="2" t="s">
        <v>127</v>
      </c>
      <c r="L790" s="3">
        <v>192.78</v>
      </c>
      <c r="M790" s="3">
        <v>202.42</v>
      </c>
      <c r="N790" s="3">
        <v>399</v>
      </c>
      <c r="O790" s="2" t="s">
        <v>95</v>
      </c>
      <c r="P790" s="2" t="s">
        <v>142</v>
      </c>
      <c r="Q790" s="2" t="s">
        <v>97</v>
      </c>
      <c r="R790" s="2" t="s">
        <v>98</v>
      </c>
      <c r="S790" s="2" t="s">
        <v>98</v>
      </c>
      <c r="T790" s="2" t="s">
        <v>98</v>
      </c>
      <c r="U790" s="2" t="s">
        <v>98</v>
      </c>
      <c r="V790" s="2" t="s">
        <v>296</v>
      </c>
      <c r="W790" s="2" t="s">
        <v>102</v>
      </c>
      <c r="X790" s="2" t="s">
        <v>3985</v>
      </c>
      <c r="Y790" s="2" t="s">
        <v>3616</v>
      </c>
      <c r="Z790" s="4">
        <v>79</v>
      </c>
      <c r="AA790" s="4">
        <f>=ROUNDDOWN(39.5,0)</f>
      </c>
      <c r="AB790" s="5">
        <v>2</v>
      </c>
      <c r="AC790" s="2" t="s">
        <v>98</v>
      </c>
      <c r="AD790" s="4"/>
      <c r="AE790" s="4"/>
      <c r="AF790" s="6">
        <v>76</v>
      </c>
      <c r="AG790" s="6"/>
      <c r="AH790" s="7">
        <v>1</v>
      </c>
      <c r="AI790" s="4"/>
      <c r="AJ790" s="4">
        <f>=ROUNDDOWN({0},0)</f>
      </c>
      <c r="AK790" s="5"/>
      <c r="AL790" s="2" t="s">
        <v>98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/>
      <c r="AW790" s="8"/>
      <c r="AX790" s="4"/>
      <c r="AY790" s="8"/>
      <c r="AZ790" s="7"/>
      <c r="BA790" s="7"/>
      <c r="BB790" s="7"/>
      <c r="BC790" s="4"/>
      <c r="BD790" s="8"/>
      <c r="BE790" s="4"/>
      <c r="BF790" s="8"/>
      <c r="BG790" s="7"/>
      <c r="BH790" s="7"/>
      <c r="BI790" s="7"/>
      <c r="BJ790" s="4">
        <v>2</v>
      </c>
      <c r="BK790" s="8">
        <v>427.1</v>
      </c>
      <c r="BL790" s="2" t="s">
        <v>3986</v>
      </c>
      <c r="BM790" s="7"/>
      <c r="BN790" s="7"/>
      <c r="BO790" s="4"/>
      <c r="BP790" s="8"/>
      <c r="BQ790" s="4"/>
      <c r="BR790" s="8"/>
      <c r="BS790" s="7"/>
      <c r="BT790" s="7"/>
      <c r="BU790" s="2" t="s">
        <v>1376</v>
      </c>
      <c r="BV790" s="2" t="s">
        <v>95</v>
      </c>
      <c r="BW790" s="2" t="s">
        <v>98</v>
      </c>
      <c r="BX790" s="2" t="s">
        <v>98</v>
      </c>
      <c r="BY790" s="2" t="s">
        <v>110</v>
      </c>
      <c r="BZ790" s="2" t="s">
        <v>98</v>
      </c>
    </row>
    <row r="791">
      <c r="A791" s="2" t="s">
        <v>3987</v>
      </c>
      <c r="B791" s="2" t="s">
        <v>1345</v>
      </c>
      <c r="C791" s="2" t="s">
        <v>952</v>
      </c>
      <c r="D791" s="2" t="s">
        <v>2821</v>
      </c>
      <c r="E791" s="2" t="s">
        <v>2821</v>
      </c>
      <c r="F791" s="2" t="s">
        <v>3877</v>
      </c>
      <c r="G791" s="2" t="s">
        <v>3877</v>
      </c>
      <c r="H791" s="2" t="s">
        <v>3877</v>
      </c>
      <c r="I791" s="2" t="s">
        <v>2860</v>
      </c>
      <c r="J791" s="2" t="s">
        <v>2826</v>
      </c>
      <c r="K791" s="2" t="s">
        <v>127</v>
      </c>
      <c r="L791" s="3">
        <v>180</v>
      </c>
      <c r="M791" s="3">
        <v>189</v>
      </c>
      <c r="N791" s="3">
        <v>379</v>
      </c>
      <c r="O791" s="2" t="s">
        <v>155</v>
      </c>
      <c r="P791" s="2" t="s">
        <v>115</v>
      </c>
      <c r="Q791" s="2" t="s">
        <v>97</v>
      </c>
      <c r="R791" s="2" t="s">
        <v>98</v>
      </c>
      <c r="S791" s="2" t="s">
        <v>3988</v>
      </c>
      <c r="T791" s="2" t="s">
        <v>98</v>
      </c>
      <c r="U791" s="2" t="s">
        <v>98</v>
      </c>
      <c r="V791" s="2" t="s">
        <v>439</v>
      </c>
      <c r="W791" s="2" t="s">
        <v>968</v>
      </c>
      <c r="X791" s="2" t="s">
        <v>98</v>
      </c>
      <c r="Y791" s="2" t="s">
        <v>3643</v>
      </c>
      <c r="Z791" s="4">
        <v>3</v>
      </c>
      <c r="AA791" s="4">
        <f>=ROUNDDOWN(1.5,0)</f>
      </c>
      <c r="AB791" s="5">
        <v>2</v>
      </c>
      <c r="AC791" s="2" t="s">
        <v>98</v>
      </c>
      <c r="AD791" s="4"/>
      <c r="AE791" s="4"/>
      <c r="AF791" s="6">
        <v>74</v>
      </c>
      <c r="AG791" s="6">
        <v>60</v>
      </c>
      <c r="AH791" s="7">
        <v>1</v>
      </c>
      <c r="AI791" s="4"/>
      <c r="AJ791" s="4">
        <f>=ROUNDDOWN({0},0)</f>
      </c>
      <c r="AK791" s="5"/>
      <c r="AL791" s="2" t="s">
        <v>98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/>
      <c r="AW791" s="8"/>
      <c r="AX791" s="4"/>
      <c r="AY791" s="8"/>
      <c r="AZ791" s="7"/>
      <c r="BA791" s="7"/>
      <c r="BB791" s="7"/>
      <c r="BC791" s="4"/>
      <c r="BD791" s="8"/>
      <c r="BE791" s="4"/>
      <c r="BF791" s="8"/>
      <c r="BG791" s="7"/>
      <c r="BH791" s="7"/>
      <c r="BI791" s="7"/>
      <c r="BJ791" s="4">
        <v>1</v>
      </c>
      <c r="BK791" s="8">
        <v>122.85</v>
      </c>
      <c r="BL791" s="2" t="s">
        <v>759</v>
      </c>
      <c r="BM791" s="7"/>
      <c r="BN791" s="7"/>
      <c r="BO791" s="4"/>
      <c r="BP791" s="8"/>
      <c r="BQ791" s="4"/>
      <c r="BR791" s="8"/>
      <c r="BS791" s="7"/>
      <c r="BT791" s="7"/>
      <c r="BU791" s="2" t="s">
        <v>107</v>
      </c>
      <c r="BV791" s="2" t="s">
        <v>1355</v>
      </c>
      <c r="BW791" s="2" t="s">
        <v>1454</v>
      </c>
      <c r="BX791" s="2" t="s">
        <v>3108</v>
      </c>
      <c r="BY791" s="2" t="s">
        <v>110</v>
      </c>
      <c r="BZ791" s="2" t="s">
        <v>98</v>
      </c>
    </row>
    <row r="792">
      <c r="A792" s="2" t="s">
        <v>3989</v>
      </c>
      <c r="B792" s="2" t="s">
        <v>1345</v>
      </c>
      <c r="C792" s="2" t="s">
        <v>952</v>
      </c>
      <c r="D792" s="2" t="s">
        <v>3434</v>
      </c>
      <c r="E792" s="2" t="s">
        <v>3434</v>
      </c>
      <c r="F792" s="2" t="s">
        <v>3566</v>
      </c>
      <c r="G792" s="2" t="s">
        <v>98</v>
      </c>
      <c r="H792" s="2" t="s">
        <v>98</v>
      </c>
      <c r="I792" s="2" t="s">
        <v>3990</v>
      </c>
      <c r="J792" s="2" t="s">
        <v>93</v>
      </c>
      <c r="K792" s="2" t="s">
        <v>277</v>
      </c>
      <c r="L792" s="3">
        <v>279</v>
      </c>
      <c r="M792" s="3">
        <v>292.95</v>
      </c>
      <c r="N792" s="3">
        <v>579</v>
      </c>
      <c r="O792" s="2" t="s">
        <v>95</v>
      </c>
      <c r="P792" s="2" t="s">
        <v>115</v>
      </c>
      <c r="Q792" s="2" t="s">
        <v>271</v>
      </c>
      <c r="R792" s="2" t="s">
        <v>98</v>
      </c>
      <c r="S792" s="2" t="s">
        <v>3991</v>
      </c>
      <c r="T792" s="2" t="s">
        <v>98</v>
      </c>
      <c r="U792" s="2" t="s">
        <v>98</v>
      </c>
      <c r="V792" s="2" t="s">
        <v>439</v>
      </c>
      <c r="W792" s="2" t="s">
        <v>98</v>
      </c>
      <c r="X792" s="2" t="s">
        <v>98</v>
      </c>
      <c r="Y792" s="2" t="s">
        <v>366</v>
      </c>
      <c r="Z792" s="4">
        <v>84</v>
      </c>
      <c r="AA792" s="4">
        <f>=ROUNDDOWN(64.6153846153846,0)</f>
      </c>
      <c r="AB792" s="5">
        <v>1.3</v>
      </c>
      <c r="AC792" s="2" t="s">
        <v>98</v>
      </c>
      <c r="AD792" s="4"/>
      <c r="AE792" s="4"/>
      <c r="AF792" s="6">
        <v>65</v>
      </c>
      <c r="AG792" s="6">
        <v>48</v>
      </c>
      <c r="AH792" s="7">
        <v>1</v>
      </c>
      <c r="AI792" s="4"/>
      <c r="AJ792" s="4">
        <f>=ROUNDDOWN({0},0)</f>
      </c>
      <c r="AK792" s="5"/>
      <c r="AL792" s="2" t="s">
        <v>98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 t="s">
        <v>98</v>
      </c>
      <c r="AW792" s="8" t="s">
        <v>98</v>
      </c>
      <c r="AX792" s="4" t="s">
        <v>98</v>
      </c>
      <c r="AY792" s="8" t="s">
        <v>98</v>
      </c>
      <c r="AZ792" s="7" t="s">
        <v>98</v>
      </c>
      <c r="BA792" s="7" t="s">
        <v>98</v>
      </c>
      <c r="BB792" s="7" t="s">
        <v>98</v>
      </c>
      <c r="BC792" s="4" t="s">
        <v>98</v>
      </c>
      <c r="BD792" s="8" t="s">
        <v>98</v>
      </c>
      <c r="BE792" s="4" t="s">
        <v>98</v>
      </c>
      <c r="BF792" s="8" t="s">
        <v>98</v>
      </c>
      <c r="BG792" s="7" t="s">
        <v>98</v>
      </c>
      <c r="BH792" s="7" t="s">
        <v>98</v>
      </c>
      <c r="BI792" s="7"/>
      <c r="BJ792" s="4"/>
      <c r="BK792" s="8"/>
      <c r="BL792" s="2" t="s">
        <v>895</v>
      </c>
      <c r="BM792" s="7"/>
      <c r="BN792" s="7"/>
      <c r="BO792" s="4"/>
      <c r="BP792" s="8"/>
      <c r="BQ792" s="4"/>
      <c r="BR792" s="8"/>
      <c r="BS792" s="7"/>
      <c r="BT792" s="7"/>
      <c r="BU792" s="2" t="s">
        <v>107</v>
      </c>
      <c r="BV792" s="2" t="s">
        <v>95</v>
      </c>
      <c r="BW792" s="2" t="s">
        <v>3992</v>
      </c>
      <c r="BX792" s="2" t="s">
        <v>98</v>
      </c>
      <c r="BY792" s="2" t="s">
        <v>110</v>
      </c>
      <c r="BZ792" s="2" t="s">
        <v>98</v>
      </c>
    </row>
    <row r="793">
      <c r="A793" s="2" t="s">
        <v>3993</v>
      </c>
      <c r="B793" s="2" t="s">
        <v>1345</v>
      </c>
      <c r="C793" s="2" t="s">
        <v>952</v>
      </c>
      <c r="D793" s="2" t="s">
        <v>3434</v>
      </c>
      <c r="E793" s="2" t="s">
        <v>3434</v>
      </c>
      <c r="F793" s="2" t="s">
        <v>3566</v>
      </c>
      <c r="G793" s="2" t="s">
        <v>98</v>
      </c>
      <c r="H793" s="2" t="s">
        <v>98</v>
      </c>
      <c r="I793" s="2" t="s">
        <v>3994</v>
      </c>
      <c r="J793" s="2" t="s">
        <v>93</v>
      </c>
      <c r="K793" s="2" t="s">
        <v>277</v>
      </c>
      <c r="L793" s="3">
        <v>378</v>
      </c>
      <c r="M793" s="3">
        <v>396.9</v>
      </c>
      <c r="N793" s="3">
        <v>799</v>
      </c>
      <c r="O793" s="2" t="s">
        <v>95</v>
      </c>
      <c r="P793" s="2" t="s">
        <v>142</v>
      </c>
      <c r="Q793" s="2" t="s">
        <v>271</v>
      </c>
      <c r="R793" s="2" t="s">
        <v>98</v>
      </c>
      <c r="S793" s="2" t="s">
        <v>3995</v>
      </c>
      <c r="T793" s="2" t="s">
        <v>98</v>
      </c>
      <c r="U793" s="2" t="s">
        <v>98</v>
      </c>
      <c r="V793" s="2" t="s">
        <v>439</v>
      </c>
      <c r="W793" s="2" t="s">
        <v>98</v>
      </c>
      <c r="X793" s="2" t="s">
        <v>98</v>
      </c>
      <c r="Y793" s="2" t="s">
        <v>366</v>
      </c>
      <c r="Z793" s="4">
        <v>67</v>
      </c>
      <c r="AA793" s="4">
        <f>=ROUNDDOWN(35.2631578947368,0)</f>
      </c>
      <c r="AB793" s="5">
        <v>1.9</v>
      </c>
      <c r="AC793" s="2" t="s">
        <v>98</v>
      </c>
      <c r="AD793" s="4"/>
      <c r="AE793" s="4"/>
      <c r="AF793" s="6">
        <v>65</v>
      </c>
      <c r="AG793" s="6">
        <v>48</v>
      </c>
      <c r="AH793" s="7">
        <v>1</v>
      </c>
      <c r="AI793" s="4"/>
      <c r="AJ793" s="4">
        <f>=ROUNDDOWN({0},0)</f>
      </c>
      <c r="AK793" s="5"/>
      <c r="AL793" s="2" t="s">
        <v>98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 t="s">
        <v>98</v>
      </c>
      <c r="AW793" s="8" t="s">
        <v>98</v>
      </c>
      <c r="AX793" s="4" t="s">
        <v>98</v>
      </c>
      <c r="AY793" s="8" t="s">
        <v>98</v>
      </c>
      <c r="AZ793" s="7" t="s">
        <v>98</v>
      </c>
      <c r="BA793" s="7" t="s">
        <v>98</v>
      </c>
      <c r="BB793" s="7" t="s">
        <v>98</v>
      </c>
      <c r="BC793" s="4" t="s">
        <v>98</v>
      </c>
      <c r="BD793" s="8" t="s">
        <v>98</v>
      </c>
      <c r="BE793" s="4" t="s">
        <v>98</v>
      </c>
      <c r="BF793" s="8" t="s">
        <v>98</v>
      </c>
      <c r="BG793" s="7" t="s">
        <v>98</v>
      </c>
      <c r="BH793" s="7" t="s">
        <v>98</v>
      </c>
      <c r="BI793" s="7"/>
      <c r="BJ793" s="4">
        <v>1</v>
      </c>
      <c r="BK793" s="8">
        <v>324.65</v>
      </c>
      <c r="BL793" s="2" t="s">
        <v>895</v>
      </c>
      <c r="BM793" s="7"/>
      <c r="BN793" s="7"/>
      <c r="BO793" s="4"/>
      <c r="BP793" s="8"/>
      <c r="BQ793" s="4"/>
      <c r="BR793" s="8"/>
      <c r="BS793" s="7"/>
      <c r="BT793" s="7"/>
      <c r="BU793" s="2" t="s">
        <v>107</v>
      </c>
      <c r="BV793" s="2" t="s">
        <v>95</v>
      </c>
      <c r="BW793" s="2" t="s">
        <v>3992</v>
      </c>
      <c r="BX793" s="2" t="s">
        <v>98</v>
      </c>
      <c r="BY793" s="2" t="s">
        <v>110</v>
      </c>
      <c r="BZ793" s="2" t="s">
        <v>98</v>
      </c>
    </row>
    <row r="794">
      <c r="A794" s="2" t="s">
        <v>3996</v>
      </c>
      <c r="B794" s="2" t="s">
        <v>1345</v>
      </c>
      <c r="C794" s="2" t="s">
        <v>952</v>
      </c>
      <c r="D794" s="2" t="s">
        <v>3434</v>
      </c>
      <c r="E794" s="2" t="s">
        <v>3435</v>
      </c>
      <c r="F794" s="2" t="s">
        <v>3485</v>
      </c>
      <c r="G794" s="2" t="s">
        <v>3485</v>
      </c>
      <c r="H794" s="2" t="s">
        <v>3485</v>
      </c>
      <c r="I794" s="2" t="s">
        <v>3990</v>
      </c>
      <c r="J794" s="2" t="s">
        <v>93</v>
      </c>
      <c r="K794" s="2" t="s">
        <v>277</v>
      </c>
      <c r="L794" s="3">
        <v>230.85</v>
      </c>
      <c r="M794" s="3">
        <v>242.39</v>
      </c>
      <c r="N794" s="3">
        <v>479</v>
      </c>
      <c r="O794" s="2" t="s">
        <v>95</v>
      </c>
      <c r="P794" s="2" t="s">
        <v>142</v>
      </c>
      <c r="Q794" s="2" t="s">
        <v>97</v>
      </c>
      <c r="R794" s="2" t="s">
        <v>98</v>
      </c>
      <c r="S794" s="2" t="s">
        <v>3997</v>
      </c>
      <c r="T794" s="2" t="s">
        <v>98</v>
      </c>
      <c r="U794" s="2" t="s">
        <v>98</v>
      </c>
      <c r="V794" s="2" t="s">
        <v>439</v>
      </c>
      <c r="W794" s="2" t="s">
        <v>968</v>
      </c>
      <c r="X794" s="2" t="s">
        <v>98</v>
      </c>
      <c r="Y794" s="2" t="s">
        <v>3998</v>
      </c>
      <c r="Z794" s="4">
        <v>44</v>
      </c>
      <c r="AA794" s="4">
        <f>=ROUNDDOWN(8.8,0)</f>
      </c>
      <c r="AB794" s="5">
        <v>5</v>
      </c>
      <c r="AC794" s="2" t="s">
        <v>1353</v>
      </c>
      <c r="AD794" s="4">
        <v>81</v>
      </c>
      <c r="AE794" s="4">
        <v>81</v>
      </c>
      <c r="AF794" s="6">
        <v>65</v>
      </c>
      <c r="AG794" s="6">
        <v>48</v>
      </c>
      <c r="AH794" s="7">
        <v>1</v>
      </c>
      <c r="AI794" s="4"/>
      <c r="AJ794" s="4">
        <f>=ROUNDDOWN({0},0)</f>
      </c>
      <c r="AK794" s="5"/>
      <c r="AL794" s="2" t="s">
        <v>98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/>
      <c r="AW794" s="8"/>
      <c r="AX794" s="4"/>
      <c r="AY794" s="8"/>
      <c r="AZ794" s="7"/>
      <c r="BA794" s="7"/>
      <c r="BB794" s="7"/>
      <c r="BC794" s="4" t="s">
        <v>98</v>
      </c>
      <c r="BD794" s="8" t="s">
        <v>98</v>
      </c>
      <c r="BE794" s="4" t="s">
        <v>98</v>
      </c>
      <c r="BF794" s="8" t="s">
        <v>98</v>
      </c>
      <c r="BG794" s="7" t="s">
        <v>98</v>
      </c>
      <c r="BH794" s="7" t="s">
        <v>98</v>
      </c>
      <c r="BI794" s="7"/>
      <c r="BJ794" s="4">
        <v>4</v>
      </c>
      <c r="BK794" s="8">
        <v>944.48</v>
      </c>
      <c r="BL794" s="2" t="s">
        <v>895</v>
      </c>
      <c r="BM794" s="7"/>
      <c r="BN794" s="7"/>
      <c r="BO794" s="4"/>
      <c r="BP794" s="8"/>
      <c r="BQ794" s="4"/>
      <c r="BR794" s="8"/>
      <c r="BS794" s="7"/>
      <c r="BT794" s="7"/>
      <c r="BU794" s="2" t="s">
        <v>107</v>
      </c>
      <c r="BV794" s="2" t="s">
        <v>1355</v>
      </c>
      <c r="BW794" s="2" t="s">
        <v>1777</v>
      </c>
      <c r="BX794" s="2" t="s">
        <v>3999</v>
      </c>
      <c r="BY794" s="2" t="s">
        <v>110</v>
      </c>
      <c r="BZ794" s="2" t="s">
        <v>98</v>
      </c>
    </row>
    <row r="795">
      <c r="A795" s="2" t="s">
        <v>4000</v>
      </c>
      <c r="B795" s="2" t="s">
        <v>1345</v>
      </c>
      <c r="C795" s="2" t="s">
        <v>952</v>
      </c>
      <c r="D795" s="2" t="s">
        <v>3434</v>
      </c>
      <c r="E795" s="2" t="s">
        <v>3435</v>
      </c>
      <c r="F795" s="2" t="s">
        <v>3485</v>
      </c>
      <c r="G795" s="2" t="s">
        <v>98</v>
      </c>
      <c r="H795" s="2" t="s">
        <v>98</v>
      </c>
      <c r="I795" s="2" t="s">
        <v>3990</v>
      </c>
      <c r="J795" s="2" t="s">
        <v>93</v>
      </c>
      <c r="K795" s="2" t="s">
        <v>1727</v>
      </c>
      <c r="L795" s="3">
        <v>230.85</v>
      </c>
      <c r="M795" s="3">
        <v>242.39</v>
      </c>
      <c r="N795" s="3">
        <v>479</v>
      </c>
      <c r="O795" s="2" t="s">
        <v>95</v>
      </c>
      <c r="P795" s="2" t="s">
        <v>115</v>
      </c>
      <c r="Q795" s="2" t="s">
        <v>97</v>
      </c>
      <c r="R795" s="2" t="s">
        <v>98</v>
      </c>
      <c r="S795" s="2" t="s">
        <v>4001</v>
      </c>
      <c r="T795" s="2" t="s">
        <v>98</v>
      </c>
      <c r="U795" s="2" t="s">
        <v>98</v>
      </c>
      <c r="V795" s="2" t="s">
        <v>439</v>
      </c>
      <c r="W795" s="2" t="s">
        <v>963</v>
      </c>
      <c r="X795" s="2" t="s">
        <v>98</v>
      </c>
      <c r="Y795" s="2" t="s">
        <v>366</v>
      </c>
      <c r="Z795" s="4">
        <v>67</v>
      </c>
      <c r="AA795" s="4">
        <f>=ROUNDDOWN(33.5,0)</f>
      </c>
      <c r="AB795" s="5">
        <v>2</v>
      </c>
      <c r="AC795" s="2" t="s">
        <v>98</v>
      </c>
      <c r="AD795" s="4"/>
      <c r="AE795" s="4"/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98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/>
      <c r="AW795" s="8"/>
      <c r="AX795" s="4"/>
      <c r="AY795" s="8"/>
      <c r="AZ795" s="7"/>
      <c r="BA795" s="7"/>
      <c r="BB795" s="7"/>
      <c r="BC795" s="4" t="s">
        <v>98</v>
      </c>
      <c r="BD795" s="8" t="s">
        <v>98</v>
      </c>
      <c r="BE795" s="4" t="s">
        <v>98</v>
      </c>
      <c r="BF795" s="8" t="s">
        <v>98</v>
      </c>
      <c r="BG795" s="7" t="s">
        <v>98</v>
      </c>
      <c r="BH795" s="7" t="s">
        <v>98</v>
      </c>
      <c r="BI795" s="7"/>
      <c r="BJ795" s="4">
        <v>2</v>
      </c>
      <c r="BK795" s="8">
        <v>490.63</v>
      </c>
      <c r="BL795" s="2" t="s">
        <v>651</v>
      </c>
      <c r="BM795" s="7"/>
      <c r="BN795" s="7"/>
      <c r="BO795" s="4"/>
      <c r="BP795" s="8"/>
      <c r="BQ795" s="4"/>
      <c r="BR795" s="8"/>
      <c r="BS795" s="7"/>
      <c r="BT795" s="7"/>
      <c r="BU795" s="2" t="s">
        <v>107</v>
      </c>
      <c r="BV795" s="2" t="s">
        <v>1355</v>
      </c>
      <c r="BW795" s="2" t="s">
        <v>1356</v>
      </c>
      <c r="BX795" s="2" t="s">
        <v>4002</v>
      </c>
      <c r="BY795" s="2" t="s">
        <v>110</v>
      </c>
      <c r="BZ795" s="2" t="s">
        <v>98</v>
      </c>
    </row>
    <row r="796">
      <c r="A796" s="2" t="s">
        <v>4003</v>
      </c>
      <c r="B796" s="2" t="s">
        <v>1345</v>
      </c>
      <c r="C796" s="2" t="s">
        <v>952</v>
      </c>
      <c r="D796" s="2" t="s">
        <v>1946</v>
      </c>
      <c r="E796" s="2" t="s">
        <v>1947</v>
      </c>
      <c r="F796" s="2" t="s">
        <v>4004</v>
      </c>
      <c r="G796" s="2" t="s">
        <v>4004</v>
      </c>
      <c r="H796" s="2" t="s">
        <v>4004</v>
      </c>
      <c r="I796" s="2" t="s">
        <v>2038</v>
      </c>
      <c r="J796" s="2" t="s">
        <v>93</v>
      </c>
      <c r="K796" s="2" t="s">
        <v>514</v>
      </c>
      <c r="L796" s="3">
        <v>213.75</v>
      </c>
      <c r="M796" s="3">
        <v>224.44</v>
      </c>
      <c r="N796" s="3">
        <v>449</v>
      </c>
      <c r="O796" s="2" t="s">
        <v>95</v>
      </c>
      <c r="P796" s="2" t="s">
        <v>134</v>
      </c>
      <c r="Q796" s="2" t="s">
        <v>97</v>
      </c>
      <c r="R796" s="2" t="s">
        <v>98</v>
      </c>
      <c r="S796" s="2" t="s">
        <v>98</v>
      </c>
      <c r="T796" s="2" t="s">
        <v>98</v>
      </c>
      <c r="U796" s="2" t="s">
        <v>117</v>
      </c>
      <c r="V796" s="2" t="s">
        <v>296</v>
      </c>
      <c r="W796" s="2" t="s">
        <v>103</v>
      </c>
      <c r="X796" s="2" t="s">
        <v>119</v>
      </c>
      <c r="Y796" s="2" t="s">
        <v>2726</v>
      </c>
      <c r="Z796" s="4">
        <v>83</v>
      </c>
      <c r="AA796" s="4">
        <f>=ROUNDDOWN(16.6,0)</f>
      </c>
      <c r="AB796" s="5">
        <v>5</v>
      </c>
      <c r="AC796" s="2" t="s">
        <v>1700</v>
      </c>
      <c r="AD796" s="4">
        <v>240</v>
      </c>
      <c r="AE796" s="4">
        <v>240</v>
      </c>
      <c r="AF796" s="6">
        <v>74</v>
      </c>
      <c r="AG796" s="6"/>
      <c r="AH796" s="7">
        <v>1</v>
      </c>
      <c r="AI796" s="4"/>
      <c r="AJ796" s="4">
        <f>=ROUNDDOWN({0},0)</f>
      </c>
      <c r="AK796" s="5"/>
      <c r="AL796" s="2" t="s">
        <v>98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 t="s">
        <v>98</v>
      </c>
      <c r="BD796" s="8" t="s">
        <v>98</v>
      </c>
      <c r="BE796" s="4" t="s">
        <v>98</v>
      </c>
      <c r="BF796" s="8" t="s">
        <v>98</v>
      </c>
      <c r="BG796" s="7" t="s">
        <v>98</v>
      </c>
      <c r="BH796" s="7" t="s">
        <v>98</v>
      </c>
      <c r="BI796" s="7"/>
      <c r="BJ796" s="4"/>
      <c r="BK796" s="8"/>
      <c r="BL796" s="2" t="s">
        <v>98</v>
      </c>
      <c r="BM796" s="7"/>
      <c r="BN796" s="7"/>
      <c r="BO796" s="4"/>
      <c r="BP796" s="8"/>
      <c r="BQ796" s="4"/>
      <c r="BR796" s="8"/>
      <c r="BS796" s="7"/>
      <c r="BT796" s="7"/>
      <c r="BU796" s="2" t="s">
        <v>1376</v>
      </c>
      <c r="BV796" s="2" t="s">
        <v>95</v>
      </c>
      <c r="BW796" s="2" t="s">
        <v>98</v>
      </c>
      <c r="BX796" s="2" t="s">
        <v>98</v>
      </c>
      <c r="BY796" s="2" t="s">
        <v>110</v>
      </c>
      <c r="BZ796" s="2" t="s">
        <v>98</v>
      </c>
    </row>
    <row r="797">
      <c r="A797" s="2" t="s">
        <v>4005</v>
      </c>
      <c r="B797" s="2" t="s">
        <v>1345</v>
      </c>
      <c r="C797" s="2" t="s">
        <v>952</v>
      </c>
      <c r="D797" s="2" t="s">
        <v>1946</v>
      </c>
      <c r="E797" s="2" t="s">
        <v>1947</v>
      </c>
      <c r="F797" s="2" t="s">
        <v>4004</v>
      </c>
      <c r="G797" s="2" t="s">
        <v>4004</v>
      </c>
      <c r="H797" s="2" t="s">
        <v>4004</v>
      </c>
      <c r="I797" s="2" t="s">
        <v>2038</v>
      </c>
      <c r="J797" s="2" t="s">
        <v>93</v>
      </c>
      <c r="K797" s="2" t="s">
        <v>2076</v>
      </c>
      <c r="L797" s="3">
        <v>213.75</v>
      </c>
      <c r="M797" s="3">
        <v>224.44</v>
      </c>
      <c r="N797" s="3">
        <v>449</v>
      </c>
      <c r="O797" s="2" t="s">
        <v>95</v>
      </c>
      <c r="P797" s="2" t="s">
        <v>295</v>
      </c>
      <c r="Q797" s="2" t="s">
        <v>97</v>
      </c>
      <c r="R797" s="2" t="s">
        <v>98</v>
      </c>
      <c r="S797" s="2" t="s">
        <v>98</v>
      </c>
      <c r="T797" s="2" t="s">
        <v>98</v>
      </c>
      <c r="U797" s="2" t="s">
        <v>117</v>
      </c>
      <c r="V797" s="2" t="s">
        <v>296</v>
      </c>
      <c r="W797" s="2" t="s">
        <v>103</v>
      </c>
      <c r="X797" s="2" t="s">
        <v>119</v>
      </c>
      <c r="Y797" s="2" t="s">
        <v>98</v>
      </c>
      <c r="Z797" s="4"/>
      <c r="AA797" s="4">
        <f>=ROUNDDOWN({0},0)</f>
      </c>
      <c r="AB797" s="5"/>
      <c r="AC797" s="2" t="s">
        <v>1700</v>
      </c>
      <c r="AD797" s="4">
        <v>240</v>
      </c>
      <c r="AE797" s="4">
        <v>240</v>
      </c>
      <c r="AF797" s="6">
        <v>74</v>
      </c>
      <c r="AG797" s="6"/>
      <c r="AH797" s="7">
        <v>0</v>
      </c>
      <c r="AI797" s="4"/>
      <c r="AJ797" s="4">
        <f>=ROUNDDOWN({0},0)</f>
      </c>
      <c r="AK797" s="5"/>
      <c r="AL797" s="2" t="s">
        <v>98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 t="s">
        <v>98</v>
      </c>
      <c r="BD797" s="8" t="s">
        <v>98</v>
      </c>
      <c r="BE797" s="4" t="s">
        <v>98</v>
      </c>
      <c r="BF797" s="8" t="s">
        <v>98</v>
      </c>
      <c r="BG797" s="7" t="s">
        <v>98</v>
      </c>
      <c r="BH797" s="7" t="s">
        <v>98</v>
      </c>
      <c r="BI797" s="7"/>
      <c r="BJ797" s="4"/>
      <c r="BK797" s="8"/>
      <c r="BL797" s="2" t="s">
        <v>98</v>
      </c>
      <c r="BM797" s="7"/>
      <c r="BN797" s="7"/>
      <c r="BO797" s="4"/>
      <c r="BP797" s="8"/>
      <c r="BQ797" s="4"/>
      <c r="BR797" s="8"/>
      <c r="BS797" s="7"/>
      <c r="BT797" s="7"/>
      <c r="BU797" s="2" t="s">
        <v>1376</v>
      </c>
      <c r="BV797" s="2" t="s">
        <v>95</v>
      </c>
      <c r="BW797" s="2" t="s">
        <v>98</v>
      </c>
      <c r="BX797" s="2" t="s">
        <v>98</v>
      </c>
      <c r="BY797" s="2" t="s">
        <v>110</v>
      </c>
      <c r="BZ797" s="2" t="s">
        <v>98</v>
      </c>
    </row>
    <row r="798">
      <c r="A798" s="2" t="s">
        <v>4006</v>
      </c>
      <c r="B798" s="2" t="s">
        <v>1345</v>
      </c>
      <c r="C798" s="2" t="s">
        <v>952</v>
      </c>
      <c r="D798" s="2" t="s">
        <v>1946</v>
      </c>
      <c r="E798" s="2" t="s">
        <v>1947</v>
      </c>
      <c r="F798" s="2" t="s">
        <v>4004</v>
      </c>
      <c r="G798" s="2" t="s">
        <v>4004</v>
      </c>
      <c r="H798" s="2" t="s">
        <v>4004</v>
      </c>
      <c r="I798" s="2" t="s">
        <v>2038</v>
      </c>
      <c r="J798" s="2" t="s">
        <v>93</v>
      </c>
      <c r="K798" s="2" t="s">
        <v>1439</v>
      </c>
      <c r="L798" s="3">
        <v>213.75</v>
      </c>
      <c r="M798" s="3">
        <v>224.44</v>
      </c>
      <c r="N798" s="3">
        <v>449</v>
      </c>
      <c r="O798" s="2" t="s">
        <v>95</v>
      </c>
      <c r="P798" s="2" t="s">
        <v>295</v>
      </c>
      <c r="Q798" s="2" t="s">
        <v>97</v>
      </c>
      <c r="R798" s="2" t="s">
        <v>98</v>
      </c>
      <c r="S798" s="2" t="s">
        <v>98</v>
      </c>
      <c r="T798" s="2" t="s">
        <v>98</v>
      </c>
      <c r="U798" s="2" t="s">
        <v>117</v>
      </c>
      <c r="V798" s="2" t="s">
        <v>296</v>
      </c>
      <c r="W798" s="2" t="s">
        <v>103</v>
      </c>
      <c r="X798" s="2" t="s">
        <v>119</v>
      </c>
      <c r="Y798" s="2" t="s">
        <v>98</v>
      </c>
      <c r="Z798" s="4"/>
      <c r="AA798" s="4">
        <f>=ROUNDDOWN({0},0)</f>
      </c>
      <c r="AB798" s="5"/>
      <c r="AC798" s="2" t="s">
        <v>2575</v>
      </c>
      <c r="AD798" s="4">
        <v>1</v>
      </c>
      <c r="AE798" s="4">
        <v>120</v>
      </c>
      <c r="AF798" s="6">
        <v>74</v>
      </c>
      <c r="AG798" s="6"/>
      <c r="AH798" s="7">
        <v>0</v>
      </c>
      <c r="AI798" s="4"/>
      <c r="AJ798" s="4">
        <f>=ROUNDDOWN({0},0)</f>
      </c>
      <c r="AK798" s="5"/>
      <c r="AL798" s="2" t="s">
        <v>98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/>
      <c r="AW798" s="8"/>
      <c r="AX798" s="4"/>
      <c r="AY798" s="8"/>
      <c r="AZ798" s="7"/>
      <c r="BA798" s="7"/>
      <c r="BB798" s="7"/>
      <c r="BC798" s="4" t="s">
        <v>98</v>
      </c>
      <c r="BD798" s="8" t="s">
        <v>98</v>
      </c>
      <c r="BE798" s="4" t="s">
        <v>98</v>
      </c>
      <c r="BF798" s="8" t="s">
        <v>98</v>
      </c>
      <c r="BG798" s="7" t="s">
        <v>98</v>
      </c>
      <c r="BH798" s="7" t="s">
        <v>98</v>
      </c>
      <c r="BI798" s="7"/>
      <c r="BJ798" s="4"/>
      <c r="BK798" s="8"/>
      <c r="BL798" s="2" t="s">
        <v>98</v>
      </c>
      <c r="BM798" s="7"/>
      <c r="BN798" s="7"/>
      <c r="BO798" s="4"/>
      <c r="BP798" s="8"/>
      <c r="BQ798" s="4"/>
      <c r="BR798" s="8"/>
      <c r="BS798" s="7"/>
      <c r="BT798" s="7"/>
      <c r="BU798" s="2" t="s">
        <v>1376</v>
      </c>
      <c r="BV798" s="2" t="s">
        <v>95</v>
      </c>
      <c r="BW798" s="2" t="s">
        <v>98</v>
      </c>
      <c r="BX798" s="2" t="s">
        <v>98</v>
      </c>
      <c r="BY798" s="2" t="s">
        <v>110</v>
      </c>
      <c r="BZ798" s="2" t="s">
        <v>98</v>
      </c>
    </row>
    <row r="799">
      <c r="A799" s="2" t="s">
        <v>4007</v>
      </c>
      <c r="B799" s="2" t="s">
        <v>1345</v>
      </c>
      <c r="C799" s="2" t="s">
        <v>952</v>
      </c>
      <c r="D799" s="2" t="s">
        <v>1946</v>
      </c>
      <c r="E799" s="2" t="s">
        <v>1947</v>
      </c>
      <c r="F799" s="2" t="s">
        <v>4008</v>
      </c>
      <c r="G799" s="2" t="s">
        <v>4008</v>
      </c>
      <c r="H799" s="2" t="s">
        <v>4008</v>
      </c>
      <c r="I799" s="2" t="s">
        <v>4009</v>
      </c>
      <c r="J799" s="2" t="s">
        <v>93</v>
      </c>
      <c r="K799" s="2" t="s">
        <v>2667</v>
      </c>
      <c r="L799" s="3">
        <v>238</v>
      </c>
      <c r="M799" s="3">
        <v>249.9</v>
      </c>
      <c r="N799" s="3">
        <v>499</v>
      </c>
      <c r="O799" s="2" t="s">
        <v>95</v>
      </c>
      <c r="P799" s="2" t="s">
        <v>142</v>
      </c>
      <c r="Q799" s="2" t="s">
        <v>97</v>
      </c>
      <c r="R799" s="2" t="s">
        <v>98</v>
      </c>
      <c r="S799" s="2" t="s">
        <v>98</v>
      </c>
      <c r="T799" s="2" t="s">
        <v>98</v>
      </c>
      <c r="U799" s="2" t="s">
        <v>117</v>
      </c>
      <c r="V799" s="2" t="s">
        <v>439</v>
      </c>
      <c r="W799" s="2" t="s">
        <v>963</v>
      </c>
      <c r="X799" s="2" t="s">
        <v>98</v>
      </c>
      <c r="Y799" s="2" t="s">
        <v>764</v>
      </c>
      <c r="Z799" s="4">
        <v>73</v>
      </c>
      <c r="AA799" s="4">
        <f>=ROUNDDOWN(24.3333333333333,0)</f>
      </c>
      <c r="AB799" s="5">
        <v>3</v>
      </c>
      <c r="AC799" s="2" t="s">
        <v>1425</v>
      </c>
      <c r="AD799" s="4">
        <v>78</v>
      </c>
      <c r="AE799" s="4">
        <v>78</v>
      </c>
      <c r="AF799" s="6">
        <v>65</v>
      </c>
      <c r="AG799" s="6">
        <v>48</v>
      </c>
      <c r="AH799" s="7">
        <v>1</v>
      </c>
      <c r="AI799" s="4"/>
      <c r="AJ799" s="4">
        <f>=ROUNDDOWN({0},0)</f>
      </c>
      <c r="AK799" s="5"/>
      <c r="AL799" s="2" t="s">
        <v>98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/>
      <c r="AW799" s="8"/>
      <c r="AX799" s="4"/>
      <c r="AY799" s="8"/>
      <c r="AZ799" s="7"/>
      <c r="BA799" s="7"/>
      <c r="BB799" s="7"/>
      <c r="BC799" s="4"/>
      <c r="BD799" s="8"/>
      <c r="BE799" s="4"/>
      <c r="BF799" s="8"/>
      <c r="BG799" s="7"/>
      <c r="BH799" s="7"/>
      <c r="BI799" s="7"/>
      <c r="BJ799" s="4">
        <v>1</v>
      </c>
      <c r="BK799" s="8">
        <v>220.71</v>
      </c>
      <c r="BL799" s="2" t="s">
        <v>895</v>
      </c>
      <c r="BM799" s="7"/>
      <c r="BN799" s="7"/>
      <c r="BO799" s="4"/>
      <c r="BP799" s="8"/>
      <c r="BQ799" s="4"/>
      <c r="BR799" s="8"/>
      <c r="BS799" s="7"/>
      <c r="BT799" s="7"/>
      <c r="BU799" s="2" t="s">
        <v>107</v>
      </c>
      <c r="BV799" s="2" t="s">
        <v>1355</v>
      </c>
      <c r="BW799" s="2" t="s">
        <v>1388</v>
      </c>
      <c r="BX799" s="2" t="s">
        <v>3156</v>
      </c>
      <c r="BY799" s="2" t="s">
        <v>110</v>
      </c>
      <c r="BZ799" s="2" t="s">
        <v>98</v>
      </c>
    </row>
    <row r="800">
      <c r="A800" s="2" t="s">
        <v>4010</v>
      </c>
      <c r="B800" s="2" t="s">
        <v>1345</v>
      </c>
      <c r="C800" s="2" t="s">
        <v>952</v>
      </c>
      <c r="D800" s="2" t="s">
        <v>4011</v>
      </c>
      <c r="E800" s="2" t="s">
        <v>4011</v>
      </c>
      <c r="F800" s="2" t="s">
        <v>3851</v>
      </c>
      <c r="G800" s="2" t="s">
        <v>3851</v>
      </c>
      <c r="H800" s="2" t="s">
        <v>3851</v>
      </c>
      <c r="I800" s="2" t="s">
        <v>4012</v>
      </c>
      <c r="J800" s="2" t="s">
        <v>93</v>
      </c>
      <c r="K800" s="2" t="s">
        <v>127</v>
      </c>
      <c r="L800" s="3">
        <v>145</v>
      </c>
      <c r="M800" s="3">
        <v>152.25</v>
      </c>
      <c r="N800" s="3">
        <v>299</v>
      </c>
      <c r="O800" s="2" t="s">
        <v>95</v>
      </c>
      <c r="P800" s="2" t="s">
        <v>295</v>
      </c>
      <c r="Q800" s="2" t="s">
        <v>97</v>
      </c>
      <c r="R800" s="2" t="s">
        <v>98</v>
      </c>
      <c r="S800" s="2" t="s">
        <v>98</v>
      </c>
      <c r="T800" s="2" t="s">
        <v>98</v>
      </c>
      <c r="U800" s="2" t="s">
        <v>98</v>
      </c>
      <c r="V800" s="2" t="s">
        <v>296</v>
      </c>
      <c r="W800" s="2" t="s">
        <v>963</v>
      </c>
      <c r="X800" s="2" t="s">
        <v>102</v>
      </c>
      <c r="Y800" s="2" t="s">
        <v>4013</v>
      </c>
      <c r="Z800" s="4">
        <v>144</v>
      </c>
      <c r="AA800" s="4">
        <f>=ROUNDDOWN(90,0)</f>
      </c>
      <c r="AB800" s="5">
        <v>1.6</v>
      </c>
      <c r="AC800" s="2" t="s">
        <v>98</v>
      </c>
      <c r="AD800" s="4"/>
      <c r="AE800" s="4"/>
      <c r="AF800" s="6">
        <v>74</v>
      </c>
      <c r="AG800" s="6"/>
      <c r="AH800" s="7">
        <v>1</v>
      </c>
      <c r="AI800" s="4"/>
      <c r="AJ800" s="4">
        <f>=ROUNDDOWN({0},0)</f>
      </c>
      <c r="AK800" s="5"/>
      <c r="AL800" s="2" t="s">
        <v>98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/>
      <c r="BD800" s="8"/>
      <c r="BE800" s="4"/>
      <c r="BF800" s="8"/>
      <c r="BG800" s="7"/>
      <c r="BH800" s="7"/>
      <c r="BI800" s="7"/>
      <c r="BJ800" s="4"/>
      <c r="BK800" s="8"/>
      <c r="BL800" s="2" t="s">
        <v>98</v>
      </c>
      <c r="BM800" s="7"/>
      <c r="BN800" s="7"/>
      <c r="BO800" s="4"/>
      <c r="BP800" s="8"/>
      <c r="BQ800" s="4"/>
      <c r="BR800" s="8"/>
      <c r="BS800" s="7"/>
      <c r="BT800" s="7"/>
      <c r="BU800" s="2" t="s">
        <v>1376</v>
      </c>
      <c r="BV800" s="2" t="s">
        <v>95</v>
      </c>
      <c r="BW800" s="2" t="s">
        <v>98</v>
      </c>
      <c r="BX800" s="2" t="s">
        <v>98</v>
      </c>
      <c r="BY800" s="2" t="s">
        <v>110</v>
      </c>
      <c r="BZ800" s="2" t="s">
        <v>98</v>
      </c>
    </row>
    <row r="801">
      <c r="A801" s="2" t="s">
        <v>4014</v>
      </c>
      <c r="B801" s="2" t="s">
        <v>1345</v>
      </c>
      <c r="C801" s="2" t="s">
        <v>952</v>
      </c>
      <c r="D801" s="2" t="s">
        <v>4011</v>
      </c>
      <c r="E801" s="2" t="s">
        <v>4011</v>
      </c>
      <c r="F801" s="2" t="s">
        <v>4015</v>
      </c>
      <c r="G801" s="2" t="s">
        <v>4015</v>
      </c>
      <c r="H801" s="2" t="s">
        <v>4015</v>
      </c>
      <c r="I801" s="2" t="s">
        <v>4016</v>
      </c>
      <c r="J801" s="2" t="s">
        <v>93</v>
      </c>
      <c r="K801" s="2" t="s">
        <v>4017</v>
      </c>
      <c r="L801" s="3">
        <v>135.85</v>
      </c>
      <c r="M801" s="3">
        <v>142.64</v>
      </c>
      <c r="N801" s="3">
        <v>289</v>
      </c>
      <c r="O801" s="2" t="s">
        <v>95</v>
      </c>
      <c r="P801" s="2" t="s">
        <v>115</v>
      </c>
      <c r="Q801" s="2" t="s">
        <v>97</v>
      </c>
      <c r="R801" s="2" t="s">
        <v>98</v>
      </c>
      <c r="S801" s="2" t="s">
        <v>98</v>
      </c>
      <c r="T801" s="2" t="s">
        <v>98</v>
      </c>
      <c r="U801" s="2" t="s">
        <v>98</v>
      </c>
      <c r="V801" s="2" t="s">
        <v>439</v>
      </c>
      <c r="W801" s="2" t="s">
        <v>963</v>
      </c>
      <c r="X801" s="2" t="s">
        <v>98</v>
      </c>
      <c r="Y801" s="2" t="s">
        <v>4018</v>
      </c>
      <c r="Z801" s="4">
        <v>5</v>
      </c>
      <c r="AA801" s="4">
        <f>=ROUNDDOWN(2.5,0)</f>
      </c>
      <c r="AB801" s="5">
        <v>2</v>
      </c>
      <c r="AC801" s="2" t="s">
        <v>98</v>
      </c>
      <c r="AD801" s="4"/>
      <c r="AE801" s="4"/>
      <c r="AF801" s="6">
        <v>74</v>
      </c>
      <c r="AG801" s="6"/>
      <c r="AH801" s="7">
        <v>1</v>
      </c>
      <c r="AI801" s="4"/>
      <c r="AJ801" s="4">
        <f>=ROUNDDOWN({0},0)</f>
      </c>
      <c r="AK801" s="5"/>
      <c r="AL801" s="2" t="s">
        <v>98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 t="s">
        <v>98</v>
      </c>
      <c r="BD801" s="8" t="s">
        <v>98</v>
      </c>
      <c r="BE801" s="4">
        <v>1</v>
      </c>
      <c r="BF801" s="8">
        <v>125.32</v>
      </c>
      <c r="BG801" s="7" t="s">
        <v>98</v>
      </c>
      <c r="BH801" s="7" t="s">
        <v>98</v>
      </c>
      <c r="BI801" s="7"/>
      <c r="BJ801" s="4"/>
      <c r="BK801" s="8"/>
      <c r="BL801" s="2" t="s">
        <v>895</v>
      </c>
      <c r="BM801" s="7"/>
      <c r="BN801" s="7"/>
      <c r="BO801" s="4"/>
      <c r="BP801" s="8"/>
      <c r="BQ801" s="4"/>
      <c r="BR801" s="8"/>
      <c r="BS801" s="7"/>
      <c r="BT801" s="7"/>
      <c r="BU801" s="2" t="s">
        <v>1376</v>
      </c>
      <c r="BV801" s="2" t="s">
        <v>95</v>
      </c>
      <c r="BW801" s="2" t="s">
        <v>98</v>
      </c>
      <c r="BX801" s="2" t="s">
        <v>98</v>
      </c>
      <c r="BY801" s="2" t="s">
        <v>110</v>
      </c>
      <c r="BZ801" s="2" t="s">
        <v>98</v>
      </c>
    </row>
    <row r="802">
      <c r="A802" s="2" t="s">
        <v>4019</v>
      </c>
      <c r="B802" s="2" t="s">
        <v>1345</v>
      </c>
      <c r="C802" s="2" t="s">
        <v>952</v>
      </c>
      <c r="D802" s="2" t="s">
        <v>4011</v>
      </c>
      <c r="E802" s="2" t="s">
        <v>4011</v>
      </c>
      <c r="F802" s="2" t="s">
        <v>4015</v>
      </c>
      <c r="G802" s="2" t="s">
        <v>4015</v>
      </c>
      <c r="H802" s="2" t="s">
        <v>4015</v>
      </c>
      <c r="I802" s="2" t="s">
        <v>4016</v>
      </c>
      <c r="J802" s="2" t="s">
        <v>93</v>
      </c>
      <c r="K802" s="2" t="s">
        <v>4020</v>
      </c>
      <c r="L802" s="3">
        <v>135.85</v>
      </c>
      <c r="M802" s="3">
        <v>142.64</v>
      </c>
      <c r="N802" s="3">
        <v>289</v>
      </c>
      <c r="O802" s="2" t="s">
        <v>95</v>
      </c>
      <c r="P802" s="2" t="s">
        <v>134</v>
      </c>
      <c r="Q802" s="2" t="s">
        <v>97</v>
      </c>
      <c r="R802" s="2" t="s">
        <v>98</v>
      </c>
      <c r="S802" s="2" t="s">
        <v>98</v>
      </c>
      <c r="T802" s="2" t="s">
        <v>98</v>
      </c>
      <c r="U802" s="2" t="s">
        <v>98</v>
      </c>
      <c r="V802" s="2" t="s">
        <v>439</v>
      </c>
      <c r="W802" s="2" t="s">
        <v>963</v>
      </c>
      <c r="X802" s="2" t="s">
        <v>98</v>
      </c>
      <c r="Y802" s="2" t="s">
        <v>3010</v>
      </c>
      <c r="Z802" s="4">
        <v>157</v>
      </c>
      <c r="AA802" s="4">
        <f>=ROUNDDOWN(31.4,0)</f>
      </c>
      <c r="AB802" s="5">
        <v>5</v>
      </c>
      <c r="AC802" s="2" t="s">
        <v>2575</v>
      </c>
      <c r="AD802" s="4">
        <v>100</v>
      </c>
      <c r="AE802" s="4">
        <v>100</v>
      </c>
      <c r="AF802" s="6">
        <v>74</v>
      </c>
      <c r="AG802" s="6">
        <v>60</v>
      </c>
      <c r="AH802" s="7">
        <v>1</v>
      </c>
      <c r="AI802" s="4"/>
      <c r="AJ802" s="4">
        <f>=ROUNDDOWN({0},0)</f>
      </c>
      <c r="AK802" s="5"/>
      <c r="AL802" s="2" t="s">
        <v>98</v>
      </c>
      <c r="AM802" s="4"/>
      <c r="AN802" s="4"/>
      <c r="AO802" s="7">
        <v>0</v>
      </c>
      <c r="AP802" s="4"/>
      <c r="AQ802" s="8"/>
      <c r="AR802" s="4">
        <v>1</v>
      </c>
      <c r="AS802" s="8">
        <v>125.32</v>
      </c>
      <c r="AT802" s="7">
        <v>-1</v>
      </c>
      <c r="AU802" s="7">
        <v>-1</v>
      </c>
      <c r="AV802" s="4"/>
      <c r="AW802" s="8"/>
      <c r="AX802" s="4">
        <v>1</v>
      </c>
      <c r="AY802" s="8">
        <v>125.32</v>
      </c>
      <c r="AZ802" s="7">
        <v>-1</v>
      </c>
      <c r="BA802" s="7">
        <v>-1</v>
      </c>
      <c r="BB802" s="7"/>
      <c r="BC802" s="4" t="s">
        <v>98</v>
      </c>
      <c r="BD802" s="8" t="s">
        <v>98</v>
      </c>
      <c r="BE802" s="4" t="s">
        <v>98</v>
      </c>
      <c r="BF802" s="8" t="s">
        <v>98</v>
      </c>
      <c r="BG802" s="7" t="s">
        <v>98</v>
      </c>
      <c r="BH802" s="7" t="s">
        <v>98</v>
      </c>
      <c r="BI802" s="7"/>
      <c r="BJ802" s="4"/>
      <c r="BK802" s="8"/>
      <c r="BL802" s="2" t="s">
        <v>1445</v>
      </c>
      <c r="BM802" s="7"/>
      <c r="BN802" s="7"/>
      <c r="BO802" s="4"/>
      <c r="BP802" s="8"/>
      <c r="BQ802" s="4">
        <v>1</v>
      </c>
      <c r="BR802" s="8">
        <v>125.32</v>
      </c>
      <c r="BS802" s="7">
        <v>-1</v>
      </c>
      <c r="BT802" s="7">
        <v>-1</v>
      </c>
      <c r="BU802" s="2" t="s">
        <v>107</v>
      </c>
      <c r="BV802" s="2" t="s">
        <v>1355</v>
      </c>
      <c r="BW802" s="2" t="s">
        <v>1550</v>
      </c>
      <c r="BX802" s="2" t="s">
        <v>4021</v>
      </c>
      <c r="BY802" s="2" t="s">
        <v>110</v>
      </c>
      <c r="BZ802" s="2" t="s">
        <v>98</v>
      </c>
    </row>
    <row r="803">
      <c r="A803" s="2" t="s">
        <v>4022</v>
      </c>
      <c r="B803" s="2" t="s">
        <v>1345</v>
      </c>
      <c r="C803" s="2" t="s">
        <v>952</v>
      </c>
      <c r="D803" s="2" t="s">
        <v>4011</v>
      </c>
      <c r="E803" s="2" t="s">
        <v>4011</v>
      </c>
      <c r="F803" s="2" t="s">
        <v>3650</v>
      </c>
      <c r="G803" s="2" t="s">
        <v>98</v>
      </c>
      <c r="H803" s="2" t="s">
        <v>98</v>
      </c>
      <c r="I803" s="2" t="s">
        <v>4023</v>
      </c>
      <c r="J803" s="2" t="s">
        <v>93</v>
      </c>
      <c r="K803" s="2" t="s">
        <v>3652</v>
      </c>
      <c r="L803" s="3">
        <v>190</v>
      </c>
      <c r="M803" s="3">
        <v>199.5</v>
      </c>
      <c r="N803" s="3">
        <v>399</v>
      </c>
      <c r="O803" s="2" t="s">
        <v>155</v>
      </c>
      <c r="P803" s="2" t="s">
        <v>115</v>
      </c>
      <c r="Q803" s="2" t="s">
        <v>97</v>
      </c>
      <c r="R803" s="2" t="s">
        <v>98</v>
      </c>
      <c r="S803" s="2" t="s">
        <v>4024</v>
      </c>
      <c r="T803" s="2" t="s">
        <v>98</v>
      </c>
      <c r="U803" s="2" t="s">
        <v>98</v>
      </c>
      <c r="V803" s="2" t="s">
        <v>439</v>
      </c>
      <c r="W803" s="2" t="s">
        <v>968</v>
      </c>
      <c r="X803" s="2" t="s">
        <v>98</v>
      </c>
      <c r="Y803" s="2" t="s">
        <v>366</v>
      </c>
      <c r="Z803" s="4">
        <v>51</v>
      </c>
      <c r="AA803" s="4">
        <f>=ROUNDDOWN(25.5,0)</f>
      </c>
      <c r="AB803" s="5">
        <v>2</v>
      </c>
      <c r="AC803" s="2" t="s">
        <v>98</v>
      </c>
      <c r="AD803" s="4"/>
      <c r="AE803" s="4"/>
      <c r="AF803" s="6">
        <v>74</v>
      </c>
      <c r="AG803" s="6">
        <v>60</v>
      </c>
      <c r="AH803" s="7">
        <v>1</v>
      </c>
      <c r="AI803" s="4"/>
      <c r="AJ803" s="4">
        <f>=ROUNDDOWN({0},0)</f>
      </c>
      <c r="AK803" s="5"/>
      <c r="AL803" s="2" t="s">
        <v>98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/>
      <c r="AW803" s="8"/>
      <c r="AX803" s="4"/>
      <c r="AY803" s="8"/>
      <c r="AZ803" s="7"/>
      <c r="BA803" s="7"/>
      <c r="BB803" s="7"/>
      <c r="BC803" s="4"/>
      <c r="BD803" s="8"/>
      <c r="BE803" s="4"/>
      <c r="BF803" s="8"/>
      <c r="BG803" s="7"/>
      <c r="BH803" s="7"/>
      <c r="BI803" s="7"/>
      <c r="BJ803" s="4">
        <v>2</v>
      </c>
      <c r="BK803" s="8">
        <v>430.92</v>
      </c>
      <c r="BL803" s="2" t="s">
        <v>4025</v>
      </c>
      <c r="BM803" s="7"/>
      <c r="BN803" s="7"/>
      <c r="BO803" s="4"/>
      <c r="BP803" s="8"/>
      <c r="BQ803" s="4"/>
      <c r="BR803" s="8"/>
      <c r="BS803" s="7"/>
      <c r="BT803" s="7"/>
      <c r="BU803" s="2" t="s">
        <v>107</v>
      </c>
      <c r="BV803" s="2" t="s">
        <v>1355</v>
      </c>
      <c r="BW803" s="2" t="s">
        <v>250</v>
      </c>
      <c r="BX803" s="2" t="s">
        <v>4026</v>
      </c>
      <c r="BY803" s="2" t="s">
        <v>110</v>
      </c>
      <c r="BZ803" s="2" t="s">
        <v>98</v>
      </c>
    </row>
    <row r="804">
      <c r="A804" s="2" t="s">
        <v>4027</v>
      </c>
      <c r="B804" s="2" t="s">
        <v>1345</v>
      </c>
      <c r="C804" s="2" t="s">
        <v>952</v>
      </c>
      <c r="D804" s="2" t="s">
        <v>4011</v>
      </c>
      <c r="E804" s="2" t="s">
        <v>4011</v>
      </c>
      <c r="F804" s="2" t="s">
        <v>3855</v>
      </c>
      <c r="G804" s="2" t="s">
        <v>3856</v>
      </c>
      <c r="H804" s="2" t="s">
        <v>3855</v>
      </c>
      <c r="I804" s="2" t="s">
        <v>4023</v>
      </c>
      <c r="J804" s="2" t="s">
        <v>93</v>
      </c>
      <c r="K804" s="2" t="s">
        <v>1052</v>
      </c>
      <c r="L804" s="3">
        <v>109.44</v>
      </c>
      <c r="M804" s="3">
        <v>114.91</v>
      </c>
      <c r="N804" s="3">
        <v>229</v>
      </c>
      <c r="O804" s="2" t="s">
        <v>95</v>
      </c>
      <c r="P804" s="2" t="s">
        <v>142</v>
      </c>
      <c r="Q804" s="2" t="s">
        <v>97</v>
      </c>
      <c r="R804" s="2" t="s">
        <v>98</v>
      </c>
      <c r="S804" s="2" t="s">
        <v>98</v>
      </c>
      <c r="T804" s="2" t="s">
        <v>98</v>
      </c>
      <c r="U804" s="2" t="s">
        <v>117</v>
      </c>
      <c r="V804" s="2" t="s">
        <v>296</v>
      </c>
      <c r="W804" s="2" t="s">
        <v>103</v>
      </c>
      <c r="X804" s="2" t="s">
        <v>102</v>
      </c>
      <c r="Y804" s="2" t="s">
        <v>3858</v>
      </c>
      <c r="Z804" s="4">
        <v>111</v>
      </c>
      <c r="AA804" s="4">
        <f>=ROUNDDOWN(27.75,0)</f>
      </c>
      <c r="AB804" s="5">
        <v>4</v>
      </c>
      <c r="AC804" s="2" t="s">
        <v>98</v>
      </c>
      <c r="AD804" s="4"/>
      <c r="AE804" s="4"/>
      <c r="AF804" s="6">
        <v>74</v>
      </c>
      <c r="AG804" s="6"/>
      <c r="AH804" s="7">
        <v>1</v>
      </c>
      <c r="AI804" s="4"/>
      <c r="AJ804" s="4">
        <f>=ROUNDDOWN({0},0)</f>
      </c>
      <c r="AK804" s="5"/>
      <c r="AL804" s="2" t="s">
        <v>98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/>
      <c r="AW804" s="8"/>
      <c r="AX804" s="4"/>
      <c r="AY804" s="8"/>
      <c r="AZ804" s="7"/>
      <c r="BA804" s="7"/>
      <c r="BB804" s="7"/>
      <c r="BC804" s="4"/>
      <c r="BD804" s="8"/>
      <c r="BE804" s="4"/>
      <c r="BF804" s="8"/>
      <c r="BG804" s="7"/>
      <c r="BH804" s="7"/>
      <c r="BI804" s="7"/>
      <c r="BJ804" s="4">
        <v>1</v>
      </c>
      <c r="BK804" s="8">
        <v>118.36</v>
      </c>
      <c r="BL804" s="2" t="s">
        <v>895</v>
      </c>
      <c r="BM804" s="7"/>
      <c r="BN804" s="7"/>
      <c r="BO804" s="4"/>
      <c r="BP804" s="8"/>
      <c r="BQ804" s="4"/>
      <c r="BR804" s="8"/>
      <c r="BS804" s="7"/>
      <c r="BT804" s="7"/>
      <c r="BU804" s="2" t="s">
        <v>1376</v>
      </c>
      <c r="BV804" s="2" t="s">
        <v>95</v>
      </c>
      <c r="BW804" s="2" t="s">
        <v>98</v>
      </c>
      <c r="BX804" s="2" t="s">
        <v>98</v>
      </c>
      <c r="BY804" s="2" t="s">
        <v>110</v>
      </c>
      <c r="BZ804" s="2" t="s">
        <v>98</v>
      </c>
    </row>
    <row r="805">
      <c r="A805" s="2" t="s">
        <v>4028</v>
      </c>
      <c r="B805" s="2" t="s">
        <v>1345</v>
      </c>
      <c r="C805" s="2" t="s">
        <v>952</v>
      </c>
      <c r="D805" s="2" t="s">
        <v>4011</v>
      </c>
      <c r="E805" s="2" t="s">
        <v>4011</v>
      </c>
      <c r="F805" s="2" t="s">
        <v>3699</v>
      </c>
      <c r="G805" s="2" t="s">
        <v>98</v>
      </c>
      <c r="H805" s="2" t="s">
        <v>98</v>
      </c>
      <c r="I805" s="2" t="s">
        <v>4029</v>
      </c>
      <c r="J805" s="2" t="s">
        <v>93</v>
      </c>
      <c r="K805" s="2" t="s">
        <v>4030</v>
      </c>
      <c r="L805" s="3">
        <v>100.1</v>
      </c>
      <c r="M805" s="3">
        <v>105.1</v>
      </c>
      <c r="N805" s="3">
        <v>209</v>
      </c>
      <c r="O805" s="2" t="s">
        <v>95</v>
      </c>
      <c r="P805" s="2" t="s">
        <v>142</v>
      </c>
      <c r="Q805" s="2" t="s">
        <v>97</v>
      </c>
      <c r="R805" s="2" t="s">
        <v>98</v>
      </c>
      <c r="S805" s="2" t="s">
        <v>4031</v>
      </c>
      <c r="T805" s="2" t="s">
        <v>98</v>
      </c>
      <c r="U805" s="2" t="s">
        <v>98</v>
      </c>
      <c r="V805" s="2" t="s">
        <v>439</v>
      </c>
      <c r="W805" s="2" t="s">
        <v>968</v>
      </c>
      <c r="X805" s="2" t="s">
        <v>98</v>
      </c>
      <c r="Y805" s="2" t="s">
        <v>366</v>
      </c>
      <c r="Z805" s="4">
        <v>118</v>
      </c>
      <c r="AA805" s="4">
        <f>=ROUNDDOWN(19.6666666666667,0)</f>
      </c>
      <c r="AB805" s="5">
        <v>6</v>
      </c>
      <c r="AC805" s="2" t="s">
        <v>2575</v>
      </c>
      <c r="AD805" s="4">
        <v>100</v>
      </c>
      <c r="AE805" s="4">
        <v>100</v>
      </c>
      <c r="AF805" s="6">
        <v>74</v>
      </c>
      <c r="AG805" s="6">
        <v>60</v>
      </c>
      <c r="AH805" s="7">
        <v>1</v>
      </c>
      <c r="AI805" s="4"/>
      <c r="AJ805" s="4">
        <f>=ROUNDDOWN({0},0)</f>
      </c>
      <c r="AK805" s="5"/>
      <c r="AL805" s="2" t="s">
        <v>98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/>
      <c r="AW805" s="8"/>
      <c r="AX805" s="4"/>
      <c r="AY805" s="8"/>
      <c r="AZ805" s="7"/>
      <c r="BA805" s="7"/>
      <c r="BB805" s="7"/>
      <c r="BC805" s="4" t="s">
        <v>98</v>
      </c>
      <c r="BD805" s="8" t="s">
        <v>98</v>
      </c>
      <c r="BE805" s="4" t="s">
        <v>98</v>
      </c>
      <c r="BF805" s="8" t="s">
        <v>98</v>
      </c>
      <c r="BG805" s="7" t="s">
        <v>98</v>
      </c>
      <c r="BH805" s="7" t="s">
        <v>98</v>
      </c>
      <c r="BI805" s="7"/>
      <c r="BJ805" s="4">
        <v>6</v>
      </c>
      <c r="BK805" s="8">
        <v>646.09</v>
      </c>
      <c r="BL805" s="2" t="s">
        <v>1625</v>
      </c>
      <c r="BM805" s="7"/>
      <c r="BN805" s="7"/>
      <c r="BO805" s="4"/>
      <c r="BP805" s="8"/>
      <c r="BQ805" s="4"/>
      <c r="BR805" s="8"/>
      <c r="BS805" s="7"/>
      <c r="BT805" s="7"/>
      <c r="BU805" s="2" t="s">
        <v>107</v>
      </c>
      <c r="BV805" s="2" t="s">
        <v>1355</v>
      </c>
      <c r="BW805" s="2" t="s">
        <v>497</v>
      </c>
      <c r="BX805" s="2" t="s">
        <v>4032</v>
      </c>
      <c r="BY805" s="2" t="s">
        <v>110</v>
      </c>
      <c r="BZ805" s="2" t="s">
        <v>98</v>
      </c>
    </row>
    <row r="806">
      <c r="A806" s="2" t="s">
        <v>4033</v>
      </c>
      <c r="B806" s="2" t="s">
        <v>1345</v>
      </c>
      <c r="C806" s="2" t="s">
        <v>952</v>
      </c>
      <c r="D806" s="2" t="s">
        <v>4011</v>
      </c>
      <c r="E806" s="2" t="s">
        <v>4011</v>
      </c>
      <c r="F806" s="2" t="s">
        <v>3699</v>
      </c>
      <c r="G806" s="2" t="s">
        <v>3699</v>
      </c>
      <c r="H806" s="2" t="s">
        <v>3699</v>
      </c>
      <c r="I806" s="2" t="s">
        <v>4029</v>
      </c>
      <c r="J806" s="2" t="s">
        <v>93</v>
      </c>
      <c r="K806" s="2" t="s">
        <v>127</v>
      </c>
      <c r="L806" s="3">
        <v>100.1</v>
      </c>
      <c r="M806" s="3">
        <v>105.1</v>
      </c>
      <c r="N806" s="3">
        <v>209</v>
      </c>
      <c r="O806" s="2" t="s">
        <v>95</v>
      </c>
      <c r="P806" s="2" t="s">
        <v>142</v>
      </c>
      <c r="Q806" s="2" t="s">
        <v>97</v>
      </c>
      <c r="R806" s="2" t="s">
        <v>98</v>
      </c>
      <c r="S806" s="2" t="s">
        <v>98</v>
      </c>
      <c r="T806" s="2" t="s">
        <v>98</v>
      </c>
      <c r="U806" s="2" t="s">
        <v>117</v>
      </c>
      <c r="V806" s="2" t="s">
        <v>439</v>
      </c>
      <c r="W806" s="2" t="s">
        <v>968</v>
      </c>
      <c r="X806" s="2" t="s">
        <v>997</v>
      </c>
      <c r="Y806" s="2" t="s">
        <v>4034</v>
      </c>
      <c r="Z806" s="4">
        <v>385</v>
      </c>
      <c r="AA806" s="4">
        <f>=ROUNDDOWN(96.25,0)</f>
      </c>
      <c r="AB806" s="5">
        <v>4</v>
      </c>
      <c r="AC806" s="2" t="s">
        <v>98</v>
      </c>
      <c r="AD806" s="4"/>
      <c r="AE806" s="4"/>
      <c r="AF806" s="6">
        <v>74</v>
      </c>
      <c r="AG806" s="6">
        <v>60</v>
      </c>
      <c r="AH806" s="7">
        <v>1</v>
      </c>
      <c r="AI806" s="4"/>
      <c r="AJ806" s="4">
        <f>=ROUNDDOWN({0},0)</f>
      </c>
      <c r="AK806" s="5"/>
      <c r="AL806" s="2" t="s">
        <v>98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/>
      <c r="AW806" s="8"/>
      <c r="AX806" s="4"/>
      <c r="AY806" s="8"/>
      <c r="AZ806" s="7"/>
      <c r="BA806" s="7"/>
      <c r="BB806" s="7"/>
      <c r="BC806" s="4" t="s">
        <v>98</v>
      </c>
      <c r="BD806" s="8" t="s">
        <v>98</v>
      </c>
      <c r="BE806" s="4" t="s">
        <v>98</v>
      </c>
      <c r="BF806" s="8" t="s">
        <v>98</v>
      </c>
      <c r="BG806" s="7" t="s">
        <v>98</v>
      </c>
      <c r="BH806" s="7" t="s">
        <v>98</v>
      </c>
      <c r="BI806" s="7"/>
      <c r="BJ806" s="4">
        <v>3</v>
      </c>
      <c r="BK806" s="8">
        <v>335.28</v>
      </c>
      <c r="BL806" s="2" t="s">
        <v>1375</v>
      </c>
      <c r="BM806" s="7"/>
      <c r="BN806" s="7"/>
      <c r="BO806" s="4"/>
      <c r="BP806" s="8"/>
      <c r="BQ806" s="4"/>
      <c r="BR806" s="8"/>
      <c r="BS806" s="7"/>
      <c r="BT806" s="7"/>
      <c r="BU806" s="2" t="s">
        <v>107</v>
      </c>
      <c r="BV806" s="2" t="s">
        <v>1355</v>
      </c>
      <c r="BW806" s="2" t="s">
        <v>1584</v>
      </c>
      <c r="BX806" s="2" t="s">
        <v>98</v>
      </c>
      <c r="BY806" s="2" t="s">
        <v>110</v>
      </c>
      <c r="BZ806" s="2" t="s">
        <v>98</v>
      </c>
    </row>
    <row r="807">
      <c r="A807" s="2" t="s">
        <v>4035</v>
      </c>
      <c r="B807" s="2" t="s">
        <v>1345</v>
      </c>
      <c r="C807" s="2" t="s">
        <v>952</v>
      </c>
      <c r="D807" s="2" t="s">
        <v>4011</v>
      </c>
      <c r="E807" s="2" t="s">
        <v>4011</v>
      </c>
      <c r="F807" s="2" t="s">
        <v>4036</v>
      </c>
      <c r="G807" s="2" t="s">
        <v>4036</v>
      </c>
      <c r="H807" s="2" t="s">
        <v>4036</v>
      </c>
      <c r="I807" s="2" t="s">
        <v>4016</v>
      </c>
      <c r="J807" s="2" t="s">
        <v>93</v>
      </c>
      <c r="K807" s="2" t="s">
        <v>133</v>
      </c>
      <c r="L807" s="3">
        <v>196.35</v>
      </c>
      <c r="M807" s="3">
        <v>206.17</v>
      </c>
      <c r="N807" s="3">
        <v>419</v>
      </c>
      <c r="O807" s="2" t="s">
        <v>155</v>
      </c>
      <c r="P807" s="2" t="s">
        <v>115</v>
      </c>
      <c r="Q807" s="2" t="s">
        <v>97</v>
      </c>
      <c r="R807" s="2" t="s">
        <v>98</v>
      </c>
      <c r="S807" s="2" t="s">
        <v>98</v>
      </c>
      <c r="T807" s="2" t="s">
        <v>98</v>
      </c>
      <c r="U807" s="2" t="s">
        <v>98</v>
      </c>
      <c r="V807" s="2" t="s">
        <v>439</v>
      </c>
      <c r="W807" s="2" t="s">
        <v>968</v>
      </c>
      <c r="X807" s="2" t="s">
        <v>98</v>
      </c>
      <c r="Y807" s="2" t="s">
        <v>3010</v>
      </c>
      <c r="Z807" s="4">
        <v>127</v>
      </c>
      <c r="AA807" s="4">
        <f>=ROUNDDOWN(63.5,0)</f>
      </c>
      <c r="AB807" s="5">
        <v>2</v>
      </c>
      <c r="AC807" s="2" t="s">
        <v>98</v>
      </c>
      <c r="AD807" s="4"/>
      <c r="AE807" s="4"/>
      <c r="AF807" s="6">
        <v>74</v>
      </c>
      <c r="AG807" s="6"/>
      <c r="AH807" s="7">
        <v>1</v>
      </c>
      <c r="AI807" s="4"/>
      <c r="AJ807" s="4">
        <f>=ROUNDDOWN({0},0)</f>
      </c>
      <c r="AK807" s="5"/>
      <c r="AL807" s="2" t="s">
        <v>98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/>
      <c r="AW807" s="8"/>
      <c r="AX807" s="4"/>
      <c r="AY807" s="8"/>
      <c r="AZ807" s="7"/>
      <c r="BA807" s="7"/>
      <c r="BB807" s="7"/>
      <c r="BC807" s="4"/>
      <c r="BD807" s="8"/>
      <c r="BE807" s="4"/>
      <c r="BF807" s="8"/>
      <c r="BG807" s="7"/>
      <c r="BH807" s="7"/>
      <c r="BI807" s="7"/>
      <c r="BJ807" s="4">
        <v>2</v>
      </c>
      <c r="BK807" s="8">
        <v>333.68</v>
      </c>
      <c r="BL807" s="2" t="s">
        <v>895</v>
      </c>
      <c r="BM807" s="7"/>
      <c r="BN807" s="7"/>
      <c r="BO807" s="4"/>
      <c r="BP807" s="8"/>
      <c r="BQ807" s="4"/>
      <c r="BR807" s="8"/>
      <c r="BS807" s="7"/>
      <c r="BT807" s="7"/>
      <c r="BU807" s="2" t="s">
        <v>107</v>
      </c>
      <c r="BV807" s="2" t="s">
        <v>1355</v>
      </c>
      <c r="BW807" s="2" t="s">
        <v>1550</v>
      </c>
      <c r="BX807" s="2" t="s">
        <v>787</v>
      </c>
      <c r="BY807" s="2" t="s">
        <v>110</v>
      </c>
      <c r="BZ807" s="2" t="s">
        <v>98</v>
      </c>
    </row>
    <row r="808">
      <c r="A808" s="2" t="s">
        <v>4037</v>
      </c>
      <c r="B808" s="2" t="s">
        <v>1345</v>
      </c>
      <c r="C808" s="2" t="s">
        <v>952</v>
      </c>
      <c r="D808" s="2" t="s">
        <v>4011</v>
      </c>
      <c r="E808" s="2" t="s">
        <v>4011</v>
      </c>
      <c r="F808" s="2" t="s">
        <v>3864</v>
      </c>
      <c r="G808" s="2" t="s">
        <v>3864</v>
      </c>
      <c r="H808" s="2" t="s">
        <v>3864</v>
      </c>
      <c r="I808" s="2" t="s">
        <v>4038</v>
      </c>
      <c r="J808" s="2" t="s">
        <v>93</v>
      </c>
      <c r="K808" s="2" t="s">
        <v>1052</v>
      </c>
      <c r="L808" s="3">
        <v>143</v>
      </c>
      <c r="M808" s="3">
        <v>150.15</v>
      </c>
      <c r="N808" s="3">
        <v>299</v>
      </c>
      <c r="O808" s="2" t="s">
        <v>95</v>
      </c>
      <c r="P808" s="2" t="s">
        <v>295</v>
      </c>
      <c r="Q808" s="2" t="s">
        <v>97</v>
      </c>
      <c r="R808" s="2" t="s">
        <v>98</v>
      </c>
      <c r="S808" s="2" t="s">
        <v>98</v>
      </c>
      <c r="T808" s="2" t="s">
        <v>98</v>
      </c>
      <c r="U808" s="2" t="s">
        <v>98</v>
      </c>
      <c r="V808" s="2" t="s">
        <v>296</v>
      </c>
      <c r="W808" s="2" t="s">
        <v>102</v>
      </c>
      <c r="X808" s="2" t="s">
        <v>98</v>
      </c>
      <c r="Y808" s="2" t="s">
        <v>2819</v>
      </c>
      <c r="Z808" s="4">
        <v>55</v>
      </c>
      <c r="AA808" s="4">
        <f>=ROUNDDOWN(27.5,0)</f>
      </c>
      <c r="AB808" s="5">
        <v>2</v>
      </c>
      <c r="AC808" s="2" t="s">
        <v>98</v>
      </c>
      <c r="AD808" s="4"/>
      <c r="AE808" s="4"/>
      <c r="AF808" s="6">
        <v>74</v>
      </c>
      <c r="AG808" s="6"/>
      <c r="AH808" s="7">
        <v>1</v>
      </c>
      <c r="AI808" s="4"/>
      <c r="AJ808" s="4">
        <f>=ROUNDDOWN({0},0)</f>
      </c>
      <c r="AK808" s="5"/>
      <c r="AL808" s="2" t="s">
        <v>98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/>
      <c r="AW808" s="8"/>
      <c r="AX808" s="4"/>
      <c r="AY808" s="8"/>
      <c r="AZ808" s="7"/>
      <c r="BA808" s="7"/>
      <c r="BB808" s="7"/>
      <c r="BC808" s="4"/>
      <c r="BD808" s="8"/>
      <c r="BE808" s="4"/>
      <c r="BF808" s="8"/>
      <c r="BG808" s="7"/>
      <c r="BH808" s="7"/>
      <c r="BI808" s="7"/>
      <c r="BJ808" s="4"/>
      <c r="BK808" s="8"/>
      <c r="BL808" s="2" t="s">
        <v>98</v>
      </c>
      <c r="BM808" s="7"/>
      <c r="BN808" s="7"/>
      <c r="BO808" s="4"/>
      <c r="BP808" s="8"/>
      <c r="BQ808" s="4"/>
      <c r="BR808" s="8"/>
      <c r="BS808" s="7"/>
      <c r="BT808" s="7"/>
      <c r="BU808" s="2" t="s">
        <v>1376</v>
      </c>
      <c r="BV808" s="2" t="s">
        <v>95</v>
      </c>
      <c r="BW808" s="2" t="s">
        <v>98</v>
      </c>
      <c r="BX808" s="2" t="s">
        <v>98</v>
      </c>
      <c r="BY808" s="2" t="s">
        <v>110</v>
      </c>
      <c r="BZ808" s="2" t="s">
        <v>98</v>
      </c>
    </row>
    <row r="809">
      <c r="A809" s="2" t="s">
        <v>4039</v>
      </c>
      <c r="B809" s="2" t="s">
        <v>1345</v>
      </c>
      <c r="C809" s="2" t="s">
        <v>952</v>
      </c>
      <c r="D809" s="2" t="s">
        <v>3459</v>
      </c>
      <c r="E809" s="2" t="s">
        <v>3459</v>
      </c>
      <c r="F809" s="2" t="s">
        <v>2823</v>
      </c>
      <c r="G809" s="2" t="s">
        <v>2823</v>
      </c>
      <c r="H809" s="2" t="s">
        <v>2823</v>
      </c>
      <c r="I809" s="2" t="s">
        <v>4040</v>
      </c>
      <c r="J809" s="2" t="s">
        <v>93</v>
      </c>
      <c r="K809" s="2" t="s">
        <v>1052</v>
      </c>
      <c r="L809" s="3">
        <v>128</v>
      </c>
      <c r="M809" s="3">
        <v>134.4</v>
      </c>
      <c r="N809" s="3">
        <v>269</v>
      </c>
      <c r="O809" s="2" t="s">
        <v>95</v>
      </c>
      <c r="P809" s="2" t="s">
        <v>411</v>
      </c>
      <c r="Q809" s="2" t="s">
        <v>97</v>
      </c>
      <c r="R809" s="2" t="s">
        <v>98</v>
      </c>
      <c r="S809" s="2" t="s">
        <v>98</v>
      </c>
      <c r="T809" s="2" t="s">
        <v>98</v>
      </c>
      <c r="U809" s="2" t="s">
        <v>117</v>
      </c>
      <c r="V809" s="2" t="s">
        <v>296</v>
      </c>
      <c r="W809" s="2" t="s">
        <v>102</v>
      </c>
      <c r="X809" s="2" t="s">
        <v>297</v>
      </c>
      <c r="Y809" s="2" t="s">
        <v>98</v>
      </c>
      <c r="Z809" s="4"/>
      <c r="AA809" s="4">
        <f>=ROUNDDOWN({0},0)</f>
      </c>
      <c r="AB809" s="5"/>
      <c r="AC809" s="2" t="s">
        <v>98</v>
      </c>
      <c r="AD809" s="4"/>
      <c r="AE809" s="4"/>
      <c r="AF809" s="6">
        <v>65</v>
      </c>
      <c r="AG809" s="6"/>
      <c r="AH809" s="7">
        <v>0</v>
      </c>
      <c r="AI809" s="4"/>
      <c r="AJ809" s="4">
        <f>=ROUNDDOWN({0},0)</f>
      </c>
      <c r="AK809" s="5"/>
      <c r="AL809" s="2" t="s">
        <v>98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/>
      <c r="AW809" s="8"/>
      <c r="AX809" s="4"/>
      <c r="AY809" s="8"/>
      <c r="AZ809" s="7"/>
      <c r="BA809" s="7"/>
      <c r="BB809" s="7"/>
      <c r="BC809" s="4"/>
      <c r="BD809" s="8"/>
      <c r="BE809" s="4"/>
      <c r="BF809" s="8"/>
      <c r="BG809" s="7"/>
      <c r="BH809" s="7"/>
      <c r="BI809" s="7"/>
      <c r="BJ809" s="4"/>
      <c r="BK809" s="8"/>
      <c r="BL809" s="2" t="s">
        <v>98</v>
      </c>
      <c r="BM809" s="7"/>
      <c r="BN809" s="7"/>
      <c r="BO809" s="4"/>
      <c r="BP809" s="8"/>
      <c r="BQ809" s="4"/>
      <c r="BR809" s="8"/>
      <c r="BS809" s="7"/>
      <c r="BT809" s="7"/>
      <c r="BU809" s="2" t="s">
        <v>1376</v>
      </c>
      <c r="BV809" s="2" t="s">
        <v>95</v>
      </c>
      <c r="BW809" s="2" t="s">
        <v>98</v>
      </c>
      <c r="BX809" s="2" t="s">
        <v>98</v>
      </c>
      <c r="BY809" s="2" t="s">
        <v>110</v>
      </c>
      <c r="BZ809" s="2" t="s">
        <v>98</v>
      </c>
    </row>
    <row r="810">
      <c r="A810" s="2" t="s">
        <v>4041</v>
      </c>
      <c r="B810" s="2" t="s">
        <v>1345</v>
      </c>
      <c r="C810" s="2" t="s">
        <v>952</v>
      </c>
      <c r="D810" s="2" t="s">
        <v>3213</v>
      </c>
      <c r="E810" s="2" t="s">
        <v>3213</v>
      </c>
      <c r="F810" s="2" t="s">
        <v>4042</v>
      </c>
      <c r="G810" s="2" t="s">
        <v>4042</v>
      </c>
      <c r="H810" s="2" t="s">
        <v>4042</v>
      </c>
      <c r="I810" s="2" t="s">
        <v>4043</v>
      </c>
      <c r="J810" s="2" t="s">
        <v>93</v>
      </c>
      <c r="K810" s="2" t="s">
        <v>4044</v>
      </c>
      <c r="L810" s="3">
        <v>61.84</v>
      </c>
      <c r="M810" s="3">
        <v>64.93</v>
      </c>
      <c r="N810" s="3">
        <v>129</v>
      </c>
      <c r="O810" s="2" t="s">
        <v>95</v>
      </c>
      <c r="P810" s="2" t="s">
        <v>142</v>
      </c>
      <c r="Q810" s="2" t="s">
        <v>97</v>
      </c>
      <c r="R810" s="2" t="s">
        <v>98</v>
      </c>
      <c r="S810" s="2" t="s">
        <v>98</v>
      </c>
      <c r="T810" s="2" t="s">
        <v>98</v>
      </c>
      <c r="U810" s="2" t="s">
        <v>98</v>
      </c>
      <c r="V810" s="2" t="s">
        <v>439</v>
      </c>
      <c r="W810" s="2" t="s">
        <v>963</v>
      </c>
      <c r="X810" s="2" t="s">
        <v>98</v>
      </c>
      <c r="Y810" s="2" t="s">
        <v>1999</v>
      </c>
      <c r="Z810" s="4">
        <v>110</v>
      </c>
      <c r="AA810" s="4">
        <f>=ROUNDDOWN(18.3333333333333,0)</f>
      </c>
      <c r="AB810" s="5">
        <v>6</v>
      </c>
      <c r="AC810" s="2" t="s">
        <v>98</v>
      </c>
      <c r="AD810" s="4"/>
      <c r="AE810" s="4"/>
      <c r="AF810" s="6">
        <v>67</v>
      </c>
      <c r="AG810" s="6"/>
      <c r="AH810" s="7">
        <v>1</v>
      </c>
      <c r="AI810" s="4"/>
      <c r="AJ810" s="4">
        <f>=ROUNDDOWN({0},0)</f>
      </c>
      <c r="AK810" s="5"/>
      <c r="AL810" s="2" t="s">
        <v>98</v>
      </c>
      <c r="AM810" s="4"/>
      <c r="AN810" s="4"/>
      <c r="AO810" s="7">
        <v>0</v>
      </c>
      <c r="AP810" s="4"/>
      <c r="AQ810" s="8"/>
      <c r="AR810" s="4">
        <v>1</v>
      </c>
      <c r="AS810" s="8">
        <v>65.15</v>
      </c>
      <c r="AT810" s="7">
        <v>-1</v>
      </c>
      <c r="AU810" s="7">
        <v>-1</v>
      </c>
      <c r="AV810" s="4"/>
      <c r="AW810" s="8"/>
      <c r="AX810" s="4">
        <v>1</v>
      </c>
      <c r="AY810" s="8">
        <v>65.15</v>
      </c>
      <c r="AZ810" s="7">
        <v>-1</v>
      </c>
      <c r="BA810" s="7">
        <v>-1</v>
      </c>
      <c r="BB810" s="7"/>
      <c r="BC810" s="4"/>
      <c r="BD810" s="8"/>
      <c r="BE810" s="4">
        <v>1</v>
      </c>
      <c r="BF810" s="8">
        <v>65.15</v>
      </c>
      <c r="BG810" s="7">
        <v>-1</v>
      </c>
      <c r="BH810" s="7">
        <v>-1</v>
      </c>
      <c r="BI810" s="7"/>
      <c r="BJ810" s="4">
        <v>5</v>
      </c>
      <c r="BK810" s="8">
        <v>334.4</v>
      </c>
      <c r="BL810" s="2" t="s">
        <v>3500</v>
      </c>
      <c r="BM810" s="7"/>
      <c r="BN810" s="7"/>
      <c r="BO810" s="4"/>
      <c r="BP810" s="8"/>
      <c r="BQ810" s="4">
        <v>1</v>
      </c>
      <c r="BR810" s="8">
        <v>65.15</v>
      </c>
      <c r="BS810" s="7">
        <v>-1</v>
      </c>
      <c r="BT810" s="7">
        <v>-1</v>
      </c>
      <c r="BU810" s="2" t="s">
        <v>107</v>
      </c>
      <c r="BV810" s="2" t="s">
        <v>1355</v>
      </c>
      <c r="BW810" s="2" t="s">
        <v>1550</v>
      </c>
      <c r="BX810" s="2" t="s">
        <v>4021</v>
      </c>
      <c r="BY810" s="2" t="s">
        <v>110</v>
      </c>
      <c r="BZ810" s="2" t="s">
        <v>98</v>
      </c>
    </row>
    <row r="811">
      <c r="A811" s="2" t="s">
        <v>4045</v>
      </c>
      <c r="B811" s="2" t="s">
        <v>1345</v>
      </c>
      <c r="C811" s="2" t="s">
        <v>952</v>
      </c>
      <c r="D811" s="2" t="s">
        <v>3213</v>
      </c>
      <c r="E811" s="2" t="s">
        <v>3213</v>
      </c>
      <c r="F811" s="2" t="s">
        <v>4046</v>
      </c>
      <c r="G811" s="2" t="s">
        <v>4046</v>
      </c>
      <c r="H811" s="2" t="s">
        <v>4046</v>
      </c>
      <c r="I811" s="2" t="s">
        <v>4047</v>
      </c>
      <c r="J811" s="2" t="s">
        <v>93</v>
      </c>
      <c r="K811" s="2" t="s">
        <v>277</v>
      </c>
      <c r="L811" s="3">
        <v>118</v>
      </c>
      <c r="M811" s="3">
        <v>123.9</v>
      </c>
      <c r="N811" s="3">
        <v>249</v>
      </c>
      <c r="O811" s="2" t="s">
        <v>155</v>
      </c>
      <c r="P811" s="2" t="s">
        <v>115</v>
      </c>
      <c r="Q811" s="2" t="s">
        <v>97</v>
      </c>
      <c r="R811" s="2" t="s">
        <v>98</v>
      </c>
      <c r="S811" s="2" t="s">
        <v>98</v>
      </c>
      <c r="T811" s="2" t="s">
        <v>98</v>
      </c>
      <c r="U811" s="2" t="s">
        <v>117</v>
      </c>
      <c r="V811" s="2" t="s">
        <v>439</v>
      </c>
      <c r="W811" s="2" t="s">
        <v>103</v>
      </c>
      <c r="X811" s="2" t="s">
        <v>98</v>
      </c>
      <c r="Y811" s="2" t="s">
        <v>3345</v>
      </c>
      <c r="Z811" s="4">
        <v>27</v>
      </c>
      <c r="AA811" s="4">
        <f>=ROUNDDOWN(12.2727272727273,0)</f>
      </c>
      <c r="AB811" s="5">
        <v>2.2</v>
      </c>
      <c r="AC811" s="2" t="s">
        <v>98</v>
      </c>
      <c r="AD811" s="4"/>
      <c r="AE811" s="4"/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98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/>
      <c r="AW811" s="8"/>
      <c r="AX811" s="4"/>
      <c r="AY811" s="8"/>
      <c r="AZ811" s="7"/>
      <c r="BA811" s="7"/>
      <c r="BB811" s="7"/>
      <c r="BC811" s="4"/>
      <c r="BD811" s="8"/>
      <c r="BE811" s="4"/>
      <c r="BF811" s="8"/>
      <c r="BG811" s="7"/>
      <c r="BH811" s="7"/>
      <c r="BI811" s="7"/>
      <c r="BJ811" s="4">
        <v>1</v>
      </c>
      <c r="BK811" s="8">
        <v>121.35</v>
      </c>
      <c r="BL811" s="2" t="s">
        <v>2239</v>
      </c>
      <c r="BM811" s="7"/>
      <c r="BN811" s="7"/>
      <c r="BO811" s="4"/>
      <c r="BP811" s="8"/>
      <c r="BQ811" s="4"/>
      <c r="BR811" s="8"/>
      <c r="BS811" s="7"/>
      <c r="BT811" s="7"/>
      <c r="BU811" s="2" t="s">
        <v>1376</v>
      </c>
      <c r="BV811" s="2" t="s">
        <v>95</v>
      </c>
      <c r="BW811" s="2" t="s">
        <v>98</v>
      </c>
      <c r="BX811" s="2" t="s">
        <v>98</v>
      </c>
      <c r="BY811" s="2" t="s">
        <v>110</v>
      </c>
      <c r="BZ811" s="2" t="s">
        <v>98</v>
      </c>
    </row>
    <row r="812">
      <c r="A812" s="2" t="s">
        <v>4048</v>
      </c>
      <c r="B812" s="2" t="s">
        <v>1345</v>
      </c>
      <c r="C812" s="2" t="s">
        <v>952</v>
      </c>
      <c r="D812" s="2" t="s">
        <v>3213</v>
      </c>
      <c r="E812" s="2" t="s">
        <v>3213</v>
      </c>
      <c r="F812" s="2" t="s">
        <v>4049</v>
      </c>
      <c r="G812" s="2" t="s">
        <v>4049</v>
      </c>
      <c r="H812" s="2" t="s">
        <v>4049</v>
      </c>
      <c r="I812" s="2" t="s">
        <v>4050</v>
      </c>
      <c r="J812" s="2" t="s">
        <v>93</v>
      </c>
      <c r="K812" s="2" t="s">
        <v>133</v>
      </c>
      <c r="L812" s="3">
        <v>60</v>
      </c>
      <c r="M812" s="3">
        <v>63</v>
      </c>
      <c r="N812" s="3">
        <v>129</v>
      </c>
      <c r="O812" s="2" t="s">
        <v>155</v>
      </c>
      <c r="P812" s="2" t="s">
        <v>115</v>
      </c>
      <c r="Q812" s="2" t="s">
        <v>97</v>
      </c>
      <c r="R812" s="2" t="s">
        <v>98</v>
      </c>
      <c r="S812" s="2" t="s">
        <v>98</v>
      </c>
      <c r="T812" s="2" t="s">
        <v>98</v>
      </c>
      <c r="U812" s="2" t="s">
        <v>117</v>
      </c>
      <c r="V812" s="2" t="s">
        <v>439</v>
      </c>
      <c r="W812" s="2" t="s">
        <v>103</v>
      </c>
      <c r="X812" s="2" t="s">
        <v>98</v>
      </c>
      <c r="Y812" s="2" t="s">
        <v>3345</v>
      </c>
      <c r="Z812" s="4">
        <v>26</v>
      </c>
      <c r="AA812" s="4">
        <f>=ROUNDDOWN(5.2,0)</f>
      </c>
      <c r="AB812" s="5">
        <v>5</v>
      </c>
      <c r="AC812" s="2" t="s">
        <v>98</v>
      </c>
      <c r="AD812" s="4"/>
      <c r="AE812" s="4"/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98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/>
      <c r="AW812" s="8"/>
      <c r="AX812" s="4"/>
      <c r="AY812" s="8"/>
      <c r="AZ812" s="7"/>
      <c r="BA812" s="7"/>
      <c r="BB812" s="7"/>
      <c r="BC812" s="4"/>
      <c r="BD812" s="8"/>
      <c r="BE812" s="4"/>
      <c r="BF812" s="8"/>
      <c r="BG812" s="7"/>
      <c r="BH812" s="7"/>
      <c r="BI812" s="7"/>
      <c r="BJ812" s="4">
        <v>1</v>
      </c>
      <c r="BK812" s="8">
        <v>70.56</v>
      </c>
      <c r="BL812" s="2" t="s">
        <v>505</v>
      </c>
      <c r="BM812" s="7"/>
      <c r="BN812" s="7"/>
      <c r="BO812" s="4"/>
      <c r="BP812" s="8"/>
      <c r="BQ812" s="4"/>
      <c r="BR812" s="8"/>
      <c r="BS812" s="7"/>
      <c r="BT812" s="7"/>
      <c r="BU812" s="2" t="s">
        <v>1376</v>
      </c>
      <c r="BV812" s="2" t="s">
        <v>95</v>
      </c>
      <c r="BW812" s="2" t="s">
        <v>98</v>
      </c>
      <c r="BX812" s="2" t="s">
        <v>98</v>
      </c>
      <c r="BY812" s="2" t="s">
        <v>110</v>
      </c>
      <c r="BZ812" s="2" t="s">
        <v>98</v>
      </c>
    </row>
    <row r="813">
      <c r="A813" s="2" t="s">
        <v>4051</v>
      </c>
      <c r="B813" s="2" t="s">
        <v>1345</v>
      </c>
      <c r="C813" s="2" t="s">
        <v>952</v>
      </c>
      <c r="D813" s="2" t="s">
        <v>4052</v>
      </c>
      <c r="E813" s="2" t="s">
        <v>1346</v>
      </c>
      <c r="F813" s="2" t="s">
        <v>4053</v>
      </c>
      <c r="G813" s="2" t="s">
        <v>4053</v>
      </c>
      <c r="H813" s="2" t="s">
        <v>4053</v>
      </c>
      <c r="I813" s="2" t="s">
        <v>4054</v>
      </c>
      <c r="J813" s="2" t="s">
        <v>4055</v>
      </c>
      <c r="K813" s="2" t="s">
        <v>1052</v>
      </c>
      <c r="L813" s="3">
        <v>260</v>
      </c>
      <c r="M813" s="3">
        <v>273</v>
      </c>
      <c r="N813" s="3">
        <v>549</v>
      </c>
      <c r="O813" s="2" t="s">
        <v>155</v>
      </c>
      <c r="P813" s="2" t="s">
        <v>115</v>
      </c>
      <c r="Q813" s="2" t="s">
        <v>97</v>
      </c>
      <c r="R813" s="2" t="s">
        <v>98</v>
      </c>
      <c r="S813" s="2" t="s">
        <v>98</v>
      </c>
      <c r="T813" s="2" t="s">
        <v>98</v>
      </c>
      <c r="U813" s="2" t="s">
        <v>117</v>
      </c>
      <c r="V813" s="2" t="s">
        <v>296</v>
      </c>
      <c r="W813" s="2" t="s">
        <v>102</v>
      </c>
      <c r="X813" s="2" t="s">
        <v>98</v>
      </c>
      <c r="Y813" s="2" t="s">
        <v>4056</v>
      </c>
      <c r="Z813" s="4">
        <v>7</v>
      </c>
      <c r="AA813" s="4">
        <f>=ROUNDDOWN(7,0)</f>
      </c>
      <c r="AB813" s="5">
        <v>1</v>
      </c>
      <c r="AC813" s="2" t="s">
        <v>98</v>
      </c>
      <c r="AD813" s="4"/>
      <c r="AE813" s="4"/>
      <c r="AF813" s="6">
        <v>65</v>
      </c>
      <c r="AG813" s="6"/>
      <c r="AH813" s="7">
        <v>1</v>
      </c>
      <c r="AI813" s="4"/>
      <c r="AJ813" s="4">
        <f>=ROUNDDOWN({0},0)</f>
      </c>
      <c r="AK813" s="5"/>
      <c r="AL813" s="2" t="s">
        <v>98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/>
      <c r="AW813" s="8"/>
      <c r="AX813" s="4"/>
      <c r="AY813" s="8"/>
      <c r="AZ813" s="7"/>
      <c r="BA813" s="7"/>
      <c r="BB813" s="7"/>
      <c r="BC813" s="4"/>
      <c r="BD813" s="8"/>
      <c r="BE813" s="4"/>
      <c r="BF813" s="8"/>
      <c r="BG813" s="7"/>
      <c r="BH813" s="7"/>
      <c r="BI813" s="7"/>
      <c r="BJ813" s="4"/>
      <c r="BK813" s="8"/>
      <c r="BL813" s="2" t="s">
        <v>98</v>
      </c>
      <c r="BM813" s="7"/>
      <c r="BN813" s="7"/>
      <c r="BO813" s="4"/>
      <c r="BP813" s="8"/>
      <c r="BQ813" s="4"/>
      <c r="BR813" s="8"/>
      <c r="BS813" s="7"/>
      <c r="BT813" s="7"/>
      <c r="BU813" s="2" t="s">
        <v>1376</v>
      </c>
      <c r="BV813" s="2" t="s">
        <v>1355</v>
      </c>
      <c r="BW813" s="2" t="s">
        <v>98</v>
      </c>
      <c r="BX813" s="2" t="s">
        <v>98</v>
      </c>
      <c r="BY813" s="2" t="s">
        <v>110</v>
      </c>
      <c r="BZ813" s="2" t="s">
        <v>98</v>
      </c>
    </row>
    <row r="814">
      <c r="A814" s="2" t="s">
        <v>4057</v>
      </c>
      <c r="B814" s="2" t="s">
        <v>1345</v>
      </c>
      <c r="C814" s="2" t="s">
        <v>952</v>
      </c>
      <c r="D814" s="2" t="s">
        <v>4052</v>
      </c>
      <c r="E814" s="2" t="s">
        <v>1346</v>
      </c>
      <c r="F814" s="2" t="s">
        <v>4058</v>
      </c>
      <c r="G814" s="2" t="s">
        <v>4058</v>
      </c>
      <c r="H814" s="2" t="s">
        <v>4058</v>
      </c>
      <c r="I814" s="2" t="s">
        <v>4059</v>
      </c>
      <c r="J814" s="2" t="s">
        <v>4060</v>
      </c>
      <c r="K814" s="2" t="s">
        <v>1371</v>
      </c>
      <c r="L814" s="3">
        <v>157.5</v>
      </c>
      <c r="M814" s="3">
        <v>165.38</v>
      </c>
      <c r="N814" s="3">
        <v>329</v>
      </c>
      <c r="O814" s="2" t="s">
        <v>95</v>
      </c>
      <c r="P814" s="2" t="s">
        <v>295</v>
      </c>
      <c r="Q814" s="2" t="s">
        <v>97</v>
      </c>
      <c r="R814" s="2" t="s">
        <v>98</v>
      </c>
      <c r="S814" s="2" t="s">
        <v>98</v>
      </c>
      <c r="T814" s="2" t="s">
        <v>98</v>
      </c>
      <c r="U814" s="2" t="s">
        <v>117</v>
      </c>
      <c r="V814" s="2" t="s">
        <v>296</v>
      </c>
      <c r="W814" s="2" t="s">
        <v>102</v>
      </c>
      <c r="X814" s="2" t="s">
        <v>119</v>
      </c>
      <c r="Y814" s="2" t="s">
        <v>574</v>
      </c>
      <c r="Z814" s="4">
        <v>91</v>
      </c>
      <c r="AA814" s="4">
        <f>=ROUNDDOWN(151.666666666667,0)</f>
      </c>
      <c r="AB814" s="5">
        <v>0.6</v>
      </c>
      <c r="AC814" s="2" t="s">
        <v>98</v>
      </c>
      <c r="AD814" s="4"/>
      <c r="AE814" s="4"/>
      <c r="AF814" s="6">
        <v>74</v>
      </c>
      <c r="AG814" s="6"/>
      <c r="AH814" s="7">
        <v>1</v>
      </c>
      <c r="AI814" s="4"/>
      <c r="AJ814" s="4">
        <f>=ROUNDDOWN({0},0)</f>
      </c>
      <c r="AK814" s="5"/>
      <c r="AL814" s="2" t="s">
        <v>98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 t="s">
        <v>98</v>
      </c>
      <c r="AW814" s="8" t="s">
        <v>98</v>
      </c>
      <c r="AX814" s="4" t="s">
        <v>98</v>
      </c>
      <c r="AY814" s="8" t="s">
        <v>98</v>
      </c>
      <c r="AZ814" s="7" t="s">
        <v>98</v>
      </c>
      <c r="BA814" s="7" t="s">
        <v>98</v>
      </c>
      <c r="BB814" s="7"/>
      <c r="BC814" s="4" t="s">
        <v>98</v>
      </c>
      <c r="BD814" s="8" t="s">
        <v>98</v>
      </c>
      <c r="BE814" s="4" t="s">
        <v>98</v>
      </c>
      <c r="BF814" s="8" t="s">
        <v>98</v>
      </c>
      <c r="BG814" s="7" t="s">
        <v>98</v>
      </c>
      <c r="BH814" s="7" t="s">
        <v>98</v>
      </c>
      <c r="BI814" s="7"/>
      <c r="BJ814" s="4"/>
      <c r="BK814" s="8"/>
      <c r="BL814" s="2" t="s">
        <v>98</v>
      </c>
      <c r="BM814" s="7"/>
      <c r="BN814" s="7"/>
      <c r="BO814" s="4"/>
      <c r="BP814" s="8"/>
      <c r="BQ814" s="4"/>
      <c r="BR814" s="8"/>
      <c r="BS814" s="7"/>
      <c r="BT814" s="7"/>
      <c r="BU814" s="2" t="s">
        <v>1376</v>
      </c>
      <c r="BV814" s="2" t="s">
        <v>95</v>
      </c>
      <c r="BW814" s="2" t="s">
        <v>98</v>
      </c>
      <c r="BX814" s="2" t="s">
        <v>98</v>
      </c>
      <c r="BY814" s="2" t="s">
        <v>110</v>
      </c>
      <c r="BZ814" s="2" t="s">
        <v>98</v>
      </c>
    </row>
    <row r="815">
      <c r="A815" s="2" t="s">
        <v>4061</v>
      </c>
      <c r="B815" s="2" t="s">
        <v>1345</v>
      </c>
      <c r="C815" s="2" t="s">
        <v>952</v>
      </c>
      <c r="D815" s="2" t="s">
        <v>4052</v>
      </c>
      <c r="E815" s="2" t="s">
        <v>1346</v>
      </c>
      <c r="F815" s="2" t="s">
        <v>4058</v>
      </c>
      <c r="G815" s="2" t="s">
        <v>4058</v>
      </c>
      <c r="H815" s="2" t="s">
        <v>4058</v>
      </c>
      <c r="I815" s="2" t="s">
        <v>4054</v>
      </c>
      <c r="J815" s="2" t="s">
        <v>4055</v>
      </c>
      <c r="K815" s="2" t="s">
        <v>1371</v>
      </c>
      <c r="L815" s="3">
        <v>166.5</v>
      </c>
      <c r="M815" s="3">
        <v>174.83</v>
      </c>
      <c r="N815" s="3">
        <v>349</v>
      </c>
      <c r="O815" s="2" t="s">
        <v>95</v>
      </c>
      <c r="P815" s="2" t="s">
        <v>295</v>
      </c>
      <c r="Q815" s="2" t="s">
        <v>97</v>
      </c>
      <c r="R815" s="2" t="s">
        <v>98</v>
      </c>
      <c r="S815" s="2" t="s">
        <v>98</v>
      </c>
      <c r="T815" s="2" t="s">
        <v>98</v>
      </c>
      <c r="U815" s="2" t="s">
        <v>117</v>
      </c>
      <c r="V815" s="2" t="s">
        <v>296</v>
      </c>
      <c r="W815" s="2" t="s">
        <v>102</v>
      </c>
      <c r="X815" s="2" t="s">
        <v>119</v>
      </c>
      <c r="Y815" s="2" t="s">
        <v>574</v>
      </c>
      <c r="Z815" s="4">
        <v>139</v>
      </c>
      <c r="AA815" s="4">
        <f>=ROUNDDOWN(231.666666666667,0)</f>
      </c>
      <c r="AB815" s="5">
        <v>0.6</v>
      </c>
      <c r="AC815" s="2" t="s">
        <v>98</v>
      </c>
      <c r="AD815" s="4"/>
      <c r="AE815" s="4"/>
      <c r="AF815" s="6">
        <v>74</v>
      </c>
      <c r="AG815" s="6"/>
      <c r="AH815" s="7">
        <v>1</v>
      </c>
      <c r="AI815" s="4"/>
      <c r="AJ815" s="4">
        <f>=ROUNDDOWN({0},0)</f>
      </c>
      <c r="AK815" s="5"/>
      <c r="AL815" s="2" t="s">
        <v>98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 t="s">
        <v>98</v>
      </c>
      <c r="AW815" s="8" t="s">
        <v>98</v>
      </c>
      <c r="AX815" s="4" t="s">
        <v>98</v>
      </c>
      <c r="AY815" s="8" t="s">
        <v>98</v>
      </c>
      <c r="AZ815" s="7" t="s">
        <v>98</v>
      </c>
      <c r="BA815" s="7" t="s">
        <v>98</v>
      </c>
      <c r="BB815" s="7"/>
      <c r="BC815" s="4" t="s">
        <v>98</v>
      </c>
      <c r="BD815" s="8" t="s">
        <v>98</v>
      </c>
      <c r="BE815" s="4" t="s">
        <v>98</v>
      </c>
      <c r="BF815" s="8" t="s">
        <v>98</v>
      </c>
      <c r="BG815" s="7" t="s">
        <v>98</v>
      </c>
      <c r="BH815" s="7" t="s">
        <v>98</v>
      </c>
      <c r="BI815" s="7"/>
      <c r="BJ815" s="4"/>
      <c r="BK815" s="8"/>
      <c r="BL815" s="2" t="s">
        <v>98</v>
      </c>
      <c r="BM815" s="7"/>
      <c r="BN815" s="7"/>
      <c r="BO815" s="4"/>
      <c r="BP815" s="8"/>
      <c r="BQ815" s="4"/>
      <c r="BR815" s="8"/>
      <c r="BS815" s="7"/>
      <c r="BT815" s="7"/>
      <c r="BU815" s="2" t="s">
        <v>1376</v>
      </c>
      <c r="BV815" s="2" t="s">
        <v>95</v>
      </c>
      <c r="BW815" s="2" t="s">
        <v>98</v>
      </c>
      <c r="BX815" s="2" t="s">
        <v>98</v>
      </c>
      <c r="BY815" s="2" t="s">
        <v>110</v>
      </c>
      <c r="BZ815" s="2" t="s">
        <v>98</v>
      </c>
    </row>
    <row r="816">
      <c r="A816" s="2" t="s">
        <v>4062</v>
      </c>
      <c r="B816" s="2" t="s">
        <v>1345</v>
      </c>
      <c r="C816" s="2" t="s">
        <v>952</v>
      </c>
      <c r="D816" s="2" t="s">
        <v>4052</v>
      </c>
      <c r="E816" s="2" t="s">
        <v>1346</v>
      </c>
      <c r="F816" s="2" t="s">
        <v>4058</v>
      </c>
      <c r="G816" s="2" t="s">
        <v>4058</v>
      </c>
      <c r="H816" s="2" t="s">
        <v>4058</v>
      </c>
      <c r="I816" s="2" t="s">
        <v>4059</v>
      </c>
      <c r="J816" s="2" t="s">
        <v>4060</v>
      </c>
      <c r="K816" s="2" t="s">
        <v>4063</v>
      </c>
      <c r="L816" s="3">
        <v>157.5</v>
      </c>
      <c r="M816" s="3">
        <v>165.38</v>
      </c>
      <c r="N816" s="3">
        <v>329</v>
      </c>
      <c r="O816" s="2" t="s">
        <v>95</v>
      </c>
      <c r="P816" s="2" t="s">
        <v>134</v>
      </c>
      <c r="Q816" s="2" t="s">
        <v>97</v>
      </c>
      <c r="R816" s="2" t="s">
        <v>98</v>
      </c>
      <c r="S816" s="2" t="s">
        <v>98</v>
      </c>
      <c r="T816" s="2" t="s">
        <v>98</v>
      </c>
      <c r="U816" s="2" t="s">
        <v>117</v>
      </c>
      <c r="V816" s="2" t="s">
        <v>296</v>
      </c>
      <c r="W816" s="2" t="s">
        <v>102</v>
      </c>
      <c r="X816" s="2" t="s">
        <v>119</v>
      </c>
      <c r="Y816" s="2" t="s">
        <v>4064</v>
      </c>
      <c r="Z816" s="4">
        <v>36</v>
      </c>
      <c r="AA816" s="4">
        <f>=ROUNDDOWN(9,0)</f>
      </c>
      <c r="AB816" s="5">
        <v>4</v>
      </c>
      <c r="AC816" s="2" t="s">
        <v>2449</v>
      </c>
      <c r="AD816" s="4">
        <v>100</v>
      </c>
      <c r="AE816" s="4">
        <v>100</v>
      </c>
      <c r="AF816" s="6">
        <v>74</v>
      </c>
      <c r="AG816" s="6"/>
      <c r="AH816" s="7">
        <v>1</v>
      </c>
      <c r="AI816" s="4"/>
      <c r="AJ816" s="4">
        <f>=ROUNDDOWN({0},0)</f>
      </c>
      <c r="AK816" s="5"/>
      <c r="AL816" s="2" t="s">
        <v>98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 t="s">
        <v>98</v>
      </c>
      <c r="AW816" s="8" t="s">
        <v>98</v>
      </c>
      <c r="AX816" s="4" t="s">
        <v>98</v>
      </c>
      <c r="AY816" s="8" t="s">
        <v>98</v>
      </c>
      <c r="AZ816" s="7" t="s">
        <v>98</v>
      </c>
      <c r="BA816" s="7" t="s">
        <v>98</v>
      </c>
      <c r="BB816" s="7"/>
      <c r="BC816" s="4" t="s">
        <v>98</v>
      </c>
      <c r="BD816" s="8" t="s">
        <v>98</v>
      </c>
      <c r="BE816" s="4" t="s">
        <v>98</v>
      </c>
      <c r="BF816" s="8" t="s">
        <v>98</v>
      </c>
      <c r="BG816" s="7" t="s">
        <v>98</v>
      </c>
      <c r="BH816" s="7" t="s">
        <v>98</v>
      </c>
      <c r="BI816" s="7"/>
      <c r="BJ816" s="4"/>
      <c r="BK816" s="8"/>
      <c r="BL816" s="2" t="s">
        <v>98</v>
      </c>
      <c r="BM816" s="7"/>
      <c r="BN816" s="7"/>
      <c r="BO816" s="4"/>
      <c r="BP816" s="8"/>
      <c r="BQ816" s="4"/>
      <c r="BR816" s="8"/>
      <c r="BS816" s="7"/>
      <c r="BT816" s="7"/>
      <c r="BU816" s="2" t="s">
        <v>1376</v>
      </c>
      <c r="BV816" s="2" t="s">
        <v>95</v>
      </c>
      <c r="BW816" s="2" t="s">
        <v>98</v>
      </c>
      <c r="BX816" s="2" t="s">
        <v>98</v>
      </c>
      <c r="BY816" s="2" t="s">
        <v>110</v>
      </c>
      <c r="BZ816" s="2" t="s">
        <v>98</v>
      </c>
    </row>
    <row r="817">
      <c r="A817" s="2" t="s">
        <v>4065</v>
      </c>
      <c r="B817" s="2" t="s">
        <v>1345</v>
      </c>
      <c r="C817" s="2" t="s">
        <v>952</v>
      </c>
      <c r="D817" s="2" t="s">
        <v>4052</v>
      </c>
      <c r="E817" s="2" t="s">
        <v>1346</v>
      </c>
      <c r="F817" s="2" t="s">
        <v>4058</v>
      </c>
      <c r="G817" s="2" t="s">
        <v>4058</v>
      </c>
      <c r="H817" s="2" t="s">
        <v>4058</v>
      </c>
      <c r="I817" s="2" t="s">
        <v>4054</v>
      </c>
      <c r="J817" s="2" t="s">
        <v>4055</v>
      </c>
      <c r="K817" s="2" t="s">
        <v>4063</v>
      </c>
      <c r="L817" s="3">
        <v>166.5</v>
      </c>
      <c r="M817" s="3">
        <v>174.82</v>
      </c>
      <c r="N817" s="3">
        <v>349</v>
      </c>
      <c r="O817" s="2" t="s">
        <v>95</v>
      </c>
      <c r="P817" s="2" t="s">
        <v>134</v>
      </c>
      <c r="Q817" s="2" t="s">
        <v>97</v>
      </c>
      <c r="R817" s="2" t="s">
        <v>98</v>
      </c>
      <c r="S817" s="2" t="s">
        <v>98</v>
      </c>
      <c r="T817" s="2" t="s">
        <v>98</v>
      </c>
      <c r="U817" s="2" t="s">
        <v>117</v>
      </c>
      <c r="V817" s="2" t="s">
        <v>296</v>
      </c>
      <c r="W817" s="2" t="s">
        <v>102</v>
      </c>
      <c r="X817" s="2" t="s">
        <v>119</v>
      </c>
      <c r="Y817" s="2" t="s">
        <v>4064</v>
      </c>
      <c r="Z817" s="4">
        <v>96</v>
      </c>
      <c r="AA817" s="4">
        <f>=ROUNDDOWN(24,0)</f>
      </c>
      <c r="AB817" s="5">
        <v>4</v>
      </c>
      <c r="AC817" s="2" t="s">
        <v>98</v>
      </c>
      <c r="AD817" s="4"/>
      <c r="AE817" s="4"/>
      <c r="AF817" s="6">
        <v>74</v>
      </c>
      <c r="AG817" s="6"/>
      <c r="AH817" s="7">
        <v>1</v>
      </c>
      <c r="AI817" s="4"/>
      <c r="AJ817" s="4">
        <f>=ROUNDDOWN({0},0)</f>
      </c>
      <c r="AK817" s="5"/>
      <c r="AL817" s="2" t="s">
        <v>98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 t="s">
        <v>98</v>
      </c>
      <c r="AW817" s="8" t="s">
        <v>98</v>
      </c>
      <c r="AX817" s="4" t="s">
        <v>98</v>
      </c>
      <c r="AY817" s="8" t="s">
        <v>98</v>
      </c>
      <c r="AZ817" s="7" t="s">
        <v>98</v>
      </c>
      <c r="BA817" s="7" t="s">
        <v>98</v>
      </c>
      <c r="BB817" s="7"/>
      <c r="BC817" s="4" t="s">
        <v>98</v>
      </c>
      <c r="BD817" s="8" t="s">
        <v>98</v>
      </c>
      <c r="BE817" s="4" t="s">
        <v>98</v>
      </c>
      <c r="BF817" s="8" t="s">
        <v>98</v>
      </c>
      <c r="BG817" s="7" t="s">
        <v>98</v>
      </c>
      <c r="BH817" s="7" t="s">
        <v>98</v>
      </c>
      <c r="BI817" s="7"/>
      <c r="BJ817" s="4"/>
      <c r="BK817" s="8"/>
      <c r="BL817" s="2" t="s">
        <v>98</v>
      </c>
      <c r="BM817" s="7"/>
      <c r="BN817" s="7"/>
      <c r="BO817" s="4"/>
      <c r="BP817" s="8"/>
      <c r="BQ817" s="4"/>
      <c r="BR817" s="8"/>
      <c r="BS817" s="7"/>
      <c r="BT817" s="7"/>
      <c r="BU817" s="2" t="s">
        <v>1376</v>
      </c>
      <c r="BV817" s="2" t="s">
        <v>95</v>
      </c>
      <c r="BW817" s="2" t="s">
        <v>98</v>
      </c>
      <c r="BX817" s="2" t="s">
        <v>98</v>
      </c>
      <c r="BY817" s="2" t="s">
        <v>110</v>
      </c>
      <c r="BZ817" s="2" t="s">
        <v>98</v>
      </c>
    </row>
    <row r="818">
      <c r="A818" s="2" t="s">
        <v>4066</v>
      </c>
      <c r="B818" s="2" t="s">
        <v>1345</v>
      </c>
      <c r="C818" s="2" t="s">
        <v>952</v>
      </c>
      <c r="D818" s="2" t="s">
        <v>4052</v>
      </c>
      <c r="E818" s="2" t="s">
        <v>3213</v>
      </c>
      <c r="F818" s="2" t="s">
        <v>4058</v>
      </c>
      <c r="G818" s="2" t="s">
        <v>4058</v>
      </c>
      <c r="H818" s="2" t="s">
        <v>4058</v>
      </c>
      <c r="I818" s="2" t="s">
        <v>4067</v>
      </c>
      <c r="J818" s="2" t="s">
        <v>4047</v>
      </c>
      <c r="K818" s="2" t="s">
        <v>1371</v>
      </c>
      <c r="L818" s="3">
        <v>118.8</v>
      </c>
      <c r="M818" s="3">
        <v>124.74</v>
      </c>
      <c r="N818" s="3">
        <v>249</v>
      </c>
      <c r="O818" s="2" t="s">
        <v>95</v>
      </c>
      <c r="P818" s="2" t="s">
        <v>295</v>
      </c>
      <c r="Q818" s="2" t="s">
        <v>97</v>
      </c>
      <c r="R818" s="2" t="s">
        <v>98</v>
      </c>
      <c r="S818" s="2" t="s">
        <v>98</v>
      </c>
      <c r="T818" s="2" t="s">
        <v>98</v>
      </c>
      <c r="U818" s="2" t="s">
        <v>117</v>
      </c>
      <c r="V818" s="2" t="s">
        <v>296</v>
      </c>
      <c r="W818" s="2" t="s">
        <v>102</v>
      </c>
      <c r="X818" s="2" t="s">
        <v>119</v>
      </c>
      <c r="Y818" s="2" t="s">
        <v>574</v>
      </c>
      <c r="Z818" s="4">
        <v>43</v>
      </c>
      <c r="AA818" s="4">
        <f>=ROUNDDOWN(35.8333333333333,0)</f>
      </c>
      <c r="AB818" s="5">
        <v>1.2</v>
      </c>
      <c r="AC818" s="2" t="s">
        <v>98</v>
      </c>
      <c r="AD818" s="4"/>
      <c r="AE818" s="4"/>
      <c r="AF818" s="6">
        <v>74</v>
      </c>
      <c r="AG818" s="6"/>
      <c r="AH818" s="7">
        <v>1</v>
      </c>
      <c r="AI818" s="4"/>
      <c r="AJ818" s="4">
        <f>=ROUNDDOWN({0},0)</f>
      </c>
      <c r="AK818" s="5"/>
      <c r="AL818" s="2" t="s">
        <v>98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 t="s">
        <v>98</v>
      </c>
      <c r="BD818" s="8" t="s">
        <v>98</v>
      </c>
      <c r="BE818" s="4" t="s">
        <v>98</v>
      </c>
      <c r="BF818" s="8" t="s">
        <v>98</v>
      </c>
      <c r="BG818" s="7" t="s">
        <v>98</v>
      </c>
      <c r="BH818" s="7" t="s">
        <v>98</v>
      </c>
      <c r="BI818" s="7"/>
      <c r="BJ818" s="4"/>
      <c r="BK818" s="8"/>
      <c r="BL818" s="2" t="s">
        <v>98</v>
      </c>
      <c r="BM818" s="7"/>
      <c r="BN818" s="7"/>
      <c r="BO818" s="4"/>
      <c r="BP818" s="8"/>
      <c r="BQ818" s="4"/>
      <c r="BR818" s="8"/>
      <c r="BS818" s="7"/>
      <c r="BT818" s="7"/>
      <c r="BU818" s="2" t="s">
        <v>1376</v>
      </c>
      <c r="BV818" s="2" t="s">
        <v>95</v>
      </c>
      <c r="BW818" s="2" t="s">
        <v>98</v>
      </c>
      <c r="BX818" s="2" t="s">
        <v>98</v>
      </c>
      <c r="BY818" s="2" t="s">
        <v>110</v>
      </c>
      <c r="BZ818" s="2" t="s">
        <v>98</v>
      </c>
    </row>
    <row r="819">
      <c r="A819" s="2" t="s">
        <v>4068</v>
      </c>
      <c r="B819" s="2" t="s">
        <v>1345</v>
      </c>
      <c r="C819" s="2" t="s">
        <v>952</v>
      </c>
      <c r="D819" s="2" t="s">
        <v>4052</v>
      </c>
      <c r="E819" s="2" t="s">
        <v>3213</v>
      </c>
      <c r="F819" s="2" t="s">
        <v>4058</v>
      </c>
      <c r="G819" s="2" t="s">
        <v>4058</v>
      </c>
      <c r="H819" s="2" t="s">
        <v>4058</v>
      </c>
      <c r="I819" s="2" t="s">
        <v>4067</v>
      </c>
      <c r="J819" s="2" t="s">
        <v>4047</v>
      </c>
      <c r="K819" s="2" t="s">
        <v>4063</v>
      </c>
      <c r="L819" s="3">
        <v>118.8</v>
      </c>
      <c r="M819" s="3">
        <v>124.74</v>
      </c>
      <c r="N819" s="3">
        <v>249</v>
      </c>
      <c r="O819" s="2" t="s">
        <v>95</v>
      </c>
      <c r="P819" s="2" t="s">
        <v>142</v>
      </c>
      <c r="Q819" s="2" t="s">
        <v>97</v>
      </c>
      <c r="R819" s="2" t="s">
        <v>98</v>
      </c>
      <c r="S819" s="2" t="s">
        <v>98</v>
      </c>
      <c r="T819" s="2" t="s">
        <v>98</v>
      </c>
      <c r="U819" s="2" t="s">
        <v>117</v>
      </c>
      <c r="V819" s="2" t="s">
        <v>296</v>
      </c>
      <c r="W819" s="2" t="s">
        <v>102</v>
      </c>
      <c r="X819" s="2" t="s">
        <v>119</v>
      </c>
      <c r="Y819" s="2" t="s">
        <v>4064</v>
      </c>
      <c r="Z819" s="4">
        <v>67</v>
      </c>
      <c r="AA819" s="4">
        <f>=ROUNDDOWN(30.4545454545455,0)</f>
      </c>
      <c r="AB819" s="5">
        <v>2.2</v>
      </c>
      <c r="AC819" s="2" t="s">
        <v>98</v>
      </c>
      <c r="AD819" s="4"/>
      <c r="AE819" s="4"/>
      <c r="AF819" s="6">
        <v>74</v>
      </c>
      <c r="AG819" s="6"/>
      <c r="AH819" s="7">
        <v>1</v>
      </c>
      <c r="AI819" s="4"/>
      <c r="AJ819" s="4">
        <f>=ROUNDDOWN({0},0)</f>
      </c>
      <c r="AK819" s="5"/>
      <c r="AL819" s="2" t="s">
        <v>98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 t="s">
        <v>98</v>
      </c>
      <c r="BD819" s="8" t="s">
        <v>98</v>
      </c>
      <c r="BE819" s="4" t="s">
        <v>98</v>
      </c>
      <c r="BF819" s="8" t="s">
        <v>98</v>
      </c>
      <c r="BG819" s="7" t="s">
        <v>98</v>
      </c>
      <c r="BH819" s="7" t="s">
        <v>98</v>
      </c>
      <c r="BI819" s="7"/>
      <c r="BJ819" s="4">
        <v>1</v>
      </c>
      <c r="BK819" s="8">
        <v>128.48</v>
      </c>
      <c r="BL819" s="2" t="s">
        <v>895</v>
      </c>
      <c r="BM819" s="7"/>
      <c r="BN819" s="7"/>
      <c r="BO819" s="4"/>
      <c r="BP819" s="8"/>
      <c r="BQ819" s="4"/>
      <c r="BR819" s="8"/>
      <c r="BS819" s="7"/>
      <c r="BT819" s="7"/>
      <c r="BU819" s="2" t="s">
        <v>1376</v>
      </c>
      <c r="BV819" s="2" t="s">
        <v>95</v>
      </c>
      <c r="BW819" s="2" t="s">
        <v>98</v>
      </c>
      <c r="BX819" s="2" t="s">
        <v>98</v>
      </c>
      <c r="BY819" s="2" t="s">
        <v>110</v>
      </c>
      <c r="BZ819" s="2" t="s">
        <v>98</v>
      </c>
    </row>
    <row r="820">
      <c r="A820" s="2" t="s">
        <v>4069</v>
      </c>
      <c r="B820" s="2" t="s">
        <v>1345</v>
      </c>
      <c r="C820" s="2" t="s">
        <v>1069</v>
      </c>
      <c r="D820" s="2" t="s">
        <v>2205</v>
      </c>
      <c r="E820" s="2" t="s">
        <v>2205</v>
      </c>
      <c r="F820" s="2" t="s">
        <v>4070</v>
      </c>
      <c r="G820" s="2" t="s">
        <v>4070</v>
      </c>
      <c r="H820" s="2" t="s">
        <v>4070</v>
      </c>
      <c r="I820" s="2" t="s">
        <v>4071</v>
      </c>
      <c r="J820" s="2" t="s">
        <v>93</v>
      </c>
      <c r="K820" s="2" t="s">
        <v>4072</v>
      </c>
      <c r="L820" s="3">
        <v>214.2</v>
      </c>
      <c r="M820" s="3">
        <v>224.91</v>
      </c>
      <c r="N820" s="3">
        <v>449</v>
      </c>
      <c r="O820" s="2" t="s">
        <v>95</v>
      </c>
      <c r="P820" s="2" t="s">
        <v>134</v>
      </c>
      <c r="Q820" s="2" t="s">
        <v>97</v>
      </c>
      <c r="R820" s="2" t="s">
        <v>98</v>
      </c>
      <c r="S820" s="2" t="s">
        <v>98</v>
      </c>
      <c r="T820" s="2" t="s">
        <v>98</v>
      </c>
      <c r="U820" s="2" t="s">
        <v>100</v>
      </c>
      <c r="V820" s="2" t="s">
        <v>439</v>
      </c>
      <c r="W820" s="2" t="s">
        <v>314</v>
      </c>
      <c r="X820" s="2" t="s">
        <v>103</v>
      </c>
      <c r="Y820" s="2" t="s">
        <v>4073</v>
      </c>
      <c r="Z820" s="4">
        <v>63</v>
      </c>
      <c r="AA820" s="4">
        <f>=ROUNDDOWN(5.72727272727273,0)</f>
      </c>
      <c r="AB820" s="5">
        <v>11</v>
      </c>
      <c r="AC820" s="2" t="s">
        <v>1643</v>
      </c>
      <c r="AD820" s="4">
        <v>126</v>
      </c>
      <c r="AE820" s="4">
        <v>310</v>
      </c>
      <c r="AF820" s="6">
        <v>65</v>
      </c>
      <c r="AG820" s="6">
        <v>48</v>
      </c>
      <c r="AH820" s="7">
        <v>1</v>
      </c>
      <c r="AI820" s="4"/>
      <c r="AJ820" s="4">
        <f>=ROUNDDOWN({0},0)</f>
      </c>
      <c r="AK820" s="5"/>
      <c r="AL820" s="2" t="s">
        <v>98</v>
      </c>
      <c r="AM820" s="4"/>
      <c r="AN820" s="4"/>
      <c r="AO820" s="7">
        <v>0</v>
      </c>
      <c r="AP820" s="4">
        <v>3</v>
      </c>
      <c r="AQ820" s="8">
        <v>648</v>
      </c>
      <c r="AR820" s="4"/>
      <c r="AS820" s="8"/>
      <c r="AT820" s="7"/>
      <c r="AU820" s="7"/>
      <c r="AV820" s="4">
        <v>3</v>
      </c>
      <c r="AW820" s="8">
        <v>648</v>
      </c>
      <c r="AX820" s="4"/>
      <c r="AY820" s="8"/>
      <c r="AZ820" s="7"/>
      <c r="BA820" s="7"/>
      <c r="BB820" s="7">
        <v>1</v>
      </c>
      <c r="BC820" s="4">
        <v>3</v>
      </c>
      <c r="BD820" s="8">
        <v>648</v>
      </c>
      <c r="BE820" s="4">
        <v>3</v>
      </c>
      <c r="BF820" s="8">
        <v>720</v>
      </c>
      <c r="BG820" s="7" t="s">
        <v>98</v>
      </c>
      <c r="BH820" s="7">
        <v>-0.1</v>
      </c>
      <c r="BI820" s="7">
        <v>1</v>
      </c>
      <c r="BJ820" s="4">
        <v>11</v>
      </c>
      <c r="BK820" s="8">
        <v>2312.5</v>
      </c>
      <c r="BL820" s="2" t="s">
        <v>2244</v>
      </c>
      <c r="BM820" s="7">
        <v>0.2727</v>
      </c>
      <c r="BN820" s="7">
        <v>0.2802</v>
      </c>
      <c r="BO820" s="4">
        <v>3</v>
      </c>
      <c r="BP820" s="8">
        <v>648</v>
      </c>
      <c r="BQ820" s="4"/>
      <c r="BR820" s="8"/>
      <c r="BS820" s="7"/>
      <c r="BT820" s="7"/>
      <c r="BU820" s="2" t="s">
        <v>1376</v>
      </c>
      <c r="BV820" s="2" t="s">
        <v>95</v>
      </c>
      <c r="BW820" s="2" t="s">
        <v>98</v>
      </c>
      <c r="BX820" s="2" t="s">
        <v>98</v>
      </c>
      <c r="BY820" s="2" t="s">
        <v>110</v>
      </c>
      <c r="BZ820" s="2" t="s">
        <v>98</v>
      </c>
    </row>
    <row r="821">
      <c r="A821" s="2" t="s">
        <v>4074</v>
      </c>
      <c r="B821" s="2" t="s">
        <v>1345</v>
      </c>
      <c r="C821" s="2" t="s">
        <v>1069</v>
      </c>
      <c r="D821" s="2" t="s">
        <v>2205</v>
      </c>
      <c r="E821" s="2" t="s">
        <v>2205</v>
      </c>
      <c r="F821" s="2" t="s">
        <v>4070</v>
      </c>
      <c r="G821" s="2" t="s">
        <v>4070</v>
      </c>
      <c r="H821" s="2" t="s">
        <v>4070</v>
      </c>
      <c r="I821" s="2" t="s">
        <v>4071</v>
      </c>
      <c r="J821" s="2" t="s">
        <v>93</v>
      </c>
      <c r="K821" s="2" t="s">
        <v>277</v>
      </c>
      <c r="L821" s="3">
        <v>214.2</v>
      </c>
      <c r="M821" s="3">
        <v>224.91</v>
      </c>
      <c r="N821" s="3">
        <v>449</v>
      </c>
      <c r="O821" s="2" t="s">
        <v>95</v>
      </c>
      <c r="P821" s="2" t="s">
        <v>96</v>
      </c>
      <c r="Q821" s="2" t="s">
        <v>97</v>
      </c>
      <c r="R821" s="2" t="s">
        <v>98</v>
      </c>
      <c r="S821" s="2" t="s">
        <v>98</v>
      </c>
      <c r="T821" s="2" t="s">
        <v>98</v>
      </c>
      <c r="U821" s="2" t="s">
        <v>100</v>
      </c>
      <c r="V821" s="2" t="s">
        <v>439</v>
      </c>
      <c r="W821" s="2" t="s">
        <v>314</v>
      </c>
      <c r="X821" s="2" t="s">
        <v>98</v>
      </c>
      <c r="Y821" s="2" t="s">
        <v>284</v>
      </c>
      <c r="Z821" s="4">
        <v>230</v>
      </c>
      <c r="AA821" s="4">
        <f>=ROUNDDOWN(12.7777777777778,0)</f>
      </c>
      <c r="AB821" s="5">
        <v>18</v>
      </c>
      <c r="AC821" s="2" t="s">
        <v>2335</v>
      </c>
      <c r="AD821" s="4">
        <v>120</v>
      </c>
      <c r="AE821" s="4">
        <v>360</v>
      </c>
      <c r="AF821" s="6">
        <v>65</v>
      </c>
      <c r="AG821" s="6">
        <v>48</v>
      </c>
      <c r="AH821" s="7">
        <v>1</v>
      </c>
      <c r="AI821" s="4"/>
      <c r="AJ821" s="4">
        <f>=ROUNDDOWN({0},0)</f>
      </c>
      <c r="AK821" s="5"/>
      <c r="AL821" s="2" t="s">
        <v>98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/>
      <c r="AW821" s="8"/>
      <c r="AX821" s="4"/>
      <c r="AY821" s="8"/>
      <c r="AZ821" s="7"/>
      <c r="BA821" s="7"/>
      <c r="BB821" s="7"/>
      <c r="BC821" s="4" t="s">
        <v>98</v>
      </c>
      <c r="BD821" s="8" t="s">
        <v>98</v>
      </c>
      <c r="BE821" s="4" t="s">
        <v>98</v>
      </c>
      <c r="BF821" s="8" t="s">
        <v>98</v>
      </c>
      <c r="BG821" s="7" t="s">
        <v>98</v>
      </c>
      <c r="BH821" s="7" t="s">
        <v>98</v>
      </c>
      <c r="BI821" s="7"/>
      <c r="BJ821" s="4">
        <v>7</v>
      </c>
      <c r="BK821" s="8">
        <v>1616.8</v>
      </c>
      <c r="BL821" s="2" t="s">
        <v>333</v>
      </c>
      <c r="BM821" s="7"/>
      <c r="BN821" s="7"/>
      <c r="BO821" s="4"/>
      <c r="BP821" s="8"/>
      <c r="BQ821" s="4"/>
      <c r="BR821" s="8"/>
      <c r="BS821" s="7"/>
      <c r="BT821" s="7"/>
      <c r="BU821" s="2" t="s">
        <v>1376</v>
      </c>
      <c r="BV821" s="2" t="s">
        <v>95</v>
      </c>
      <c r="BW821" s="2" t="s">
        <v>98</v>
      </c>
      <c r="BX821" s="2" t="s">
        <v>98</v>
      </c>
      <c r="BY821" s="2" t="s">
        <v>110</v>
      </c>
      <c r="BZ821" s="2" t="s">
        <v>98</v>
      </c>
    </row>
    <row r="822">
      <c r="A822" s="2" t="s">
        <v>4075</v>
      </c>
      <c r="B822" s="2" t="s">
        <v>1345</v>
      </c>
      <c r="C822" s="2" t="s">
        <v>1069</v>
      </c>
      <c r="D822" s="2" t="s">
        <v>2205</v>
      </c>
      <c r="E822" s="2" t="s">
        <v>2205</v>
      </c>
      <c r="F822" s="2" t="s">
        <v>4070</v>
      </c>
      <c r="G822" s="2" t="s">
        <v>4070</v>
      </c>
      <c r="H822" s="2" t="s">
        <v>4070</v>
      </c>
      <c r="I822" s="2" t="s">
        <v>4071</v>
      </c>
      <c r="J822" s="2" t="s">
        <v>93</v>
      </c>
      <c r="K822" s="2" t="s">
        <v>1439</v>
      </c>
      <c r="L822" s="3">
        <v>214.2</v>
      </c>
      <c r="M822" s="3">
        <v>224.91</v>
      </c>
      <c r="N822" s="3">
        <v>449</v>
      </c>
      <c r="O822" s="2" t="s">
        <v>95</v>
      </c>
      <c r="P822" s="2" t="s">
        <v>163</v>
      </c>
      <c r="Q822" s="2" t="s">
        <v>97</v>
      </c>
      <c r="R822" s="2" t="s">
        <v>98</v>
      </c>
      <c r="S822" s="2" t="s">
        <v>98</v>
      </c>
      <c r="T822" s="2" t="s">
        <v>98</v>
      </c>
      <c r="U822" s="2" t="s">
        <v>100</v>
      </c>
      <c r="V822" s="2" t="s">
        <v>439</v>
      </c>
      <c r="W822" s="2" t="s">
        <v>314</v>
      </c>
      <c r="X822" s="2" t="s">
        <v>98</v>
      </c>
      <c r="Y822" s="2" t="s">
        <v>4076</v>
      </c>
      <c r="Z822" s="4">
        <v>221</v>
      </c>
      <c r="AA822" s="4">
        <f>=ROUNDDOWN(15.2413793103448,0)</f>
      </c>
      <c r="AB822" s="5">
        <v>14.5</v>
      </c>
      <c r="AC822" s="2" t="s">
        <v>1516</v>
      </c>
      <c r="AD822" s="4">
        <v>64</v>
      </c>
      <c r="AE822" s="4">
        <v>600</v>
      </c>
      <c r="AF822" s="6">
        <v>65</v>
      </c>
      <c r="AG822" s="6">
        <v>48</v>
      </c>
      <c r="AH822" s="7">
        <v>1</v>
      </c>
      <c r="AI822" s="4"/>
      <c r="AJ822" s="4">
        <f>=ROUNDDOWN({0},0)</f>
      </c>
      <c r="AK822" s="5"/>
      <c r="AL822" s="2" t="s">
        <v>4077</v>
      </c>
      <c r="AM822" s="4">
        <v>216</v>
      </c>
      <c r="AN822" s="4">
        <v>216</v>
      </c>
      <c r="AO822" s="7">
        <v>0</v>
      </c>
      <c r="AP822" s="4"/>
      <c r="AQ822" s="8"/>
      <c r="AR822" s="4"/>
      <c r="AS822" s="8"/>
      <c r="AT822" s="7"/>
      <c r="AU822" s="7"/>
      <c r="AV822" s="4"/>
      <c r="AW822" s="8"/>
      <c r="AX822" s="4"/>
      <c r="AY822" s="8"/>
      <c r="AZ822" s="7"/>
      <c r="BA822" s="7"/>
      <c r="BB822" s="7"/>
      <c r="BC822" s="4" t="s">
        <v>98</v>
      </c>
      <c r="BD822" s="8" t="s">
        <v>98</v>
      </c>
      <c r="BE822" s="4" t="s">
        <v>98</v>
      </c>
      <c r="BF822" s="8" t="s">
        <v>98</v>
      </c>
      <c r="BG822" s="7" t="s">
        <v>98</v>
      </c>
      <c r="BH822" s="7" t="s">
        <v>98</v>
      </c>
      <c r="BI822" s="7"/>
      <c r="BJ822" s="4">
        <v>27</v>
      </c>
      <c r="BK822" s="8">
        <v>5467.88</v>
      </c>
      <c r="BL822" s="2" t="s">
        <v>1957</v>
      </c>
      <c r="BM822" s="7"/>
      <c r="BN822" s="7"/>
      <c r="BO822" s="4"/>
      <c r="BP822" s="8"/>
      <c r="BQ822" s="4"/>
      <c r="BR822" s="8"/>
      <c r="BS822" s="7"/>
      <c r="BT822" s="7"/>
      <c r="BU822" s="2" t="s">
        <v>107</v>
      </c>
      <c r="BV822" s="2" t="s">
        <v>1355</v>
      </c>
      <c r="BW822" s="2" t="s">
        <v>206</v>
      </c>
      <c r="BX822" s="2" t="s">
        <v>98</v>
      </c>
      <c r="BY822" s="2" t="s">
        <v>110</v>
      </c>
      <c r="BZ822" s="2" t="s">
        <v>98</v>
      </c>
    </row>
    <row r="823">
      <c r="A823" s="2" t="s">
        <v>4078</v>
      </c>
      <c r="B823" s="2" t="s">
        <v>1345</v>
      </c>
      <c r="C823" s="2" t="s">
        <v>1069</v>
      </c>
      <c r="D823" s="2" t="s">
        <v>2205</v>
      </c>
      <c r="E823" s="2" t="s">
        <v>2205</v>
      </c>
      <c r="F823" s="2" t="s">
        <v>4070</v>
      </c>
      <c r="G823" s="2" t="s">
        <v>4070</v>
      </c>
      <c r="H823" s="2" t="s">
        <v>4070</v>
      </c>
      <c r="I823" s="2" t="s">
        <v>4071</v>
      </c>
      <c r="J823" s="2" t="s">
        <v>93</v>
      </c>
      <c r="K823" s="2" t="s">
        <v>1490</v>
      </c>
      <c r="L823" s="3">
        <v>214.2</v>
      </c>
      <c r="M823" s="3">
        <v>224.91</v>
      </c>
      <c r="N823" s="3">
        <v>449</v>
      </c>
      <c r="O823" s="2" t="s">
        <v>95</v>
      </c>
      <c r="P823" s="2" t="s">
        <v>163</v>
      </c>
      <c r="Q823" s="2" t="s">
        <v>97</v>
      </c>
      <c r="R823" s="2" t="s">
        <v>98</v>
      </c>
      <c r="S823" s="2" t="s">
        <v>98</v>
      </c>
      <c r="T823" s="2" t="s">
        <v>98</v>
      </c>
      <c r="U823" s="2" t="s">
        <v>100</v>
      </c>
      <c r="V823" s="2" t="s">
        <v>439</v>
      </c>
      <c r="W823" s="2" t="s">
        <v>314</v>
      </c>
      <c r="X823" s="2" t="s">
        <v>98</v>
      </c>
      <c r="Y823" s="2" t="s">
        <v>1975</v>
      </c>
      <c r="Z823" s="4"/>
      <c r="AA823" s="4">
        <f>=ROUNDDOWN({0},0)</f>
      </c>
      <c r="AB823" s="5">
        <v>11.7</v>
      </c>
      <c r="AC823" s="2" t="s">
        <v>1516</v>
      </c>
      <c r="AD823" s="4">
        <v>10</v>
      </c>
      <c r="AE823" s="4">
        <v>441</v>
      </c>
      <c r="AF823" s="6">
        <v>65</v>
      </c>
      <c r="AG823" s="6">
        <v>48</v>
      </c>
      <c r="AH823" s="7">
        <v>0</v>
      </c>
      <c r="AI823" s="4"/>
      <c r="AJ823" s="4">
        <f>=ROUNDDOWN({0},0)</f>
      </c>
      <c r="AK823" s="5"/>
      <c r="AL823" s="2" t="s">
        <v>1562</v>
      </c>
      <c r="AM823" s="4">
        <v>216</v>
      </c>
      <c r="AN823" s="4">
        <v>216</v>
      </c>
      <c r="AO823" s="7">
        <v>0</v>
      </c>
      <c r="AP823" s="4"/>
      <c r="AQ823" s="8"/>
      <c r="AR823" s="4">
        <v>3</v>
      </c>
      <c r="AS823" s="8">
        <v>720</v>
      </c>
      <c r="AT823" s="7">
        <v>-1</v>
      </c>
      <c r="AU823" s="7">
        <v>-1</v>
      </c>
      <c r="AV823" s="4"/>
      <c r="AW823" s="8"/>
      <c r="AX823" s="4">
        <v>3</v>
      </c>
      <c r="AY823" s="8">
        <v>720</v>
      </c>
      <c r="AZ823" s="7">
        <v>-1</v>
      </c>
      <c r="BA823" s="7">
        <v>-1</v>
      </c>
      <c r="BB823" s="7"/>
      <c r="BC823" s="4" t="s">
        <v>98</v>
      </c>
      <c r="BD823" s="8" t="s">
        <v>98</v>
      </c>
      <c r="BE823" s="4" t="s">
        <v>98</v>
      </c>
      <c r="BF823" s="8" t="s">
        <v>98</v>
      </c>
      <c r="BG823" s="7" t="s">
        <v>98</v>
      </c>
      <c r="BH823" s="7" t="s">
        <v>98</v>
      </c>
      <c r="BI823" s="7"/>
      <c r="BJ823" s="4">
        <v>5</v>
      </c>
      <c r="BK823" s="8">
        <v>1032.6</v>
      </c>
      <c r="BL823" s="2" t="s">
        <v>4079</v>
      </c>
      <c r="BM823" s="7"/>
      <c r="BN823" s="7"/>
      <c r="BO823" s="4"/>
      <c r="BP823" s="8"/>
      <c r="BQ823" s="4">
        <v>3</v>
      </c>
      <c r="BR823" s="8">
        <v>720</v>
      </c>
      <c r="BS823" s="7">
        <v>-1</v>
      </c>
      <c r="BT823" s="7">
        <v>-1</v>
      </c>
      <c r="BU823" s="2" t="s">
        <v>107</v>
      </c>
      <c r="BV823" s="2" t="s">
        <v>1355</v>
      </c>
      <c r="BW823" s="2" t="s">
        <v>1472</v>
      </c>
      <c r="BX823" s="2" t="s">
        <v>4080</v>
      </c>
      <c r="BY823" s="2" t="s">
        <v>110</v>
      </c>
      <c r="BZ823" s="2" t="s">
        <v>98</v>
      </c>
    </row>
    <row r="824">
      <c r="A824" s="2" t="s">
        <v>4081</v>
      </c>
      <c r="B824" s="2" t="s">
        <v>1345</v>
      </c>
      <c r="C824" s="2" t="s">
        <v>1069</v>
      </c>
      <c r="D824" s="2" t="s">
        <v>2205</v>
      </c>
      <c r="E824" s="2" t="s">
        <v>2205</v>
      </c>
      <c r="F824" s="2" t="s">
        <v>4082</v>
      </c>
      <c r="G824" s="2" t="s">
        <v>4082</v>
      </c>
      <c r="H824" s="2" t="s">
        <v>4082</v>
      </c>
      <c r="I824" s="2" t="s">
        <v>4083</v>
      </c>
      <c r="J824" s="2" t="s">
        <v>93</v>
      </c>
      <c r="K824" s="2" t="s">
        <v>1915</v>
      </c>
      <c r="L824" s="3">
        <v>118.13</v>
      </c>
      <c r="M824" s="3">
        <v>124.04</v>
      </c>
      <c r="N824" s="3">
        <v>249</v>
      </c>
      <c r="O824" s="2" t="s">
        <v>95</v>
      </c>
      <c r="P824" s="2" t="s">
        <v>142</v>
      </c>
      <c r="Q824" s="2" t="s">
        <v>97</v>
      </c>
      <c r="R824" s="2" t="s">
        <v>98</v>
      </c>
      <c r="S824" s="2" t="s">
        <v>98</v>
      </c>
      <c r="T824" s="2" t="s">
        <v>98</v>
      </c>
      <c r="U824" s="2" t="s">
        <v>117</v>
      </c>
      <c r="V824" s="2" t="s">
        <v>439</v>
      </c>
      <c r="W824" s="2" t="s">
        <v>314</v>
      </c>
      <c r="X824" s="2" t="s">
        <v>103</v>
      </c>
      <c r="Y824" s="2" t="s">
        <v>4084</v>
      </c>
      <c r="Z824" s="4">
        <v>86</v>
      </c>
      <c r="AA824" s="4">
        <f>=ROUNDDOWN(43,0)</f>
      </c>
      <c r="AB824" s="5">
        <v>2</v>
      </c>
      <c r="AC824" s="2" t="s">
        <v>98</v>
      </c>
      <c r="AD824" s="4"/>
      <c r="AE824" s="4"/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98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/>
      <c r="BD824" s="8"/>
      <c r="BE824" s="4"/>
      <c r="BF824" s="8"/>
      <c r="BG824" s="7"/>
      <c r="BH824" s="7"/>
      <c r="BI824" s="7"/>
      <c r="BJ824" s="4">
        <v>1</v>
      </c>
      <c r="BK824" s="8">
        <v>122.05</v>
      </c>
      <c r="BL824" s="2" t="s">
        <v>4085</v>
      </c>
      <c r="BM824" s="7"/>
      <c r="BN824" s="7"/>
      <c r="BO824" s="4"/>
      <c r="BP824" s="8"/>
      <c r="BQ824" s="4"/>
      <c r="BR824" s="8"/>
      <c r="BS824" s="7"/>
      <c r="BT824" s="7"/>
      <c r="BU824" s="2" t="s">
        <v>1376</v>
      </c>
      <c r="BV824" s="2" t="s">
        <v>95</v>
      </c>
      <c r="BW824" s="2" t="s">
        <v>98</v>
      </c>
      <c r="BX824" s="2" t="s">
        <v>98</v>
      </c>
      <c r="BY824" s="2" t="s">
        <v>110</v>
      </c>
      <c r="BZ824" s="2" t="s">
        <v>98</v>
      </c>
    </row>
    <row r="825">
      <c r="A825" s="2" t="s">
        <v>4086</v>
      </c>
      <c r="B825" s="2" t="s">
        <v>1345</v>
      </c>
      <c r="C825" s="2" t="s">
        <v>1069</v>
      </c>
      <c r="D825" s="2" t="s">
        <v>2205</v>
      </c>
      <c r="E825" s="2" t="s">
        <v>1876</v>
      </c>
      <c r="F825" s="2" t="s">
        <v>4082</v>
      </c>
      <c r="G825" s="2" t="s">
        <v>4082</v>
      </c>
      <c r="H825" s="2" t="s">
        <v>4082</v>
      </c>
      <c r="I825" s="2" t="s">
        <v>4083</v>
      </c>
      <c r="J825" s="2" t="s">
        <v>93</v>
      </c>
      <c r="K825" s="2" t="s">
        <v>3928</v>
      </c>
      <c r="L825" s="3">
        <v>118.13</v>
      </c>
      <c r="M825" s="3">
        <v>124.04</v>
      </c>
      <c r="N825" s="3">
        <v>249</v>
      </c>
      <c r="O825" s="2" t="s">
        <v>95</v>
      </c>
      <c r="P825" s="2" t="s">
        <v>134</v>
      </c>
      <c r="Q825" s="2" t="s">
        <v>97</v>
      </c>
      <c r="R825" s="2" t="s">
        <v>98</v>
      </c>
      <c r="S825" s="2" t="s">
        <v>4087</v>
      </c>
      <c r="T825" s="2" t="s">
        <v>98</v>
      </c>
      <c r="U825" s="2" t="s">
        <v>98</v>
      </c>
      <c r="V825" s="2" t="s">
        <v>439</v>
      </c>
      <c r="W825" s="2" t="s">
        <v>314</v>
      </c>
      <c r="X825" s="2" t="s">
        <v>98</v>
      </c>
      <c r="Y825" s="2" t="s">
        <v>366</v>
      </c>
      <c r="Z825" s="4">
        <v>80</v>
      </c>
      <c r="AA825" s="4">
        <f>=ROUNDDOWN(7.27272727272727,0)</f>
      </c>
      <c r="AB825" s="5">
        <v>11</v>
      </c>
      <c r="AC825" s="2" t="s">
        <v>230</v>
      </c>
      <c r="AD825" s="4">
        <v>90</v>
      </c>
      <c r="AE825" s="4">
        <v>90</v>
      </c>
      <c r="AF825" s="6">
        <v>67</v>
      </c>
      <c r="AG825" s="6">
        <v>50</v>
      </c>
      <c r="AH825" s="7">
        <v>1</v>
      </c>
      <c r="AI825" s="4"/>
      <c r="AJ825" s="4">
        <f>=ROUNDDOWN({0},0)</f>
      </c>
      <c r="AK825" s="5"/>
      <c r="AL825" s="2" t="s">
        <v>98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/>
      <c r="AW825" s="8"/>
      <c r="AX825" s="4"/>
      <c r="AY825" s="8"/>
      <c r="AZ825" s="7"/>
      <c r="BA825" s="7"/>
      <c r="BB825" s="7"/>
      <c r="BC825" s="4"/>
      <c r="BD825" s="8"/>
      <c r="BE825" s="4"/>
      <c r="BF825" s="8"/>
      <c r="BG825" s="7"/>
      <c r="BH825" s="7"/>
      <c r="BI825" s="7"/>
      <c r="BJ825" s="4">
        <v>4</v>
      </c>
      <c r="BK825" s="8">
        <v>436.8</v>
      </c>
      <c r="BL825" s="2" t="s">
        <v>895</v>
      </c>
      <c r="BM825" s="7"/>
      <c r="BN825" s="7"/>
      <c r="BO825" s="4"/>
      <c r="BP825" s="8"/>
      <c r="BQ825" s="4"/>
      <c r="BR825" s="8"/>
      <c r="BS825" s="7"/>
      <c r="BT825" s="7"/>
      <c r="BU825" s="2" t="s">
        <v>107</v>
      </c>
      <c r="BV825" s="2" t="s">
        <v>1355</v>
      </c>
      <c r="BW825" s="2" t="s">
        <v>1436</v>
      </c>
      <c r="BX825" s="2" t="s">
        <v>1620</v>
      </c>
      <c r="BY825" s="2" t="s">
        <v>110</v>
      </c>
      <c r="BZ825" s="2" t="s">
        <v>98</v>
      </c>
    </row>
    <row r="826">
      <c r="A826" s="2" t="s">
        <v>4088</v>
      </c>
      <c r="B826" s="2" t="s">
        <v>1345</v>
      </c>
      <c r="C826" s="2" t="s">
        <v>1069</v>
      </c>
      <c r="D826" s="2" t="s">
        <v>2205</v>
      </c>
      <c r="E826" s="2" t="s">
        <v>1876</v>
      </c>
      <c r="F826" s="2" t="s">
        <v>4089</v>
      </c>
      <c r="G826" s="2" t="s">
        <v>98</v>
      </c>
      <c r="H826" s="2" t="s">
        <v>98</v>
      </c>
      <c r="I826" s="2" t="s">
        <v>4071</v>
      </c>
      <c r="J826" s="2" t="s">
        <v>93</v>
      </c>
      <c r="K826" s="2" t="s">
        <v>133</v>
      </c>
      <c r="L826" s="3">
        <v>256.03</v>
      </c>
      <c r="M826" s="3">
        <v>268.83</v>
      </c>
      <c r="N826" s="3">
        <v>529</v>
      </c>
      <c r="O826" s="2" t="s">
        <v>95</v>
      </c>
      <c r="P826" s="2" t="s">
        <v>134</v>
      </c>
      <c r="Q826" s="2" t="s">
        <v>97</v>
      </c>
      <c r="R826" s="2" t="s">
        <v>98</v>
      </c>
      <c r="S826" s="2" t="s">
        <v>98</v>
      </c>
      <c r="T826" s="2" t="s">
        <v>98</v>
      </c>
      <c r="U826" s="2" t="s">
        <v>98</v>
      </c>
      <c r="V826" s="2" t="s">
        <v>439</v>
      </c>
      <c r="W826" s="2" t="s">
        <v>314</v>
      </c>
      <c r="X826" s="2" t="s">
        <v>98</v>
      </c>
      <c r="Y826" s="2" t="s">
        <v>427</v>
      </c>
      <c r="Z826" s="4">
        <v>247</v>
      </c>
      <c r="AA826" s="4">
        <f>=ROUNDDOWN(14.5294117647059,0)</f>
      </c>
      <c r="AB826" s="5">
        <v>17</v>
      </c>
      <c r="AC826" s="2" t="s">
        <v>1452</v>
      </c>
      <c r="AD826" s="4">
        <v>66</v>
      </c>
      <c r="AE826" s="4">
        <v>331</v>
      </c>
      <c r="AF826" s="6">
        <v>65</v>
      </c>
      <c r="AG826" s="6">
        <v>48</v>
      </c>
      <c r="AH826" s="7">
        <v>1</v>
      </c>
      <c r="AI826" s="4"/>
      <c r="AJ826" s="4">
        <f>=ROUNDDOWN({0},0)</f>
      </c>
      <c r="AK826" s="5"/>
      <c r="AL826" s="2" t="s">
        <v>98</v>
      </c>
      <c r="AM826" s="4"/>
      <c r="AN826" s="4"/>
      <c r="AO826" s="7">
        <v>0</v>
      </c>
      <c r="AP826" s="4"/>
      <c r="AQ826" s="8"/>
      <c r="AR826" s="4">
        <v>5</v>
      </c>
      <c r="AS826" s="8">
        <v>1207.55</v>
      </c>
      <c r="AT826" s="7">
        <v>-1</v>
      </c>
      <c r="AU826" s="7">
        <v>-1</v>
      </c>
      <c r="AV826" s="4"/>
      <c r="AW826" s="8"/>
      <c r="AX826" s="4">
        <v>5</v>
      </c>
      <c r="AY826" s="8">
        <v>1207.55</v>
      </c>
      <c r="AZ826" s="7">
        <v>-1</v>
      </c>
      <c r="BA826" s="7">
        <v>-1</v>
      </c>
      <c r="BB826" s="7"/>
      <c r="BC826" s="4"/>
      <c r="BD826" s="8"/>
      <c r="BE826" s="4">
        <v>5</v>
      </c>
      <c r="BF826" s="8">
        <v>1207.55</v>
      </c>
      <c r="BG826" s="7">
        <v>-1</v>
      </c>
      <c r="BH826" s="7">
        <v>-1</v>
      </c>
      <c r="BI826" s="7"/>
      <c r="BJ826" s="4">
        <v>6</v>
      </c>
      <c r="BK826" s="8">
        <v>1611.46</v>
      </c>
      <c r="BL826" s="2" t="s">
        <v>4090</v>
      </c>
      <c r="BM826" s="7"/>
      <c r="BN826" s="7"/>
      <c r="BO826" s="4"/>
      <c r="BP826" s="8"/>
      <c r="BQ826" s="4">
        <v>5</v>
      </c>
      <c r="BR826" s="8">
        <v>1207.55</v>
      </c>
      <c r="BS826" s="7">
        <v>-1</v>
      </c>
      <c r="BT826" s="7">
        <v>-1</v>
      </c>
      <c r="BU826" s="2" t="s">
        <v>107</v>
      </c>
      <c r="BV826" s="2" t="s">
        <v>1355</v>
      </c>
      <c r="BW826" s="2" t="s">
        <v>1472</v>
      </c>
      <c r="BX826" s="2" t="s">
        <v>4091</v>
      </c>
      <c r="BY826" s="2" t="s">
        <v>110</v>
      </c>
      <c r="BZ826" s="2" t="s">
        <v>98</v>
      </c>
    </row>
    <row r="827">
      <c r="A827" s="2" t="s">
        <v>4092</v>
      </c>
      <c r="B827" s="2" t="s">
        <v>1345</v>
      </c>
      <c r="C827" s="2" t="s">
        <v>1069</v>
      </c>
      <c r="D827" s="2" t="s">
        <v>2205</v>
      </c>
      <c r="E827" s="2" t="s">
        <v>1876</v>
      </c>
      <c r="F827" s="2" t="s">
        <v>4093</v>
      </c>
      <c r="G827" s="2" t="s">
        <v>4093</v>
      </c>
      <c r="H827" s="2" t="s">
        <v>4093</v>
      </c>
      <c r="I827" s="2" t="s">
        <v>2313</v>
      </c>
      <c r="J827" s="2" t="s">
        <v>93</v>
      </c>
      <c r="K827" s="2" t="s">
        <v>4094</v>
      </c>
      <c r="L827" s="3">
        <v>200.36</v>
      </c>
      <c r="M827" s="3">
        <v>210.38</v>
      </c>
      <c r="N827" s="3">
        <v>419</v>
      </c>
      <c r="O827" s="2" t="s">
        <v>95</v>
      </c>
      <c r="P827" s="2" t="s">
        <v>96</v>
      </c>
      <c r="Q827" s="2" t="s">
        <v>97</v>
      </c>
      <c r="R827" s="2" t="s">
        <v>98</v>
      </c>
      <c r="S827" s="2" t="s">
        <v>4095</v>
      </c>
      <c r="T827" s="2" t="s">
        <v>98</v>
      </c>
      <c r="U827" s="2" t="s">
        <v>98</v>
      </c>
      <c r="V827" s="2" t="s">
        <v>439</v>
      </c>
      <c r="W827" s="2" t="s">
        <v>102</v>
      </c>
      <c r="X827" s="2" t="s">
        <v>98</v>
      </c>
      <c r="Y827" s="2" t="s">
        <v>795</v>
      </c>
      <c r="Z827" s="4">
        <v>409</v>
      </c>
      <c r="AA827" s="4">
        <f>=ROUNDDOWN(20.45,0)</f>
      </c>
      <c r="AB827" s="5">
        <v>20</v>
      </c>
      <c r="AC827" s="2" t="s">
        <v>4096</v>
      </c>
      <c r="AD827" s="4">
        <v>79</v>
      </c>
      <c r="AE827" s="4">
        <v>330</v>
      </c>
      <c r="AF827" s="6">
        <v>74</v>
      </c>
      <c r="AG827" s="6">
        <v>60</v>
      </c>
      <c r="AH827" s="7">
        <v>1</v>
      </c>
      <c r="AI827" s="4"/>
      <c r="AJ827" s="4">
        <f>=ROUNDDOWN({0},0)</f>
      </c>
      <c r="AK827" s="5"/>
      <c r="AL827" s="2" t="s">
        <v>98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/>
      <c r="AW827" s="8"/>
      <c r="AX827" s="4"/>
      <c r="AY827" s="8"/>
      <c r="AZ827" s="7"/>
      <c r="BA827" s="7"/>
      <c r="BB827" s="7"/>
      <c r="BC827" s="4"/>
      <c r="BD827" s="8"/>
      <c r="BE827" s="4"/>
      <c r="BF827" s="8"/>
      <c r="BG827" s="7"/>
      <c r="BH827" s="7"/>
      <c r="BI827" s="7"/>
      <c r="BJ827" s="4">
        <v>12</v>
      </c>
      <c r="BK827" s="8">
        <v>2489.67</v>
      </c>
      <c r="BL827" s="2" t="s">
        <v>333</v>
      </c>
      <c r="BM827" s="7"/>
      <c r="BN827" s="7"/>
      <c r="BO827" s="4"/>
      <c r="BP827" s="8"/>
      <c r="BQ827" s="4"/>
      <c r="BR827" s="8"/>
      <c r="BS827" s="7"/>
      <c r="BT827" s="7"/>
      <c r="BU827" s="2" t="s">
        <v>107</v>
      </c>
      <c r="BV827" s="2" t="s">
        <v>1355</v>
      </c>
      <c r="BW827" s="2" t="s">
        <v>1600</v>
      </c>
      <c r="BX827" s="2" t="s">
        <v>4097</v>
      </c>
      <c r="BY827" s="2" t="s">
        <v>110</v>
      </c>
      <c r="BZ827" s="2" t="s">
        <v>98</v>
      </c>
    </row>
    <row r="828">
      <c r="A828" s="2" t="s">
        <v>4098</v>
      </c>
      <c r="B828" s="2" t="s">
        <v>1345</v>
      </c>
      <c r="C828" s="2" t="s">
        <v>1069</v>
      </c>
      <c r="D828" s="2" t="s">
        <v>4011</v>
      </c>
      <c r="E828" s="2" t="s">
        <v>4011</v>
      </c>
      <c r="F828" s="2" t="s">
        <v>4099</v>
      </c>
      <c r="G828" s="2" t="s">
        <v>4099</v>
      </c>
      <c r="H828" s="2" t="s">
        <v>4099</v>
      </c>
      <c r="I828" s="2" t="s">
        <v>4023</v>
      </c>
      <c r="J828" s="2" t="s">
        <v>93</v>
      </c>
      <c r="K828" s="2" t="s">
        <v>4100</v>
      </c>
      <c r="L828" s="3">
        <v>109.25</v>
      </c>
      <c r="M828" s="3">
        <v>114.71</v>
      </c>
      <c r="N828" s="3">
        <v>229</v>
      </c>
      <c r="O828" s="2" t="s">
        <v>95</v>
      </c>
      <c r="P828" s="2" t="s">
        <v>163</v>
      </c>
      <c r="Q828" s="2" t="s">
        <v>97</v>
      </c>
      <c r="R828" s="2" t="s">
        <v>98</v>
      </c>
      <c r="S828" s="2" t="s">
        <v>4101</v>
      </c>
      <c r="T828" s="2" t="s">
        <v>98</v>
      </c>
      <c r="U828" s="2" t="s">
        <v>98</v>
      </c>
      <c r="V828" s="2" t="s">
        <v>439</v>
      </c>
      <c r="W828" s="2" t="s">
        <v>314</v>
      </c>
      <c r="X828" s="2" t="s">
        <v>98</v>
      </c>
      <c r="Y828" s="2" t="s">
        <v>366</v>
      </c>
      <c r="Z828" s="4">
        <v>54</v>
      </c>
      <c r="AA828" s="4">
        <f>=ROUNDDOWN(0.675,0)</f>
      </c>
      <c r="AB828" s="5">
        <v>80</v>
      </c>
      <c r="AC828" s="2" t="s">
        <v>1353</v>
      </c>
      <c r="AD828" s="4">
        <v>500</v>
      </c>
      <c r="AE828" s="4">
        <v>2700</v>
      </c>
      <c r="AF828" s="6">
        <v>74</v>
      </c>
      <c r="AG828" s="6">
        <v>60</v>
      </c>
      <c r="AH828" s="7">
        <v>1</v>
      </c>
      <c r="AI828" s="4"/>
      <c r="AJ828" s="4">
        <f>=ROUNDDOWN({0},0)</f>
      </c>
      <c r="AK828" s="5"/>
      <c r="AL828" s="2" t="s">
        <v>98</v>
      </c>
      <c r="AM828" s="4"/>
      <c r="AN828" s="4"/>
      <c r="AO828" s="7">
        <v>0</v>
      </c>
      <c r="AP828" s="4">
        <v>2</v>
      </c>
      <c r="AQ828" s="8">
        <v>200.5</v>
      </c>
      <c r="AR828" s="4"/>
      <c r="AS828" s="8"/>
      <c r="AT828" s="7"/>
      <c r="AU828" s="7"/>
      <c r="AV828" s="4">
        <v>2</v>
      </c>
      <c r="AW828" s="8">
        <v>200.5</v>
      </c>
      <c r="AX828" s="4"/>
      <c r="AY828" s="8"/>
      <c r="AZ828" s="7"/>
      <c r="BA828" s="7"/>
      <c r="BB828" s="7">
        <v>1</v>
      </c>
      <c r="BC828" s="4">
        <v>2</v>
      </c>
      <c r="BD828" s="8">
        <v>200.5</v>
      </c>
      <c r="BE828" s="4" t="s">
        <v>98</v>
      </c>
      <c r="BF828" s="8" t="s">
        <v>98</v>
      </c>
      <c r="BG828" s="7" t="s">
        <v>98</v>
      </c>
      <c r="BH828" s="7" t="s">
        <v>98</v>
      </c>
      <c r="BI828" s="7">
        <v>1</v>
      </c>
      <c r="BJ828" s="4">
        <v>93</v>
      </c>
      <c r="BK828" s="8">
        <v>10214.46</v>
      </c>
      <c r="BL828" s="2" t="s">
        <v>2777</v>
      </c>
      <c r="BM828" s="7">
        <v>0.0215</v>
      </c>
      <c r="BN828" s="7">
        <v>0.0196</v>
      </c>
      <c r="BO828" s="4">
        <v>2</v>
      </c>
      <c r="BP828" s="8">
        <v>200.5</v>
      </c>
      <c r="BQ828" s="4"/>
      <c r="BR828" s="8"/>
      <c r="BS828" s="7"/>
      <c r="BT828" s="7"/>
      <c r="BU828" s="2" t="s">
        <v>107</v>
      </c>
      <c r="BV828" s="2" t="s">
        <v>1355</v>
      </c>
      <c r="BW828" s="2" t="s">
        <v>1369</v>
      </c>
      <c r="BX828" s="2" t="s">
        <v>4102</v>
      </c>
      <c r="BY828" s="2" t="s">
        <v>110</v>
      </c>
      <c r="BZ828" s="2" t="s">
        <v>98</v>
      </c>
    </row>
    <row r="829">
      <c r="A829" s="2" t="s">
        <v>4103</v>
      </c>
      <c r="B829" s="2" t="s">
        <v>1345</v>
      </c>
      <c r="C829" s="2" t="s">
        <v>1069</v>
      </c>
      <c r="D829" s="2" t="s">
        <v>4011</v>
      </c>
      <c r="E829" s="2" t="s">
        <v>4011</v>
      </c>
      <c r="F829" s="2" t="s">
        <v>4099</v>
      </c>
      <c r="G829" s="2" t="s">
        <v>4099</v>
      </c>
      <c r="H829" s="2" t="s">
        <v>4099</v>
      </c>
      <c r="I829" s="2" t="s">
        <v>4023</v>
      </c>
      <c r="J829" s="2" t="s">
        <v>93</v>
      </c>
      <c r="K829" s="2" t="s">
        <v>4104</v>
      </c>
      <c r="L829" s="3">
        <v>109.25</v>
      </c>
      <c r="M829" s="3">
        <v>114.71</v>
      </c>
      <c r="N829" s="3">
        <v>229</v>
      </c>
      <c r="O829" s="2" t="s">
        <v>95</v>
      </c>
      <c r="P829" s="2" t="s">
        <v>163</v>
      </c>
      <c r="Q829" s="2" t="s">
        <v>97</v>
      </c>
      <c r="R829" s="2" t="s">
        <v>98</v>
      </c>
      <c r="S829" s="2" t="s">
        <v>98</v>
      </c>
      <c r="T829" s="2" t="s">
        <v>98</v>
      </c>
      <c r="U829" s="2" t="s">
        <v>117</v>
      </c>
      <c r="V829" s="2" t="s">
        <v>439</v>
      </c>
      <c r="W829" s="2" t="s">
        <v>314</v>
      </c>
      <c r="X829" s="2" t="s">
        <v>204</v>
      </c>
      <c r="Y829" s="2" t="s">
        <v>4105</v>
      </c>
      <c r="Z829" s="4">
        <v>408</v>
      </c>
      <c r="AA829" s="4">
        <f>=ROUNDDOWN(5.44,0)</f>
      </c>
      <c r="AB829" s="5">
        <v>75</v>
      </c>
      <c r="AC829" s="2" t="s">
        <v>3300</v>
      </c>
      <c r="AD829" s="4">
        <v>300</v>
      </c>
      <c r="AE829" s="4">
        <v>2350</v>
      </c>
      <c r="AF829" s="6">
        <v>74</v>
      </c>
      <c r="AG829" s="6">
        <v>60</v>
      </c>
      <c r="AH829" s="7">
        <v>1</v>
      </c>
      <c r="AI829" s="4"/>
      <c r="AJ829" s="4">
        <f>=ROUNDDOWN({0},0)</f>
      </c>
      <c r="AK829" s="5"/>
      <c r="AL829" s="2" t="s">
        <v>98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/>
      <c r="AW829" s="8"/>
      <c r="AX829" s="4"/>
      <c r="AY829" s="8"/>
      <c r="AZ829" s="7"/>
      <c r="BA829" s="7"/>
      <c r="BB829" s="7"/>
      <c r="BC829" s="4" t="s">
        <v>98</v>
      </c>
      <c r="BD829" s="8" t="s">
        <v>98</v>
      </c>
      <c r="BE829" s="4" t="s">
        <v>98</v>
      </c>
      <c r="BF829" s="8" t="s">
        <v>98</v>
      </c>
      <c r="BG829" s="7" t="s">
        <v>98</v>
      </c>
      <c r="BH829" s="7" t="s">
        <v>98</v>
      </c>
      <c r="BI829" s="7"/>
      <c r="BJ829" s="4">
        <v>57</v>
      </c>
      <c r="BK829" s="8">
        <v>6352.52</v>
      </c>
      <c r="BL829" s="2" t="s">
        <v>2566</v>
      </c>
      <c r="BM829" s="7"/>
      <c r="BN829" s="7"/>
      <c r="BO829" s="4"/>
      <c r="BP829" s="8"/>
      <c r="BQ829" s="4"/>
      <c r="BR829" s="8"/>
      <c r="BS829" s="7"/>
      <c r="BT829" s="7"/>
      <c r="BU829" s="2" t="s">
        <v>1376</v>
      </c>
      <c r="BV829" s="2" t="s">
        <v>95</v>
      </c>
      <c r="BW829" s="2" t="s">
        <v>98</v>
      </c>
      <c r="BX829" s="2" t="s">
        <v>98</v>
      </c>
      <c r="BY829" s="2" t="s">
        <v>110</v>
      </c>
      <c r="BZ829" s="2" t="s">
        <v>98</v>
      </c>
    </row>
    <row r="830">
      <c r="A830" s="2" t="s">
        <v>4106</v>
      </c>
      <c r="B830" s="2" t="s">
        <v>1345</v>
      </c>
      <c r="C830" s="2" t="s">
        <v>1069</v>
      </c>
      <c r="D830" s="2" t="s">
        <v>4011</v>
      </c>
      <c r="E830" s="2" t="s">
        <v>4011</v>
      </c>
      <c r="F830" s="2" t="s">
        <v>4107</v>
      </c>
      <c r="G830" s="2" t="s">
        <v>4107</v>
      </c>
      <c r="H830" s="2" t="s">
        <v>4107</v>
      </c>
      <c r="I830" s="2" t="s">
        <v>4023</v>
      </c>
      <c r="J830" s="2" t="s">
        <v>93</v>
      </c>
      <c r="K830" s="2" t="s">
        <v>4108</v>
      </c>
      <c r="L830" s="3">
        <v>178.17</v>
      </c>
      <c r="M830" s="3">
        <v>187.08</v>
      </c>
      <c r="N830" s="3">
        <v>379</v>
      </c>
      <c r="O830" s="2" t="s">
        <v>95</v>
      </c>
      <c r="P830" s="2" t="s">
        <v>134</v>
      </c>
      <c r="Q830" s="2" t="s">
        <v>97</v>
      </c>
      <c r="R830" s="2" t="s">
        <v>98</v>
      </c>
      <c r="S830" s="2" t="s">
        <v>4109</v>
      </c>
      <c r="T830" s="2" t="s">
        <v>98</v>
      </c>
      <c r="U830" s="2" t="s">
        <v>98</v>
      </c>
      <c r="V830" s="2" t="s">
        <v>439</v>
      </c>
      <c r="W830" s="2" t="s">
        <v>103</v>
      </c>
      <c r="X830" s="2" t="s">
        <v>98</v>
      </c>
      <c r="Y830" s="2" t="s">
        <v>366</v>
      </c>
      <c r="Z830" s="4">
        <v>109</v>
      </c>
      <c r="AA830" s="4">
        <f>=ROUNDDOWN(9.90909090909091,0)</f>
      </c>
      <c r="AB830" s="5">
        <v>11</v>
      </c>
      <c r="AC830" s="2" t="s">
        <v>2575</v>
      </c>
      <c r="AD830" s="4">
        <v>60</v>
      </c>
      <c r="AE830" s="4">
        <v>295</v>
      </c>
      <c r="AF830" s="6">
        <v>74</v>
      </c>
      <c r="AG830" s="6">
        <v>60</v>
      </c>
      <c r="AH830" s="7">
        <v>1</v>
      </c>
      <c r="AI830" s="4"/>
      <c r="AJ830" s="4">
        <f>=ROUNDDOWN({0},0)</f>
      </c>
      <c r="AK830" s="5"/>
      <c r="AL830" s="2" t="s">
        <v>98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 t="s">
        <v>98</v>
      </c>
      <c r="AW830" s="8" t="s">
        <v>98</v>
      </c>
      <c r="AX830" s="4" t="s">
        <v>98</v>
      </c>
      <c r="AY830" s="8" t="s">
        <v>98</v>
      </c>
      <c r="AZ830" s="7" t="s">
        <v>98</v>
      </c>
      <c r="BA830" s="7" t="s">
        <v>98</v>
      </c>
      <c r="BB830" s="7" t="s">
        <v>98</v>
      </c>
      <c r="BC830" s="4" t="s">
        <v>98</v>
      </c>
      <c r="BD830" s="8" t="s">
        <v>98</v>
      </c>
      <c r="BE830" s="4" t="s">
        <v>98</v>
      </c>
      <c r="BF830" s="8" t="s">
        <v>98</v>
      </c>
      <c r="BG830" s="7" t="s">
        <v>98</v>
      </c>
      <c r="BH830" s="7" t="s">
        <v>98</v>
      </c>
      <c r="BI830" s="7"/>
      <c r="BJ830" s="4">
        <v>7</v>
      </c>
      <c r="BK830" s="8">
        <v>1207.91</v>
      </c>
      <c r="BL830" s="2" t="s">
        <v>4110</v>
      </c>
      <c r="BM830" s="7"/>
      <c r="BN830" s="7"/>
      <c r="BO830" s="4"/>
      <c r="BP830" s="8"/>
      <c r="BQ830" s="4"/>
      <c r="BR830" s="8"/>
      <c r="BS830" s="7"/>
      <c r="BT830" s="7"/>
      <c r="BU830" s="2" t="s">
        <v>107</v>
      </c>
      <c r="BV830" s="2" t="s">
        <v>1355</v>
      </c>
      <c r="BW830" s="2" t="s">
        <v>1600</v>
      </c>
      <c r="BX830" s="2" t="s">
        <v>4111</v>
      </c>
      <c r="BY830" s="2" t="s">
        <v>110</v>
      </c>
      <c r="BZ830" s="2" t="s">
        <v>98</v>
      </c>
    </row>
    <row r="831">
      <c r="A831" s="2" t="s">
        <v>4112</v>
      </c>
      <c r="B831" s="2" t="s">
        <v>1345</v>
      </c>
      <c r="C831" s="2" t="s">
        <v>1069</v>
      </c>
      <c r="D831" s="2" t="s">
        <v>4011</v>
      </c>
      <c r="E831" s="2" t="s">
        <v>4011</v>
      </c>
      <c r="F831" s="2" t="s">
        <v>4107</v>
      </c>
      <c r="G831" s="2" t="s">
        <v>4107</v>
      </c>
      <c r="H831" s="2" t="s">
        <v>4107</v>
      </c>
      <c r="I831" s="2" t="s">
        <v>4113</v>
      </c>
      <c r="J831" s="2" t="s">
        <v>93</v>
      </c>
      <c r="K831" s="2" t="s">
        <v>4108</v>
      </c>
      <c r="L831" s="3">
        <v>178.17</v>
      </c>
      <c r="M831" s="3">
        <v>187.08</v>
      </c>
      <c r="N831" s="3">
        <v>379</v>
      </c>
      <c r="O831" s="2" t="s">
        <v>95</v>
      </c>
      <c r="P831" s="2" t="s">
        <v>163</v>
      </c>
      <c r="Q831" s="2" t="s">
        <v>97</v>
      </c>
      <c r="R831" s="2" t="s">
        <v>98</v>
      </c>
      <c r="S831" s="2" t="s">
        <v>98</v>
      </c>
      <c r="T831" s="2" t="s">
        <v>98</v>
      </c>
      <c r="U831" s="2" t="s">
        <v>98</v>
      </c>
      <c r="V831" s="2" t="s">
        <v>439</v>
      </c>
      <c r="W831" s="2" t="s">
        <v>314</v>
      </c>
      <c r="X831" s="2" t="s">
        <v>98</v>
      </c>
      <c r="Y831" s="2" t="s">
        <v>4114</v>
      </c>
      <c r="Z831" s="4">
        <v>595</v>
      </c>
      <c r="AA831" s="4">
        <f>=ROUNDDOWN(35,0)</f>
      </c>
      <c r="AB831" s="5">
        <v>17</v>
      </c>
      <c r="AC831" s="2" t="s">
        <v>1374</v>
      </c>
      <c r="AD831" s="4">
        <v>400</v>
      </c>
      <c r="AE831" s="4">
        <v>400</v>
      </c>
      <c r="AF831" s="6">
        <v>74</v>
      </c>
      <c r="AG831" s="6">
        <v>60</v>
      </c>
      <c r="AH831" s="7">
        <v>1</v>
      </c>
      <c r="AI831" s="4"/>
      <c r="AJ831" s="4">
        <f>=ROUNDDOWN({0},0)</f>
      </c>
      <c r="AK831" s="5"/>
      <c r="AL831" s="2" t="s">
        <v>98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 t="s">
        <v>98</v>
      </c>
      <c r="AW831" s="8" t="s">
        <v>98</v>
      </c>
      <c r="AX831" s="4" t="s">
        <v>98</v>
      </c>
      <c r="AY831" s="8" t="s">
        <v>98</v>
      </c>
      <c r="AZ831" s="7" t="s">
        <v>98</v>
      </c>
      <c r="BA831" s="7" t="s">
        <v>98</v>
      </c>
      <c r="BB831" s="7" t="s">
        <v>98</v>
      </c>
      <c r="BC831" s="4" t="s">
        <v>98</v>
      </c>
      <c r="BD831" s="8" t="s">
        <v>98</v>
      </c>
      <c r="BE831" s="4" t="s">
        <v>98</v>
      </c>
      <c r="BF831" s="8" t="s">
        <v>98</v>
      </c>
      <c r="BG831" s="7" t="s">
        <v>98</v>
      </c>
      <c r="BH831" s="7" t="s">
        <v>98</v>
      </c>
      <c r="BI831" s="7"/>
      <c r="BJ831" s="4">
        <v>15</v>
      </c>
      <c r="BK831" s="8">
        <v>2771.94</v>
      </c>
      <c r="BL831" s="2" t="s">
        <v>1379</v>
      </c>
      <c r="BM831" s="7"/>
      <c r="BN831" s="7"/>
      <c r="BO831" s="4"/>
      <c r="BP831" s="8"/>
      <c r="BQ831" s="4"/>
      <c r="BR831" s="8"/>
      <c r="BS831" s="7"/>
      <c r="BT831" s="7"/>
      <c r="BU831" s="2" t="s">
        <v>107</v>
      </c>
      <c r="BV831" s="2" t="s">
        <v>1355</v>
      </c>
      <c r="BW831" s="2" t="s">
        <v>1388</v>
      </c>
      <c r="BX831" s="2" t="s">
        <v>98</v>
      </c>
      <c r="BY831" s="2" t="s">
        <v>110</v>
      </c>
      <c r="BZ831" s="2" t="s">
        <v>98</v>
      </c>
    </row>
    <row r="832">
      <c r="A832" s="2" t="s">
        <v>4115</v>
      </c>
      <c r="B832" s="2" t="s">
        <v>1345</v>
      </c>
      <c r="C832" s="2" t="s">
        <v>1069</v>
      </c>
      <c r="D832" s="2" t="s">
        <v>1346</v>
      </c>
      <c r="E832" s="2" t="s">
        <v>1347</v>
      </c>
      <c r="F832" s="2" t="s">
        <v>4116</v>
      </c>
      <c r="G832" s="2" t="s">
        <v>4116</v>
      </c>
      <c r="H832" s="2" t="s">
        <v>4116</v>
      </c>
      <c r="I832" s="2" t="s">
        <v>4117</v>
      </c>
      <c r="J832" s="2" t="s">
        <v>93</v>
      </c>
      <c r="K832" s="2" t="s">
        <v>4118</v>
      </c>
      <c r="L832" s="3">
        <v>212.85</v>
      </c>
      <c r="M832" s="3">
        <v>223.49</v>
      </c>
      <c r="N832" s="3">
        <v>449</v>
      </c>
      <c r="O832" s="2" t="s">
        <v>95</v>
      </c>
      <c r="P832" s="2" t="s">
        <v>134</v>
      </c>
      <c r="Q832" s="2" t="s">
        <v>97</v>
      </c>
      <c r="R832" s="2" t="s">
        <v>98</v>
      </c>
      <c r="S832" s="2" t="s">
        <v>4119</v>
      </c>
      <c r="T832" s="2" t="s">
        <v>98</v>
      </c>
      <c r="U832" s="2" t="s">
        <v>117</v>
      </c>
      <c r="V832" s="2" t="s">
        <v>439</v>
      </c>
      <c r="W832" s="2" t="s">
        <v>314</v>
      </c>
      <c r="X832" s="2" t="s">
        <v>98</v>
      </c>
      <c r="Y832" s="2" t="s">
        <v>1696</v>
      </c>
      <c r="Z832" s="4">
        <v>77</v>
      </c>
      <c r="AA832" s="4">
        <f>=ROUNDDOWN(12.8333333333333,0)</f>
      </c>
      <c r="AB832" s="5">
        <v>6</v>
      </c>
      <c r="AC832" s="2" t="s">
        <v>98</v>
      </c>
      <c r="AD832" s="4"/>
      <c r="AE832" s="4"/>
      <c r="AF832" s="6">
        <v>65</v>
      </c>
      <c r="AG832" s="6">
        <v>48</v>
      </c>
      <c r="AH832" s="7">
        <v>1</v>
      </c>
      <c r="AI832" s="4"/>
      <c r="AJ832" s="4">
        <f>=ROUNDDOWN({0},0)</f>
      </c>
      <c r="AK832" s="5"/>
      <c r="AL832" s="2" t="s">
        <v>98</v>
      </c>
      <c r="AM832" s="4"/>
      <c r="AN832" s="4"/>
      <c r="AO832" s="7">
        <v>0</v>
      </c>
      <c r="AP832" s="4">
        <v>1</v>
      </c>
      <c r="AQ832" s="8">
        <v>189.27</v>
      </c>
      <c r="AR832" s="4"/>
      <c r="AS832" s="8"/>
      <c r="AT832" s="7"/>
      <c r="AU832" s="7"/>
      <c r="AV832" s="4">
        <v>1</v>
      </c>
      <c r="AW832" s="8">
        <v>189.27</v>
      </c>
      <c r="AX832" s="4"/>
      <c r="AY832" s="8"/>
      <c r="AZ832" s="7"/>
      <c r="BA832" s="7"/>
      <c r="BB832" s="7">
        <v>1</v>
      </c>
      <c r="BC832" s="4">
        <v>1</v>
      </c>
      <c r="BD832" s="8">
        <v>189.27</v>
      </c>
      <c r="BE832" s="4"/>
      <c r="BF832" s="8"/>
      <c r="BG832" s="7"/>
      <c r="BH832" s="7"/>
      <c r="BI832" s="7">
        <v>1</v>
      </c>
      <c r="BJ832" s="4">
        <v>4</v>
      </c>
      <c r="BK832" s="8">
        <v>915.56</v>
      </c>
      <c r="BL832" s="2" t="s">
        <v>3219</v>
      </c>
      <c r="BM832" s="7">
        <v>0.25</v>
      </c>
      <c r="BN832" s="7">
        <v>0.2067</v>
      </c>
      <c r="BO832" s="4">
        <v>1</v>
      </c>
      <c r="BP832" s="8">
        <v>189.27</v>
      </c>
      <c r="BQ832" s="4"/>
      <c r="BR832" s="8"/>
      <c r="BS832" s="7"/>
      <c r="BT832" s="7"/>
      <c r="BU832" s="2" t="s">
        <v>107</v>
      </c>
      <c r="BV832" s="2" t="s">
        <v>1355</v>
      </c>
      <c r="BW832" s="2" t="s">
        <v>497</v>
      </c>
      <c r="BX832" s="2" t="s">
        <v>2476</v>
      </c>
      <c r="BY832" s="2" t="s">
        <v>110</v>
      </c>
      <c r="BZ832" s="2" t="s">
        <v>98</v>
      </c>
    </row>
    <row r="833">
      <c r="A833" s="2" t="s">
        <v>4120</v>
      </c>
      <c r="B833" s="2" t="s">
        <v>1345</v>
      </c>
      <c r="C833" s="2" t="s">
        <v>1069</v>
      </c>
      <c r="D833" s="2" t="s">
        <v>1346</v>
      </c>
      <c r="E833" s="2" t="s">
        <v>1347</v>
      </c>
      <c r="F833" s="2" t="s">
        <v>4121</v>
      </c>
      <c r="G833" s="2" t="s">
        <v>4121</v>
      </c>
      <c r="H833" s="2" t="s">
        <v>4121</v>
      </c>
      <c r="I833" s="2" t="s">
        <v>3471</v>
      </c>
      <c r="J833" s="2" t="s">
        <v>93</v>
      </c>
      <c r="K833" s="2" t="s">
        <v>127</v>
      </c>
      <c r="L833" s="3">
        <v>237.6</v>
      </c>
      <c r="M833" s="3">
        <v>249.48</v>
      </c>
      <c r="N833" s="3">
        <v>499</v>
      </c>
      <c r="O833" s="2" t="s">
        <v>95</v>
      </c>
      <c r="P833" s="2" t="s">
        <v>134</v>
      </c>
      <c r="Q833" s="2" t="s">
        <v>97</v>
      </c>
      <c r="R833" s="2" t="s">
        <v>98</v>
      </c>
      <c r="S833" s="2" t="s">
        <v>98</v>
      </c>
      <c r="T833" s="2" t="s">
        <v>98</v>
      </c>
      <c r="U833" s="2" t="s">
        <v>98</v>
      </c>
      <c r="V833" s="2" t="s">
        <v>439</v>
      </c>
      <c r="W833" s="2" t="s">
        <v>314</v>
      </c>
      <c r="X833" s="2" t="s">
        <v>98</v>
      </c>
      <c r="Y833" s="2" t="s">
        <v>4122</v>
      </c>
      <c r="Z833" s="4">
        <v>86</v>
      </c>
      <c r="AA833" s="4">
        <f>=ROUNDDOWN(12.2857142857143,0)</f>
      </c>
      <c r="AB833" s="5">
        <v>7</v>
      </c>
      <c r="AC833" s="2" t="s">
        <v>1757</v>
      </c>
      <c r="AD833" s="4">
        <v>136</v>
      </c>
      <c r="AE833" s="4">
        <v>136</v>
      </c>
      <c r="AF833" s="6">
        <v>65</v>
      </c>
      <c r="AG833" s="6">
        <v>48</v>
      </c>
      <c r="AH833" s="7">
        <v>1</v>
      </c>
      <c r="AI833" s="4"/>
      <c r="AJ833" s="4">
        <f>=ROUNDDOWN({0},0)</f>
      </c>
      <c r="AK833" s="5"/>
      <c r="AL833" s="2" t="s">
        <v>98</v>
      </c>
      <c r="AM833" s="4"/>
      <c r="AN833" s="4"/>
      <c r="AO833" s="7">
        <v>0</v>
      </c>
      <c r="AP833" s="4"/>
      <c r="AQ833" s="8"/>
      <c r="AR833" s="4">
        <v>1</v>
      </c>
      <c r="AS833" s="8">
        <v>228.8</v>
      </c>
      <c r="AT833" s="7">
        <v>-1</v>
      </c>
      <c r="AU833" s="7">
        <v>-1</v>
      </c>
      <c r="AV833" s="4"/>
      <c r="AW833" s="8"/>
      <c r="AX833" s="4">
        <v>1</v>
      </c>
      <c r="AY833" s="8">
        <v>228.8</v>
      </c>
      <c r="AZ833" s="7">
        <v>-1</v>
      </c>
      <c r="BA833" s="7">
        <v>-1</v>
      </c>
      <c r="BB833" s="7"/>
      <c r="BC833" s="4"/>
      <c r="BD833" s="8"/>
      <c r="BE833" s="4">
        <v>1</v>
      </c>
      <c r="BF833" s="8">
        <v>228.8</v>
      </c>
      <c r="BG833" s="7">
        <v>-1</v>
      </c>
      <c r="BH833" s="7">
        <v>-1</v>
      </c>
      <c r="BI833" s="7"/>
      <c r="BJ833" s="4">
        <v>2</v>
      </c>
      <c r="BK833" s="8">
        <v>523.9</v>
      </c>
      <c r="BL833" s="2" t="s">
        <v>4123</v>
      </c>
      <c r="BM833" s="7"/>
      <c r="BN833" s="7"/>
      <c r="BO833" s="4"/>
      <c r="BP833" s="8"/>
      <c r="BQ833" s="4">
        <v>1</v>
      </c>
      <c r="BR833" s="8">
        <v>228.8</v>
      </c>
      <c r="BS833" s="7">
        <v>-1</v>
      </c>
      <c r="BT833" s="7">
        <v>-1</v>
      </c>
      <c r="BU833" s="2" t="s">
        <v>107</v>
      </c>
      <c r="BV833" s="2" t="s">
        <v>1355</v>
      </c>
      <c r="BW833" s="2" t="s">
        <v>1472</v>
      </c>
      <c r="BX833" s="2" t="s">
        <v>2122</v>
      </c>
      <c r="BY833" s="2" t="s">
        <v>110</v>
      </c>
      <c r="BZ833" s="2" t="s">
        <v>98</v>
      </c>
    </row>
    <row r="834">
      <c r="A834" s="2" t="s">
        <v>4124</v>
      </c>
      <c r="B834" s="2" t="s">
        <v>1345</v>
      </c>
      <c r="C834" s="2" t="s">
        <v>1069</v>
      </c>
      <c r="D834" s="2" t="s">
        <v>1346</v>
      </c>
      <c r="E834" s="2" t="s">
        <v>1893</v>
      </c>
      <c r="F834" s="2" t="s">
        <v>4116</v>
      </c>
      <c r="G834" s="2" t="s">
        <v>4116</v>
      </c>
      <c r="H834" s="2" t="s">
        <v>4116</v>
      </c>
      <c r="I834" s="2" t="s">
        <v>4125</v>
      </c>
      <c r="J834" s="2" t="s">
        <v>93</v>
      </c>
      <c r="K834" s="2" t="s">
        <v>4126</v>
      </c>
      <c r="L834" s="3">
        <v>212.85</v>
      </c>
      <c r="M834" s="3">
        <v>223.49</v>
      </c>
      <c r="N834" s="3">
        <v>449</v>
      </c>
      <c r="O834" s="2" t="s">
        <v>95</v>
      </c>
      <c r="P834" s="2" t="s">
        <v>134</v>
      </c>
      <c r="Q834" s="2" t="s">
        <v>97</v>
      </c>
      <c r="R834" s="2" t="s">
        <v>98</v>
      </c>
      <c r="S834" s="2" t="s">
        <v>98</v>
      </c>
      <c r="T834" s="2" t="s">
        <v>98</v>
      </c>
      <c r="U834" s="2" t="s">
        <v>117</v>
      </c>
      <c r="V834" s="2" t="s">
        <v>439</v>
      </c>
      <c r="W834" s="2" t="s">
        <v>314</v>
      </c>
      <c r="X834" s="2" t="s">
        <v>98</v>
      </c>
      <c r="Y834" s="2" t="s">
        <v>3640</v>
      </c>
      <c r="Z834" s="4">
        <v>110</v>
      </c>
      <c r="AA834" s="4">
        <f>=ROUNDDOWN(15.7142857142857,0)</f>
      </c>
      <c r="AB834" s="5">
        <v>7</v>
      </c>
      <c r="AC834" s="2" t="s">
        <v>177</v>
      </c>
      <c r="AD834" s="4">
        <v>96</v>
      </c>
      <c r="AE834" s="4">
        <v>96</v>
      </c>
      <c r="AF834" s="6">
        <v>65</v>
      </c>
      <c r="AG834" s="6">
        <v>48</v>
      </c>
      <c r="AH834" s="7">
        <v>1</v>
      </c>
      <c r="AI834" s="4"/>
      <c r="AJ834" s="4">
        <f>=ROUNDDOWN({0},0)</f>
      </c>
      <c r="AK834" s="5"/>
      <c r="AL834" s="2" t="s">
        <v>98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/>
      <c r="AW834" s="8"/>
      <c r="AX834" s="4"/>
      <c r="AY834" s="8"/>
      <c r="AZ834" s="7"/>
      <c r="BA834" s="7"/>
      <c r="BB834" s="7"/>
      <c r="BC834" s="4"/>
      <c r="BD834" s="8"/>
      <c r="BE834" s="4"/>
      <c r="BF834" s="8"/>
      <c r="BG834" s="7"/>
      <c r="BH834" s="7"/>
      <c r="BI834" s="7"/>
      <c r="BJ834" s="4">
        <v>8</v>
      </c>
      <c r="BK834" s="8">
        <v>1758.11</v>
      </c>
      <c r="BL834" s="2" t="s">
        <v>1379</v>
      </c>
      <c r="BM834" s="7"/>
      <c r="BN834" s="7"/>
      <c r="BO834" s="4"/>
      <c r="BP834" s="8"/>
      <c r="BQ834" s="4"/>
      <c r="BR834" s="8"/>
      <c r="BS834" s="7"/>
      <c r="BT834" s="7"/>
      <c r="BU834" s="2" t="s">
        <v>1376</v>
      </c>
      <c r="BV834" s="2" t="s">
        <v>95</v>
      </c>
      <c r="BW834" s="2" t="s">
        <v>98</v>
      </c>
      <c r="BX834" s="2" t="s">
        <v>98</v>
      </c>
      <c r="BY834" s="2" t="s">
        <v>110</v>
      </c>
      <c r="BZ834" s="2" t="s">
        <v>98</v>
      </c>
    </row>
    <row r="835">
      <c r="A835" s="2" t="s">
        <v>4127</v>
      </c>
      <c r="B835" s="2" t="s">
        <v>1345</v>
      </c>
      <c r="C835" s="2" t="s">
        <v>1069</v>
      </c>
      <c r="D835" s="2" t="s">
        <v>3068</v>
      </c>
      <c r="E835" s="2" t="s">
        <v>3069</v>
      </c>
      <c r="F835" s="2" t="s">
        <v>4099</v>
      </c>
      <c r="G835" s="2" t="s">
        <v>4099</v>
      </c>
      <c r="H835" s="2" t="s">
        <v>4099</v>
      </c>
      <c r="I835" s="2" t="s">
        <v>4128</v>
      </c>
      <c r="J835" s="2" t="s">
        <v>93</v>
      </c>
      <c r="K835" s="2" t="s">
        <v>4129</v>
      </c>
      <c r="L835" s="3">
        <v>132</v>
      </c>
      <c r="M835" s="3">
        <v>138.6</v>
      </c>
      <c r="N835" s="3">
        <v>279</v>
      </c>
      <c r="O835" s="2" t="s">
        <v>95</v>
      </c>
      <c r="P835" s="2" t="s">
        <v>115</v>
      </c>
      <c r="Q835" s="2" t="s">
        <v>97</v>
      </c>
      <c r="R835" s="2" t="s">
        <v>98</v>
      </c>
      <c r="S835" s="2" t="s">
        <v>98</v>
      </c>
      <c r="T835" s="2" t="s">
        <v>98</v>
      </c>
      <c r="U835" s="2" t="s">
        <v>98</v>
      </c>
      <c r="V835" s="2" t="s">
        <v>439</v>
      </c>
      <c r="W835" s="2" t="s">
        <v>314</v>
      </c>
      <c r="X835" s="2" t="s">
        <v>98</v>
      </c>
      <c r="Y835" s="2" t="s">
        <v>1081</v>
      </c>
      <c r="Z835" s="4">
        <v>8</v>
      </c>
      <c r="AA835" s="4">
        <f>=ROUNDDOWN(4.70588235294118,0)</f>
      </c>
      <c r="AB835" s="5">
        <v>1.7</v>
      </c>
      <c r="AC835" s="2" t="s">
        <v>98</v>
      </c>
      <c r="AD835" s="4"/>
      <c r="AE835" s="4"/>
      <c r="AF835" s="6">
        <v>74</v>
      </c>
      <c r="AG835" s="6"/>
      <c r="AH835" s="7">
        <v>1</v>
      </c>
      <c r="AI835" s="4"/>
      <c r="AJ835" s="4">
        <f>=ROUNDDOWN({0},0)</f>
      </c>
      <c r="AK835" s="5"/>
      <c r="AL835" s="2" t="s">
        <v>98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/>
      <c r="AW835" s="8"/>
      <c r="AX835" s="4"/>
      <c r="AY835" s="8"/>
      <c r="AZ835" s="7"/>
      <c r="BA835" s="7"/>
      <c r="BB835" s="7"/>
      <c r="BC835" s="4"/>
      <c r="BD835" s="8"/>
      <c r="BE835" s="4"/>
      <c r="BF835" s="8"/>
      <c r="BG835" s="7"/>
      <c r="BH835" s="7"/>
      <c r="BI835" s="7"/>
      <c r="BJ835" s="4">
        <v>1</v>
      </c>
      <c r="BK835" s="8">
        <v>80.79</v>
      </c>
      <c r="BL835" s="2" t="s">
        <v>895</v>
      </c>
      <c r="BM835" s="7"/>
      <c r="BN835" s="7"/>
      <c r="BO835" s="4"/>
      <c r="BP835" s="8"/>
      <c r="BQ835" s="4"/>
      <c r="BR835" s="8"/>
      <c r="BS835" s="7"/>
      <c r="BT835" s="7"/>
      <c r="BU835" s="2" t="s">
        <v>1376</v>
      </c>
      <c r="BV835" s="2" t="s">
        <v>95</v>
      </c>
      <c r="BW835" s="2" t="s">
        <v>98</v>
      </c>
      <c r="BX835" s="2" t="s">
        <v>98</v>
      </c>
      <c r="BY835" s="2" t="s">
        <v>110</v>
      </c>
      <c r="BZ835" s="2" t="s">
        <v>98</v>
      </c>
    </row>
    <row r="836">
      <c r="A836" s="2" t="s">
        <v>4130</v>
      </c>
      <c r="B836" s="2" t="s">
        <v>1345</v>
      </c>
      <c r="C836" s="2" t="s">
        <v>1069</v>
      </c>
      <c r="D836" s="2" t="s">
        <v>2872</v>
      </c>
      <c r="E836" s="2" t="s">
        <v>1934</v>
      </c>
      <c r="F836" s="2" t="s">
        <v>4099</v>
      </c>
      <c r="G836" s="2" t="s">
        <v>4099</v>
      </c>
      <c r="H836" s="2" t="s">
        <v>4099</v>
      </c>
      <c r="I836" s="2" t="s">
        <v>4131</v>
      </c>
      <c r="J836" s="2" t="s">
        <v>93</v>
      </c>
      <c r="K836" s="2" t="s">
        <v>4104</v>
      </c>
      <c r="L836" s="3">
        <v>217.8</v>
      </c>
      <c r="M836" s="3">
        <v>228.69</v>
      </c>
      <c r="N836" s="3">
        <v>459</v>
      </c>
      <c r="O836" s="2" t="s">
        <v>95</v>
      </c>
      <c r="P836" s="2" t="s">
        <v>134</v>
      </c>
      <c r="Q836" s="2" t="s">
        <v>97</v>
      </c>
      <c r="R836" s="2" t="s">
        <v>98</v>
      </c>
      <c r="S836" s="2" t="s">
        <v>98</v>
      </c>
      <c r="T836" s="2" t="s">
        <v>98</v>
      </c>
      <c r="U836" s="2" t="s">
        <v>117</v>
      </c>
      <c r="V836" s="2" t="s">
        <v>296</v>
      </c>
      <c r="W836" s="2" t="s">
        <v>314</v>
      </c>
      <c r="X836" s="2" t="s">
        <v>98</v>
      </c>
      <c r="Y836" s="2" t="s">
        <v>1081</v>
      </c>
      <c r="Z836" s="4">
        <v>111</v>
      </c>
      <c r="AA836" s="4">
        <f>=ROUNDDOWN(15,0)</f>
      </c>
      <c r="AB836" s="5">
        <v>7.4</v>
      </c>
      <c r="AC836" s="2" t="s">
        <v>1932</v>
      </c>
      <c r="AD836" s="4">
        <v>150</v>
      </c>
      <c r="AE836" s="4">
        <v>150</v>
      </c>
      <c r="AF836" s="6">
        <v>74</v>
      </c>
      <c r="AG836" s="6">
        <v>60</v>
      </c>
      <c r="AH836" s="7">
        <v>1</v>
      </c>
      <c r="AI836" s="4"/>
      <c r="AJ836" s="4">
        <f>=ROUNDDOWN({0},0)</f>
      </c>
      <c r="AK836" s="5"/>
      <c r="AL836" s="2" t="s">
        <v>98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/>
      <c r="AW836" s="8"/>
      <c r="AX836" s="4"/>
      <c r="AY836" s="8"/>
      <c r="AZ836" s="7"/>
      <c r="BA836" s="7"/>
      <c r="BB836" s="7"/>
      <c r="BC836" s="4" t="s">
        <v>98</v>
      </c>
      <c r="BD836" s="8" t="s">
        <v>98</v>
      </c>
      <c r="BE836" s="4" t="s">
        <v>98</v>
      </c>
      <c r="BF836" s="8" t="s">
        <v>98</v>
      </c>
      <c r="BG836" s="7" t="s">
        <v>98</v>
      </c>
      <c r="BH836" s="7" t="s">
        <v>98</v>
      </c>
      <c r="BI836" s="7"/>
      <c r="BJ836" s="4">
        <v>5</v>
      </c>
      <c r="BK836" s="8">
        <v>1095.51</v>
      </c>
      <c r="BL836" s="2" t="s">
        <v>895</v>
      </c>
      <c r="BM836" s="7"/>
      <c r="BN836" s="7"/>
      <c r="BO836" s="4"/>
      <c r="BP836" s="8"/>
      <c r="BQ836" s="4"/>
      <c r="BR836" s="8"/>
      <c r="BS836" s="7"/>
      <c r="BT836" s="7"/>
      <c r="BU836" s="2" t="s">
        <v>1376</v>
      </c>
      <c r="BV836" s="2" t="s">
        <v>95</v>
      </c>
      <c r="BW836" s="2" t="s">
        <v>98</v>
      </c>
      <c r="BX836" s="2" t="s">
        <v>98</v>
      </c>
      <c r="BY836" s="2" t="s">
        <v>110</v>
      </c>
      <c r="BZ836" s="2" t="s">
        <v>98</v>
      </c>
    </row>
    <row r="837">
      <c r="A837" s="2" t="s">
        <v>4132</v>
      </c>
      <c r="B837" s="2" t="s">
        <v>1345</v>
      </c>
      <c r="C837" s="2" t="s">
        <v>1069</v>
      </c>
      <c r="D837" s="2" t="s">
        <v>2872</v>
      </c>
      <c r="E837" s="2" t="s">
        <v>1934</v>
      </c>
      <c r="F837" s="2" t="s">
        <v>4099</v>
      </c>
      <c r="G837" s="2" t="s">
        <v>4099</v>
      </c>
      <c r="H837" s="2" t="s">
        <v>4099</v>
      </c>
      <c r="I837" s="2" t="s">
        <v>4131</v>
      </c>
      <c r="J837" s="2" t="s">
        <v>93</v>
      </c>
      <c r="K837" s="2" t="s">
        <v>4100</v>
      </c>
      <c r="L837" s="3">
        <v>217.8</v>
      </c>
      <c r="M837" s="3">
        <v>228.69</v>
      </c>
      <c r="N837" s="3">
        <v>459</v>
      </c>
      <c r="O837" s="2" t="s">
        <v>95</v>
      </c>
      <c r="P837" s="2" t="s">
        <v>134</v>
      </c>
      <c r="Q837" s="2" t="s">
        <v>97</v>
      </c>
      <c r="R837" s="2" t="s">
        <v>98</v>
      </c>
      <c r="S837" s="2" t="s">
        <v>98</v>
      </c>
      <c r="T837" s="2" t="s">
        <v>98</v>
      </c>
      <c r="U837" s="2" t="s">
        <v>117</v>
      </c>
      <c r="V837" s="2" t="s">
        <v>439</v>
      </c>
      <c r="W837" s="2" t="s">
        <v>314</v>
      </c>
      <c r="X837" s="2" t="s">
        <v>204</v>
      </c>
      <c r="Y837" s="2" t="s">
        <v>4105</v>
      </c>
      <c r="Z837" s="4">
        <v>63</v>
      </c>
      <c r="AA837" s="4">
        <f>=ROUNDDOWN(5.25,0)</f>
      </c>
      <c r="AB837" s="5">
        <v>12</v>
      </c>
      <c r="AC837" s="2" t="s">
        <v>3300</v>
      </c>
      <c r="AD837" s="4">
        <v>100</v>
      </c>
      <c r="AE837" s="4">
        <v>220</v>
      </c>
      <c r="AF837" s="6">
        <v>74</v>
      </c>
      <c r="AG837" s="6">
        <v>60</v>
      </c>
      <c r="AH837" s="7">
        <v>1</v>
      </c>
      <c r="AI837" s="4"/>
      <c r="AJ837" s="4">
        <f>=ROUNDDOWN({0},0)</f>
      </c>
      <c r="AK837" s="5"/>
      <c r="AL837" s="2" t="s">
        <v>98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 t="s">
        <v>98</v>
      </c>
      <c r="BD837" s="8" t="s">
        <v>98</v>
      </c>
      <c r="BE837" s="4" t="s">
        <v>98</v>
      </c>
      <c r="BF837" s="8" t="s">
        <v>98</v>
      </c>
      <c r="BG837" s="7" t="s">
        <v>98</v>
      </c>
      <c r="BH837" s="7" t="s">
        <v>98</v>
      </c>
      <c r="BI837" s="7"/>
      <c r="BJ837" s="4">
        <v>13</v>
      </c>
      <c r="BK837" s="8">
        <v>3085.5</v>
      </c>
      <c r="BL837" s="2" t="s">
        <v>1583</v>
      </c>
      <c r="BM837" s="7"/>
      <c r="BN837" s="7"/>
      <c r="BO837" s="4"/>
      <c r="BP837" s="8"/>
      <c r="BQ837" s="4"/>
      <c r="BR837" s="8"/>
      <c r="BS837" s="7"/>
      <c r="BT837" s="7"/>
      <c r="BU837" s="2" t="s">
        <v>1376</v>
      </c>
      <c r="BV837" s="2" t="s">
        <v>95</v>
      </c>
      <c r="BW837" s="2" t="s">
        <v>98</v>
      </c>
      <c r="BX837" s="2" t="s">
        <v>98</v>
      </c>
      <c r="BY837" s="2" t="s">
        <v>110</v>
      </c>
      <c r="BZ837" s="2" t="s">
        <v>98</v>
      </c>
    </row>
    <row r="838">
      <c r="A838" s="2" t="s">
        <v>4133</v>
      </c>
      <c r="B838" s="2" t="s">
        <v>1345</v>
      </c>
      <c r="C838" s="2" t="s">
        <v>1069</v>
      </c>
      <c r="D838" s="2" t="s">
        <v>4134</v>
      </c>
      <c r="E838" s="2" t="s">
        <v>4134</v>
      </c>
      <c r="F838" s="2" t="s">
        <v>2540</v>
      </c>
      <c r="G838" s="2" t="s">
        <v>98</v>
      </c>
      <c r="H838" s="2" t="s">
        <v>98</v>
      </c>
      <c r="I838" s="2" t="s">
        <v>4135</v>
      </c>
      <c r="J838" s="2" t="s">
        <v>93</v>
      </c>
      <c r="K838" s="2" t="s">
        <v>4136</v>
      </c>
      <c r="L838" s="3">
        <v>166.98</v>
      </c>
      <c r="M838" s="3">
        <v>175.33</v>
      </c>
      <c r="N838" s="3">
        <v>349</v>
      </c>
      <c r="O838" s="2" t="s">
        <v>95</v>
      </c>
      <c r="P838" s="2" t="s">
        <v>134</v>
      </c>
      <c r="Q838" s="2" t="s">
        <v>97</v>
      </c>
      <c r="R838" s="2" t="s">
        <v>98</v>
      </c>
      <c r="S838" s="2" t="s">
        <v>4137</v>
      </c>
      <c r="T838" s="2" t="s">
        <v>98</v>
      </c>
      <c r="U838" s="2" t="s">
        <v>98</v>
      </c>
      <c r="V838" s="2" t="s">
        <v>439</v>
      </c>
      <c r="W838" s="2" t="s">
        <v>102</v>
      </c>
      <c r="X838" s="2" t="s">
        <v>98</v>
      </c>
      <c r="Y838" s="2" t="s">
        <v>2476</v>
      </c>
      <c r="Z838" s="4">
        <v>126</v>
      </c>
      <c r="AA838" s="4">
        <f>=ROUNDDOWN(21,0)</f>
      </c>
      <c r="AB838" s="5">
        <v>6</v>
      </c>
      <c r="AC838" s="2" t="s">
        <v>1470</v>
      </c>
      <c r="AD838" s="4">
        <v>100</v>
      </c>
      <c r="AE838" s="4">
        <v>100</v>
      </c>
      <c r="AF838" s="6">
        <v>65</v>
      </c>
      <c r="AG838" s="6">
        <v>48</v>
      </c>
      <c r="AH838" s="7">
        <v>1</v>
      </c>
      <c r="AI838" s="4"/>
      <c r="AJ838" s="4">
        <f>=ROUNDDOWN({0},0)</f>
      </c>
      <c r="AK838" s="5"/>
      <c r="AL838" s="2" t="s">
        <v>98</v>
      </c>
      <c r="AM838" s="4"/>
      <c r="AN838" s="4"/>
      <c r="AO838" s="7">
        <v>0</v>
      </c>
      <c r="AP838" s="4"/>
      <c r="AQ838" s="8"/>
      <c r="AR838" s="4">
        <v>2</v>
      </c>
      <c r="AS838" s="8">
        <v>306.28</v>
      </c>
      <c r="AT838" s="7">
        <v>-1</v>
      </c>
      <c r="AU838" s="7">
        <v>-1</v>
      </c>
      <c r="AV838" s="4"/>
      <c r="AW838" s="8"/>
      <c r="AX838" s="4">
        <v>2</v>
      </c>
      <c r="AY838" s="8">
        <v>306.28</v>
      </c>
      <c r="AZ838" s="7">
        <v>-1</v>
      </c>
      <c r="BA838" s="7">
        <v>-1</v>
      </c>
      <c r="BB838" s="7"/>
      <c r="BC838" s="4"/>
      <c r="BD838" s="8"/>
      <c r="BE838" s="4">
        <v>2</v>
      </c>
      <c r="BF838" s="8">
        <v>306.28</v>
      </c>
      <c r="BG838" s="7">
        <v>-1</v>
      </c>
      <c r="BH838" s="7">
        <v>-1</v>
      </c>
      <c r="BI838" s="7"/>
      <c r="BJ838" s="4">
        <v>19</v>
      </c>
      <c r="BK838" s="8">
        <v>2898.04</v>
      </c>
      <c r="BL838" s="2" t="s">
        <v>4138</v>
      </c>
      <c r="BM838" s="7"/>
      <c r="BN838" s="7"/>
      <c r="BO838" s="4"/>
      <c r="BP838" s="8"/>
      <c r="BQ838" s="4">
        <v>2</v>
      </c>
      <c r="BR838" s="8">
        <v>306.28</v>
      </c>
      <c r="BS838" s="7">
        <v>-1</v>
      </c>
      <c r="BT838" s="7">
        <v>-1</v>
      </c>
      <c r="BU838" s="2" t="s">
        <v>107</v>
      </c>
      <c r="BV838" s="2" t="s">
        <v>1355</v>
      </c>
      <c r="BW838" s="2" t="s">
        <v>1600</v>
      </c>
      <c r="BX838" s="2" t="s">
        <v>2442</v>
      </c>
      <c r="BY838" s="2" t="s">
        <v>110</v>
      </c>
      <c r="BZ838" s="2" t="s">
        <v>98</v>
      </c>
    </row>
    <row r="839">
      <c r="A839" s="2" t="s">
        <v>4139</v>
      </c>
      <c r="B839" s="2" t="s">
        <v>1345</v>
      </c>
      <c r="C839" s="2" t="s">
        <v>1069</v>
      </c>
      <c r="D839" s="2" t="s">
        <v>2390</v>
      </c>
      <c r="E839" s="2" t="s">
        <v>2390</v>
      </c>
      <c r="F839" s="2" t="s">
        <v>4082</v>
      </c>
      <c r="G839" s="2" t="s">
        <v>4082</v>
      </c>
      <c r="H839" s="2" t="s">
        <v>4082</v>
      </c>
      <c r="I839" s="2" t="s">
        <v>4140</v>
      </c>
      <c r="J839" s="2" t="s">
        <v>93</v>
      </c>
      <c r="K839" s="2" t="s">
        <v>1439</v>
      </c>
      <c r="L839" s="3">
        <v>143</v>
      </c>
      <c r="M839" s="3">
        <v>150.15</v>
      </c>
      <c r="N839" s="3">
        <v>299</v>
      </c>
      <c r="O839" s="2" t="s">
        <v>155</v>
      </c>
      <c r="P839" s="2" t="s">
        <v>115</v>
      </c>
      <c r="Q839" s="2" t="s">
        <v>97</v>
      </c>
      <c r="R839" s="2" t="s">
        <v>98</v>
      </c>
      <c r="S839" s="2" t="s">
        <v>98</v>
      </c>
      <c r="T839" s="2" t="s">
        <v>98</v>
      </c>
      <c r="U839" s="2" t="s">
        <v>98</v>
      </c>
      <c r="V839" s="2" t="s">
        <v>296</v>
      </c>
      <c r="W839" s="2" t="s">
        <v>103</v>
      </c>
      <c r="X839" s="2" t="s">
        <v>98</v>
      </c>
      <c r="Y839" s="2" t="s">
        <v>4141</v>
      </c>
      <c r="Z839" s="4">
        <v>588</v>
      </c>
      <c r="AA839" s="4">
        <f>=ROUNDDOWN(588,0)</f>
      </c>
      <c r="AB839" s="5">
        <v>1</v>
      </c>
      <c r="AC839" s="2" t="s">
        <v>98</v>
      </c>
      <c r="AD839" s="4"/>
      <c r="AE839" s="4"/>
      <c r="AF839" s="6">
        <v>65</v>
      </c>
      <c r="AG839" s="6"/>
      <c r="AH839" s="7">
        <v>1</v>
      </c>
      <c r="AI839" s="4"/>
      <c r="AJ839" s="4">
        <f>=ROUNDDOWN({0},0)</f>
      </c>
      <c r="AK839" s="5"/>
      <c r="AL839" s="2" t="s">
        <v>98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/>
      <c r="BD839" s="8"/>
      <c r="BE839" s="4"/>
      <c r="BF839" s="8"/>
      <c r="BG839" s="7"/>
      <c r="BH839" s="7"/>
      <c r="BI839" s="7"/>
      <c r="BJ839" s="4"/>
      <c r="BK839" s="8"/>
      <c r="BL839" s="2" t="s">
        <v>98</v>
      </c>
      <c r="BM839" s="7"/>
      <c r="BN839" s="7"/>
      <c r="BO839" s="4"/>
      <c r="BP839" s="8"/>
      <c r="BQ839" s="4"/>
      <c r="BR839" s="8"/>
      <c r="BS839" s="7"/>
      <c r="BT839" s="7"/>
      <c r="BU839" s="2" t="s">
        <v>1376</v>
      </c>
      <c r="BV839" s="2" t="s">
        <v>95</v>
      </c>
      <c r="BW839" s="2" t="s">
        <v>98</v>
      </c>
      <c r="BX839" s="2" t="s">
        <v>98</v>
      </c>
      <c r="BY839" s="2" t="s">
        <v>110</v>
      </c>
      <c r="BZ839" s="2" t="s">
        <v>98</v>
      </c>
    </row>
    <row r="840">
      <c r="A840" s="2" t="s">
        <v>4142</v>
      </c>
      <c r="B840" s="2" t="s">
        <v>1345</v>
      </c>
      <c r="C840" s="2" t="s">
        <v>1069</v>
      </c>
      <c r="D840" s="2" t="s">
        <v>2390</v>
      </c>
      <c r="E840" s="2" t="s">
        <v>2391</v>
      </c>
      <c r="F840" s="2" t="s">
        <v>4070</v>
      </c>
      <c r="G840" s="2" t="s">
        <v>4070</v>
      </c>
      <c r="H840" s="2" t="s">
        <v>4070</v>
      </c>
      <c r="I840" s="2" t="s">
        <v>4140</v>
      </c>
      <c r="J840" s="2" t="s">
        <v>93</v>
      </c>
      <c r="K840" s="2" t="s">
        <v>1439</v>
      </c>
      <c r="L840" s="3">
        <v>143</v>
      </c>
      <c r="M840" s="3">
        <v>150.15</v>
      </c>
      <c r="N840" s="3">
        <v>299</v>
      </c>
      <c r="O840" s="2" t="s">
        <v>155</v>
      </c>
      <c r="P840" s="2" t="s">
        <v>115</v>
      </c>
      <c r="Q840" s="2" t="s">
        <v>97</v>
      </c>
      <c r="R840" s="2" t="s">
        <v>98</v>
      </c>
      <c r="S840" s="2" t="s">
        <v>98</v>
      </c>
      <c r="T840" s="2" t="s">
        <v>98</v>
      </c>
      <c r="U840" s="2" t="s">
        <v>98</v>
      </c>
      <c r="V840" s="2" t="s">
        <v>296</v>
      </c>
      <c r="W840" s="2" t="s">
        <v>103</v>
      </c>
      <c r="X840" s="2" t="s">
        <v>98</v>
      </c>
      <c r="Y840" s="2" t="s">
        <v>2373</v>
      </c>
      <c r="Z840" s="4">
        <v>1152</v>
      </c>
      <c r="AA840" s="4">
        <f>=ROUNDDOWN(384,0)</f>
      </c>
      <c r="AB840" s="5">
        <v>3</v>
      </c>
      <c r="AC840" s="2" t="s">
        <v>98</v>
      </c>
      <c r="AD840" s="4"/>
      <c r="AE840" s="4"/>
      <c r="AF840" s="6">
        <v>65</v>
      </c>
      <c r="AG840" s="6"/>
      <c r="AH840" s="7">
        <v>1</v>
      </c>
      <c r="AI840" s="4"/>
      <c r="AJ840" s="4">
        <f>=ROUNDDOWN({0},0)</f>
      </c>
      <c r="AK840" s="5"/>
      <c r="AL840" s="2" t="s">
        <v>98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/>
      <c r="BD840" s="8"/>
      <c r="BE840" s="4"/>
      <c r="BF840" s="8"/>
      <c r="BG840" s="7"/>
      <c r="BH840" s="7"/>
      <c r="BI840" s="7"/>
      <c r="BJ840" s="4">
        <v>4</v>
      </c>
      <c r="BK840" s="8">
        <v>647.96</v>
      </c>
      <c r="BL840" s="2" t="s">
        <v>1379</v>
      </c>
      <c r="BM840" s="7"/>
      <c r="BN840" s="7"/>
      <c r="BO840" s="4"/>
      <c r="BP840" s="8"/>
      <c r="BQ840" s="4"/>
      <c r="BR840" s="8"/>
      <c r="BS840" s="7"/>
      <c r="BT840" s="7"/>
      <c r="BU840" s="2" t="s">
        <v>1376</v>
      </c>
      <c r="BV840" s="2" t="s">
        <v>95</v>
      </c>
      <c r="BW840" s="2" t="s">
        <v>98</v>
      </c>
      <c r="BX840" s="2" t="s">
        <v>98</v>
      </c>
      <c r="BY840" s="2" t="s">
        <v>110</v>
      </c>
      <c r="BZ840" s="2" t="s">
        <v>98</v>
      </c>
    </row>
    <row r="841">
      <c r="A841" s="2" t="s">
        <v>4143</v>
      </c>
      <c r="B841" s="2" t="s">
        <v>1345</v>
      </c>
      <c r="C841" s="2" t="s">
        <v>1069</v>
      </c>
      <c r="D841" s="2" t="s">
        <v>3370</v>
      </c>
      <c r="E841" s="2" t="s">
        <v>3370</v>
      </c>
      <c r="F841" s="2" t="s">
        <v>4099</v>
      </c>
      <c r="G841" s="2" t="s">
        <v>4099</v>
      </c>
      <c r="H841" s="2" t="s">
        <v>4099</v>
      </c>
      <c r="I841" s="2" t="s">
        <v>4144</v>
      </c>
      <c r="J841" s="2" t="s">
        <v>2826</v>
      </c>
      <c r="K841" s="2" t="s">
        <v>4104</v>
      </c>
      <c r="L841" s="3">
        <v>370</v>
      </c>
      <c r="M841" s="3">
        <v>388.5</v>
      </c>
      <c r="N841" s="3">
        <v>769</v>
      </c>
      <c r="O841" s="2" t="s">
        <v>95</v>
      </c>
      <c r="P841" s="2" t="s">
        <v>163</v>
      </c>
      <c r="Q841" s="2" t="s">
        <v>97</v>
      </c>
      <c r="R841" s="2" t="s">
        <v>98</v>
      </c>
      <c r="S841" s="2" t="s">
        <v>98</v>
      </c>
      <c r="T841" s="2" t="s">
        <v>98</v>
      </c>
      <c r="U841" s="2" t="s">
        <v>117</v>
      </c>
      <c r="V841" s="2" t="s">
        <v>439</v>
      </c>
      <c r="W841" s="2" t="s">
        <v>314</v>
      </c>
      <c r="X841" s="2" t="s">
        <v>204</v>
      </c>
      <c r="Y841" s="2" t="s">
        <v>4145</v>
      </c>
      <c r="Z841" s="4">
        <v>288</v>
      </c>
      <c r="AA841" s="4">
        <f>=ROUNDDOWN(18,0)</f>
      </c>
      <c r="AB841" s="5">
        <v>16</v>
      </c>
      <c r="AC841" s="2" t="s">
        <v>2327</v>
      </c>
      <c r="AD841" s="4">
        <v>50</v>
      </c>
      <c r="AE841" s="4">
        <v>270</v>
      </c>
      <c r="AF841" s="6">
        <v>74</v>
      </c>
      <c r="AG841" s="6">
        <v>60</v>
      </c>
      <c r="AH841" s="7">
        <v>1</v>
      </c>
      <c r="AI841" s="4"/>
      <c r="AJ841" s="4">
        <f>=ROUNDDOWN({0},0)</f>
      </c>
      <c r="AK841" s="5"/>
      <c r="AL841" s="2" t="s">
        <v>98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 t="s">
        <v>98</v>
      </c>
      <c r="BD841" s="8" t="s">
        <v>98</v>
      </c>
      <c r="BE841" s="4" t="s">
        <v>98</v>
      </c>
      <c r="BF841" s="8" t="s">
        <v>98</v>
      </c>
      <c r="BG841" s="7" t="s">
        <v>98</v>
      </c>
      <c r="BH841" s="7" t="s">
        <v>98</v>
      </c>
      <c r="BI841" s="7"/>
      <c r="BJ841" s="4">
        <v>22</v>
      </c>
      <c r="BK841" s="8">
        <v>8155.4</v>
      </c>
      <c r="BL841" s="2" t="s">
        <v>1379</v>
      </c>
      <c r="BM841" s="7"/>
      <c r="BN841" s="7"/>
      <c r="BO841" s="4"/>
      <c r="BP841" s="8"/>
      <c r="BQ841" s="4"/>
      <c r="BR841" s="8"/>
      <c r="BS841" s="7"/>
      <c r="BT841" s="7"/>
      <c r="BU841" s="2" t="s">
        <v>1376</v>
      </c>
      <c r="BV841" s="2" t="s">
        <v>95</v>
      </c>
      <c r="BW841" s="2" t="s">
        <v>98</v>
      </c>
      <c r="BX841" s="2" t="s">
        <v>98</v>
      </c>
      <c r="BY841" s="2" t="s">
        <v>110</v>
      </c>
      <c r="BZ841" s="2" t="s">
        <v>98</v>
      </c>
    </row>
    <row r="842">
      <c r="A842" s="2" t="s">
        <v>4146</v>
      </c>
      <c r="B842" s="2" t="s">
        <v>1345</v>
      </c>
      <c r="C842" s="2" t="s">
        <v>1069</v>
      </c>
      <c r="D842" s="2" t="s">
        <v>3370</v>
      </c>
      <c r="E842" s="2" t="s">
        <v>3370</v>
      </c>
      <c r="F842" s="2" t="s">
        <v>4099</v>
      </c>
      <c r="G842" s="2" t="s">
        <v>4099</v>
      </c>
      <c r="H842" s="2" t="s">
        <v>98</v>
      </c>
      <c r="I842" s="2" t="s">
        <v>4144</v>
      </c>
      <c r="J842" s="2" t="s">
        <v>2826</v>
      </c>
      <c r="K842" s="2" t="s">
        <v>4100</v>
      </c>
      <c r="L842" s="3">
        <v>370</v>
      </c>
      <c r="M842" s="3">
        <v>388.5</v>
      </c>
      <c r="N842" s="3">
        <v>769</v>
      </c>
      <c r="O842" s="2" t="s">
        <v>95</v>
      </c>
      <c r="P842" s="2" t="s">
        <v>163</v>
      </c>
      <c r="Q842" s="2" t="s">
        <v>97</v>
      </c>
      <c r="R842" s="2" t="s">
        <v>98</v>
      </c>
      <c r="S842" s="2" t="s">
        <v>4147</v>
      </c>
      <c r="T842" s="2" t="s">
        <v>98</v>
      </c>
      <c r="U842" s="2" t="s">
        <v>98</v>
      </c>
      <c r="V842" s="2" t="s">
        <v>439</v>
      </c>
      <c r="W842" s="2" t="s">
        <v>314</v>
      </c>
      <c r="X842" s="2" t="s">
        <v>98</v>
      </c>
      <c r="Y842" s="2" t="s">
        <v>366</v>
      </c>
      <c r="Z842" s="4">
        <v>421</v>
      </c>
      <c r="AA842" s="4">
        <f>=ROUNDDOWN(21.05,0)</f>
      </c>
      <c r="AB842" s="5">
        <v>20</v>
      </c>
      <c r="AC842" s="2" t="s">
        <v>301</v>
      </c>
      <c r="AD842" s="4">
        <v>500</v>
      </c>
      <c r="AE842" s="4">
        <v>650</v>
      </c>
      <c r="AF842" s="6">
        <v>74</v>
      </c>
      <c r="AG842" s="6">
        <v>60</v>
      </c>
      <c r="AH842" s="7">
        <v>1</v>
      </c>
      <c r="AI842" s="4"/>
      <c r="AJ842" s="4">
        <f>=ROUNDDOWN({0},0)</f>
      </c>
      <c r="AK842" s="5"/>
      <c r="AL842" s="2" t="s">
        <v>98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 t="s">
        <v>98</v>
      </c>
      <c r="BD842" s="8" t="s">
        <v>98</v>
      </c>
      <c r="BE842" s="4" t="s">
        <v>98</v>
      </c>
      <c r="BF842" s="8" t="s">
        <v>98</v>
      </c>
      <c r="BG842" s="7" t="s">
        <v>98</v>
      </c>
      <c r="BH842" s="7" t="s">
        <v>98</v>
      </c>
      <c r="BI842" s="7"/>
      <c r="BJ842" s="4">
        <v>10</v>
      </c>
      <c r="BK842" s="8">
        <v>3980.68</v>
      </c>
      <c r="BL842" s="2" t="s">
        <v>223</v>
      </c>
      <c r="BM842" s="7"/>
      <c r="BN842" s="7"/>
      <c r="BO842" s="4"/>
      <c r="BP842" s="8"/>
      <c r="BQ842" s="4"/>
      <c r="BR842" s="8"/>
      <c r="BS842" s="7"/>
      <c r="BT842" s="7"/>
      <c r="BU842" s="2" t="s">
        <v>107</v>
      </c>
      <c r="BV842" s="2" t="s">
        <v>1355</v>
      </c>
      <c r="BW842" s="2" t="s">
        <v>248</v>
      </c>
      <c r="BX842" s="2" t="s">
        <v>2985</v>
      </c>
      <c r="BY842" s="2" t="s">
        <v>110</v>
      </c>
      <c r="BZ842" s="2" t="s">
        <v>98</v>
      </c>
    </row>
    <row r="843">
      <c r="A843" s="2" t="s">
        <v>4148</v>
      </c>
      <c r="B843" s="2" t="s">
        <v>1345</v>
      </c>
      <c r="C843" s="2" t="s">
        <v>1069</v>
      </c>
      <c r="D843" s="2" t="s">
        <v>3370</v>
      </c>
      <c r="E843" s="2" t="s">
        <v>1934</v>
      </c>
      <c r="F843" s="2" t="s">
        <v>4149</v>
      </c>
      <c r="G843" s="2" t="s">
        <v>4149</v>
      </c>
      <c r="H843" s="2" t="s">
        <v>4149</v>
      </c>
      <c r="I843" s="2" t="s">
        <v>98</v>
      </c>
      <c r="J843" s="2" t="s">
        <v>4150</v>
      </c>
      <c r="K843" s="2" t="s">
        <v>473</v>
      </c>
      <c r="L843" s="3">
        <v>81.19</v>
      </c>
      <c r="M843" s="3"/>
      <c r="N843" s="3"/>
      <c r="O843" s="2" t="s">
        <v>1278</v>
      </c>
      <c r="P843" s="2" t="s">
        <v>98</v>
      </c>
      <c r="Q843" s="2" t="s">
        <v>98</v>
      </c>
      <c r="R843" s="2" t="s">
        <v>98</v>
      </c>
      <c r="S843" s="2" t="s">
        <v>98</v>
      </c>
      <c r="T843" s="2" t="s">
        <v>98</v>
      </c>
      <c r="U843" s="2" t="s">
        <v>98</v>
      </c>
      <c r="V843" s="2" t="s">
        <v>98</v>
      </c>
      <c r="W843" s="2" t="s">
        <v>98</v>
      </c>
      <c r="X843" s="2" t="s">
        <v>98</v>
      </c>
      <c r="Y843" s="2" t="s">
        <v>98</v>
      </c>
      <c r="Z843" s="4"/>
      <c r="AA843" s="4">
        <f>=ROUNDDOWN({0},0)</f>
      </c>
      <c r="AB843" s="5"/>
      <c r="AC843" s="2" t="s">
        <v>98</v>
      </c>
      <c r="AD843" s="4"/>
      <c r="AE843" s="4"/>
      <c r="AF843" s="6"/>
      <c r="AG843" s="6"/>
      <c r="AH843" s="7">
        <v>0</v>
      </c>
      <c r="AI843" s="4"/>
      <c r="AJ843" s="4">
        <f>=ROUNDDOWN({0},0)</f>
      </c>
      <c r="AK843" s="5"/>
      <c r="AL843" s="2" t="s">
        <v>98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/>
      <c r="AW843" s="8"/>
      <c r="AX843" s="4"/>
      <c r="AY843" s="8"/>
      <c r="AZ843" s="7"/>
      <c r="BA843" s="7"/>
      <c r="BB843" s="7"/>
      <c r="BC843" s="4"/>
      <c r="BD843" s="8"/>
      <c r="BE843" s="4"/>
      <c r="BF843" s="8"/>
      <c r="BG843" s="7"/>
      <c r="BH843" s="7"/>
      <c r="BI843" s="7"/>
      <c r="BJ843" s="4"/>
      <c r="BK843" s="8"/>
      <c r="BL843" s="2" t="s">
        <v>98</v>
      </c>
      <c r="BM843" s="7"/>
      <c r="BN843" s="7"/>
      <c r="BO843" s="4"/>
      <c r="BP843" s="8"/>
      <c r="BQ843" s="4"/>
      <c r="BR843" s="8"/>
      <c r="BS843" s="7"/>
      <c r="BT843" s="7"/>
      <c r="BU843" s="2" t="s">
        <v>98</v>
      </c>
      <c r="BV843" s="2" t="s">
        <v>98</v>
      </c>
      <c r="BW843" s="2" t="s">
        <v>98</v>
      </c>
      <c r="BX843" s="2" t="s">
        <v>98</v>
      </c>
      <c r="BY843" s="2" t="s">
        <v>98</v>
      </c>
      <c r="BZ843" s="2" t="s">
        <v>98</v>
      </c>
    </row>
    <row r="844">
      <c r="A844" s="2" t="s">
        <v>4151</v>
      </c>
      <c r="B844" s="2" t="s">
        <v>1345</v>
      </c>
      <c r="C844" s="2" t="s">
        <v>1069</v>
      </c>
      <c r="D844" s="2" t="s">
        <v>3370</v>
      </c>
      <c r="E844" s="2" t="s">
        <v>1934</v>
      </c>
      <c r="F844" s="2" t="s">
        <v>2540</v>
      </c>
      <c r="G844" s="2" t="s">
        <v>2540</v>
      </c>
      <c r="H844" s="2" t="s">
        <v>2540</v>
      </c>
      <c r="I844" s="2" t="s">
        <v>98</v>
      </c>
      <c r="J844" s="2" t="s">
        <v>4152</v>
      </c>
      <c r="K844" s="2" t="s">
        <v>473</v>
      </c>
      <c r="L844" s="3">
        <v>180.71</v>
      </c>
      <c r="M844" s="3"/>
      <c r="N844" s="3"/>
      <c r="O844" s="2" t="s">
        <v>155</v>
      </c>
      <c r="P844" s="2" t="s">
        <v>98</v>
      </c>
      <c r="Q844" s="2" t="s">
        <v>98</v>
      </c>
      <c r="R844" s="2" t="s">
        <v>98</v>
      </c>
      <c r="S844" s="2" t="s">
        <v>98</v>
      </c>
      <c r="T844" s="2" t="s">
        <v>98</v>
      </c>
      <c r="U844" s="2" t="s">
        <v>98</v>
      </c>
      <c r="V844" s="2" t="s">
        <v>98</v>
      </c>
      <c r="W844" s="2" t="s">
        <v>98</v>
      </c>
      <c r="X844" s="2" t="s">
        <v>98</v>
      </c>
      <c r="Y844" s="2" t="s">
        <v>98</v>
      </c>
      <c r="Z844" s="4"/>
      <c r="AA844" s="4">
        <f>=ROUNDDOWN({0},0)</f>
      </c>
      <c r="AB844" s="5"/>
      <c r="AC844" s="2" t="s">
        <v>98</v>
      </c>
      <c r="AD844" s="4"/>
      <c r="AE844" s="4"/>
      <c r="AF844" s="6"/>
      <c r="AG844" s="6"/>
      <c r="AH844" s="7">
        <v>0</v>
      </c>
      <c r="AI844" s="4"/>
      <c r="AJ844" s="4">
        <f>=ROUNDDOWN({0},0)</f>
      </c>
      <c r="AK844" s="5"/>
      <c r="AL844" s="2" t="s">
        <v>98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/>
      <c r="AW844" s="8"/>
      <c r="AX844" s="4"/>
      <c r="AY844" s="8"/>
      <c r="AZ844" s="7"/>
      <c r="BA844" s="7"/>
      <c r="BB844" s="7"/>
      <c r="BC844" s="4"/>
      <c r="BD844" s="8"/>
      <c r="BE844" s="4"/>
      <c r="BF844" s="8"/>
      <c r="BG844" s="7"/>
      <c r="BH844" s="7"/>
      <c r="BI844" s="7"/>
      <c r="BJ844" s="4"/>
      <c r="BK844" s="8"/>
      <c r="BL844" s="2" t="s">
        <v>98</v>
      </c>
      <c r="BM844" s="7"/>
      <c r="BN844" s="7"/>
      <c r="BO844" s="4"/>
      <c r="BP844" s="8"/>
      <c r="BQ844" s="4"/>
      <c r="BR844" s="8"/>
      <c r="BS844" s="7"/>
      <c r="BT844" s="7"/>
      <c r="BU844" s="2" t="s">
        <v>98</v>
      </c>
      <c r="BV844" s="2" t="s">
        <v>98</v>
      </c>
      <c r="BW844" s="2" t="s">
        <v>98</v>
      </c>
      <c r="BX844" s="2" t="s">
        <v>98</v>
      </c>
      <c r="BY844" s="2" t="s">
        <v>98</v>
      </c>
      <c r="BZ844" s="2" t="s">
        <v>98</v>
      </c>
    </row>
    <row r="845">
      <c r="A845" s="2" t="s">
        <v>4153</v>
      </c>
      <c r="B845" s="2" t="s">
        <v>1345</v>
      </c>
      <c r="C845" s="2" t="s">
        <v>1069</v>
      </c>
      <c r="D845" s="2" t="s">
        <v>2700</v>
      </c>
      <c r="E845" s="2" t="s">
        <v>2700</v>
      </c>
      <c r="F845" s="2" t="s">
        <v>4082</v>
      </c>
      <c r="G845" s="2" t="s">
        <v>4082</v>
      </c>
      <c r="H845" s="2" t="s">
        <v>4082</v>
      </c>
      <c r="I845" s="2" t="s">
        <v>4154</v>
      </c>
      <c r="J845" s="2" t="s">
        <v>93</v>
      </c>
      <c r="K845" s="2" t="s">
        <v>4104</v>
      </c>
      <c r="L845" s="3">
        <v>218.5</v>
      </c>
      <c r="M845" s="3">
        <v>229.42</v>
      </c>
      <c r="N845" s="3">
        <v>459</v>
      </c>
      <c r="O845" s="2" t="s">
        <v>95</v>
      </c>
      <c r="P845" s="2" t="s">
        <v>163</v>
      </c>
      <c r="Q845" s="2" t="s">
        <v>97</v>
      </c>
      <c r="R845" s="2" t="s">
        <v>98</v>
      </c>
      <c r="S845" s="2" t="s">
        <v>98</v>
      </c>
      <c r="T845" s="2" t="s">
        <v>98</v>
      </c>
      <c r="U845" s="2" t="s">
        <v>117</v>
      </c>
      <c r="V845" s="2" t="s">
        <v>439</v>
      </c>
      <c r="W845" s="2" t="s">
        <v>314</v>
      </c>
      <c r="X845" s="2" t="s">
        <v>103</v>
      </c>
      <c r="Y845" s="2" t="s">
        <v>4155</v>
      </c>
      <c r="Z845" s="4">
        <v>182</v>
      </c>
      <c r="AA845" s="4">
        <f>=ROUNDDOWN(33.7037037037037,0)</f>
      </c>
      <c r="AB845" s="5">
        <v>5.4</v>
      </c>
      <c r="AC845" s="2" t="s">
        <v>1651</v>
      </c>
      <c r="AD845" s="4">
        <v>50</v>
      </c>
      <c r="AE845" s="4">
        <v>50</v>
      </c>
      <c r="AF845" s="6">
        <v>74</v>
      </c>
      <c r="AG845" s="6">
        <v>60</v>
      </c>
      <c r="AH845" s="7">
        <v>1</v>
      </c>
      <c r="AI845" s="4"/>
      <c r="AJ845" s="4">
        <f>=ROUNDDOWN({0},0)</f>
      </c>
      <c r="AK845" s="5"/>
      <c r="AL845" s="2" t="s">
        <v>98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/>
      <c r="BD845" s="8"/>
      <c r="BE845" s="4"/>
      <c r="BF845" s="8"/>
      <c r="BG845" s="7"/>
      <c r="BH845" s="7"/>
      <c r="BI845" s="7"/>
      <c r="BJ845" s="4">
        <v>5</v>
      </c>
      <c r="BK845" s="8">
        <v>1095.48</v>
      </c>
      <c r="BL845" s="2" t="s">
        <v>4156</v>
      </c>
      <c r="BM845" s="7"/>
      <c r="BN845" s="7"/>
      <c r="BO845" s="4"/>
      <c r="BP845" s="8"/>
      <c r="BQ845" s="4"/>
      <c r="BR845" s="8"/>
      <c r="BS845" s="7"/>
      <c r="BT845" s="7"/>
      <c r="BU845" s="2" t="s">
        <v>1376</v>
      </c>
      <c r="BV845" s="2" t="s">
        <v>95</v>
      </c>
      <c r="BW845" s="2" t="s">
        <v>98</v>
      </c>
      <c r="BX845" s="2" t="s">
        <v>98</v>
      </c>
      <c r="BY845" s="2" t="s">
        <v>110</v>
      </c>
      <c r="BZ845" s="2" t="s">
        <v>98</v>
      </c>
    </row>
    <row r="846">
      <c r="A846" s="2" t="s">
        <v>4157</v>
      </c>
      <c r="B846" s="2" t="s">
        <v>1345</v>
      </c>
      <c r="C846" s="2" t="s">
        <v>1069</v>
      </c>
      <c r="D846" s="2" t="s">
        <v>3974</v>
      </c>
      <c r="E846" s="2" t="s">
        <v>3975</v>
      </c>
      <c r="F846" s="2" t="s">
        <v>4107</v>
      </c>
      <c r="G846" s="2" t="s">
        <v>98</v>
      </c>
      <c r="H846" s="2" t="s">
        <v>98</v>
      </c>
      <c r="I846" s="2" t="s">
        <v>4158</v>
      </c>
      <c r="J846" s="2" t="s">
        <v>93</v>
      </c>
      <c r="K846" s="2" t="s">
        <v>4108</v>
      </c>
      <c r="L846" s="3">
        <v>557.51</v>
      </c>
      <c r="M846" s="3">
        <v>585.39</v>
      </c>
      <c r="N846" s="3">
        <v>1199</v>
      </c>
      <c r="O846" s="2" t="s">
        <v>95</v>
      </c>
      <c r="P846" s="2" t="s">
        <v>163</v>
      </c>
      <c r="Q846" s="2" t="s">
        <v>271</v>
      </c>
      <c r="R846" s="2" t="s">
        <v>98</v>
      </c>
      <c r="S846" s="2" t="s">
        <v>4159</v>
      </c>
      <c r="T846" s="2" t="s">
        <v>98</v>
      </c>
      <c r="U846" s="2" t="s">
        <v>98</v>
      </c>
      <c r="V846" s="2" t="s">
        <v>439</v>
      </c>
      <c r="W846" s="2" t="s">
        <v>103</v>
      </c>
      <c r="X846" s="2" t="s">
        <v>98</v>
      </c>
      <c r="Y846" s="2" t="s">
        <v>4160</v>
      </c>
      <c r="Z846" s="4">
        <v>59</v>
      </c>
      <c r="AA846" s="4">
        <f>=ROUNDDOWN(7.76315789473684,0)</f>
      </c>
      <c r="AB846" s="5">
        <v>7.6</v>
      </c>
      <c r="AC846" s="2" t="s">
        <v>1700</v>
      </c>
      <c r="AD846" s="4">
        <v>48</v>
      </c>
      <c r="AE846" s="4">
        <v>188</v>
      </c>
      <c r="AF846" s="6">
        <v>74</v>
      </c>
      <c r="AG846" s="6">
        <v>60</v>
      </c>
      <c r="AH846" s="7">
        <v>1</v>
      </c>
      <c r="AI846" s="4"/>
      <c r="AJ846" s="4">
        <f>=ROUNDDOWN({0},0)</f>
      </c>
      <c r="AK846" s="5"/>
      <c r="AL846" s="2" t="s">
        <v>2575</v>
      </c>
      <c r="AM846" s="4">
        <v>139</v>
      </c>
      <c r="AN846" s="4">
        <v>385</v>
      </c>
      <c r="AO846" s="7">
        <v>0</v>
      </c>
      <c r="AP846" s="4"/>
      <c r="AQ846" s="8"/>
      <c r="AR846" s="4"/>
      <c r="AS846" s="8"/>
      <c r="AT846" s="7"/>
      <c r="AU846" s="7"/>
      <c r="AV846" s="4"/>
      <c r="AW846" s="8"/>
      <c r="AX846" s="4"/>
      <c r="AY846" s="8"/>
      <c r="AZ846" s="7"/>
      <c r="BA846" s="7"/>
      <c r="BB846" s="7"/>
      <c r="BC846" s="4"/>
      <c r="BD846" s="8"/>
      <c r="BE846" s="4"/>
      <c r="BF846" s="8"/>
      <c r="BG846" s="7"/>
      <c r="BH846" s="7"/>
      <c r="BI846" s="7"/>
      <c r="BJ846" s="4">
        <v>18</v>
      </c>
      <c r="BK846" s="8">
        <v>9652.82</v>
      </c>
      <c r="BL846" s="2" t="s">
        <v>1500</v>
      </c>
      <c r="BM846" s="7"/>
      <c r="BN846" s="7"/>
      <c r="BO846" s="4"/>
      <c r="BP846" s="8"/>
      <c r="BQ846" s="4"/>
      <c r="BR846" s="8"/>
      <c r="BS846" s="7"/>
      <c r="BT846" s="7"/>
      <c r="BU846" s="2" t="s">
        <v>1376</v>
      </c>
      <c r="BV846" s="2" t="s">
        <v>95</v>
      </c>
      <c r="BW846" s="2" t="s">
        <v>98</v>
      </c>
      <c r="BX846" s="2" t="s">
        <v>98</v>
      </c>
      <c r="BY846" s="2" t="s">
        <v>110</v>
      </c>
      <c r="BZ846" s="2" t="s">
        <v>98</v>
      </c>
    </row>
    <row r="847">
      <c r="A847" s="2" t="s">
        <v>4161</v>
      </c>
      <c r="B847" s="2" t="s">
        <v>1345</v>
      </c>
      <c r="C847" s="2" t="s">
        <v>1069</v>
      </c>
      <c r="D847" s="2" t="s">
        <v>3974</v>
      </c>
      <c r="E847" s="2" t="s">
        <v>1934</v>
      </c>
      <c r="F847" s="2" t="s">
        <v>4107</v>
      </c>
      <c r="G847" s="2" t="s">
        <v>98</v>
      </c>
      <c r="H847" s="2" t="s">
        <v>98</v>
      </c>
      <c r="I847" s="2" t="s">
        <v>4162</v>
      </c>
      <c r="J847" s="2" t="s">
        <v>93</v>
      </c>
      <c r="K847" s="2" t="s">
        <v>4108</v>
      </c>
      <c r="L847" s="3">
        <v>362.09</v>
      </c>
      <c r="M847" s="3">
        <v>380.19</v>
      </c>
      <c r="N847" s="3">
        <v>759</v>
      </c>
      <c r="O847" s="2" t="s">
        <v>95</v>
      </c>
      <c r="P847" s="2" t="s">
        <v>163</v>
      </c>
      <c r="Q847" s="2" t="s">
        <v>97</v>
      </c>
      <c r="R847" s="2" t="s">
        <v>98</v>
      </c>
      <c r="S847" s="2" t="s">
        <v>4163</v>
      </c>
      <c r="T847" s="2" t="s">
        <v>98</v>
      </c>
      <c r="U847" s="2" t="s">
        <v>98</v>
      </c>
      <c r="V847" s="2" t="s">
        <v>439</v>
      </c>
      <c r="W847" s="2" t="s">
        <v>103</v>
      </c>
      <c r="X847" s="2" t="s">
        <v>98</v>
      </c>
      <c r="Y847" s="2" t="s">
        <v>795</v>
      </c>
      <c r="Z847" s="4">
        <v>257</v>
      </c>
      <c r="AA847" s="4">
        <f>=ROUNDDOWN(14.2777777777778,0)</f>
      </c>
      <c r="AB847" s="5">
        <v>18</v>
      </c>
      <c r="AC847" s="2" t="s">
        <v>1457</v>
      </c>
      <c r="AD847" s="4">
        <v>110</v>
      </c>
      <c r="AE847" s="4">
        <v>807</v>
      </c>
      <c r="AF847" s="6">
        <v>74</v>
      </c>
      <c r="AG847" s="6">
        <v>60</v>
      </c>
      <c r="AH847" s="7">
        <v>1</v>
      </c>
      <c r="AI847" s="4"/>
      <c r="AJ847" s="4">
        <f>=ROUNDDOWN({0},0)</f>
      </c>
      <c r="AK847" s="5"/>
      <c r="AL847" s="2" t="s">
        <v>98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/>
      <c r="AW847" s="8"/>
      <c r="AX847" s="4"/>
      <c r="AY847" s="8"/>
      <c r="AZ847" s="7"/>
      <c r="BA847" s="7"/>
      <c r="BB847" s="7"/>
      <c r="BC847" s="4"/>
      <c r="BD847" s="8"/>
      <c r="BE847" s="4"/>
      <c r="BF847" s="8"/>
      <c r="BG847" s="7"/>
      <c r="BH847" s="7"/>
      <c r="BI847" s="7"/>
      <c r="BJ847" s="4">
        <v>9</v>
      </c>
      <c r="BK847" s="8">
        <v>3097.36</v>
      </c>
      <c r="BL847" s="2" t="s">
        <v>4164</v>
      </c>
      <c r="BM847" s="7"/>
      <c r="BN847" s="7"/>
      <c r="BO847" s="4"/>
      <c r="BP847" s="8"/>
      <c r="BQ847" s="4"/>
      <c r="BR847" s="8"/>
      <c r="BS847" s="7"/>
      <c r="BT847" s="7"/>
      <c r="BU847" s="2" t="s">
        <v>107</v>
      </c>
      <c r="BV847" s="2" t="s">
        <v>1355</v>
      </c>
      <c r="BW847" s="2" t="s">
        <v>1600</v>
      </c>
      <c r="BX847" s="2" t="s">
        <v>4165</v>
      </c>
      <c r="BY847" s="2" t="s">
        <v>110</v>
      </c>
      <c r="BZ847" s="2" t="s">
        <v>98</v>
      </c>
    </row>
    <row r="848">
      <c r="A848" s="2" t="s">
        <v>4166</v>
      </c>
      <c r="B848" s="2" t="s">
        <v>1345</v>
      </c>
      <c r="C848" s="2" t="s">
        <v>1069</v>
      </c>
      <c r="D848" s="2" t="s">
        <v>2728</v>
      </c>
      <c r="E848" s="2" t="s">
        <v>2729</v>
      </c>
      <c r="F848" s="2" t="s">
        <v>4167</v>
      </c>
      <c r="G848" s="2" t="s">
        <v>4167</v>
      </c>
      <c r="H848" s="2" t="s">
        <v>98</v>
      </c>
      <c r="I848" s="2" t="s">
        <v>2733</v>
      </c>
      <c r="J848" s="2" t="s">
        <v>93</v>
      </c>
      <c r="K848" s="2" t="s">
        <v>4168</v>
      </c>
      <c r="L848" s="3">
        <v>310</v>
      </c>
      <c r="M848" s="3">
        <v>325.5</v>
      </c>
      <c r="N848" s="3">
        <v>649</v>
      </c>
      <c r="O848" s="2" t="s">
        <v>95</v>
      </c>
      <c r="P848" s="2" t="s">
        <v>134</v>
      </c>
      <c r="Q848" s="2" t="s">
        <v>97</v>
      </c>
      <c r="R848" s="2" t="s">
        <v>98</v>
      </c>
      <c r="S848" s="2" t="s">
        <v>4169</v>
      </c>
      <c r="T848" s="2" t="s">
        <v>98</v>
      </c>
      <c r="U848" s="2" t="s">
        <v>98</v>
      </c>
      <c r="V848" s="2" t="s">
        <v>439</v>
      </c>
      <c r="W848" s="2" t="s">
        <v>314</v>
      </c>
      <c r="X848" s="2" t="s">
        <v>98</v>
      </c>
      <c r="Y848" s="2" t="s">
        <v>4122</v>
      </c>
      <c r="Z848" s="4">
        <v>103</v>
      </c>
      <c r="AA848" s="4">
        <f>=ROUNDDOWN(20.6,0)</f>
      </c>
      <c r="AB848" s="5">
        <v>5</v>
      </c>
      <c r="AC848" s="2" t="s">
        <v>1643</v>
      </c>
      <c r="AD848" s="4">
        <v>130</v>
      </c>
      <c r="AE848" s="4">
        <v>130</v>
      </c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98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/>
      <c r="AW848" s="8"/>
      <c r="AX848" s="4"/>
      <c r="AY848" s="8"/>
      <c r="AZ848" s="7"/>
      <c r="BA848" s="7"/>
      <c r="BB848" s="7"/>
      <c r="BC848" s="4"/>
      <c r="BD848" s="8"/>
      <c r="BE848" s="4"/>
      <c r="BF848" s="8"/>
      <c r="BG848" s="7"/>
      <c r="BH848" s="7"/>
      <c r="BI848" s="7"/>
      <c r="BJ848" s="4">
        <v>8</v>
      </c>
      <c r="BK848" s="8">
        <v>2434.77</v>
      </c>
      <c r="BL848" s="2" t="s">
        <v>4170</v>
      </c>
      <c r="BM848" s="7"/>
      <c r="BN848" s="7"/>
      <c r="BO848" s="4"/>
      <c r="BP848" s="8"/>
      <c r="BQ848" s="4"/>
      <c r="BR848" s="8"/>
      <c r="BS848" s="7"/>
      <c r="BT848" s="7"/>
      <c r="BU848" s="2" t="s">
        <v>107</v>
      </c>
      <c r="BV848" s="2" t="s">
        <v>1355</v>
      </c>
      <c r="BW848" s="2" t="s">
        <v>1620</v>
      </c>
      <c r="BX848" s="2" t="s">
        <v>4171</v>
      </c>
      <c r="BY848" s="2" t="s">
        <v>110</v>
      </c>
      <c r="BZ848" s="2" t="s">
        <v>98</v>
      </c>
    </row>
    <row r="849">
      <c r="A849" s="2" t="s">
        <v>4172</v>
      </c>
      <c r="B849" s="2" t="s">
        <v>1345</v>
      </c>
      <c r="C849" s="2" t="s">
        <v>1069</v>
      </c>
      <c r="D849" s="2" t="s">
        <v>2728</v>
      </c>
      <c r="E849" s="2" t="s">
        <v>2729</v>
      </c>
      <c r="F849" s="2" t="s">
        <v>4173</v>
      </c>
      <c r="G849" s="2" t="s">
        <v>4173</v>
      </c>
      <c r="H849" s="2" t="s">
        <v>4173</v>
      </c>
      <c r="I849" s="2" t="s">
        <v>4174</v>
      </c>
      <c r="J849" s="2" t="s">
        <v>93</v>
      </c>
      <c r="K849" s="2" t="s">
        <v>188</v>
      </c>
      <c r="L849" s="3">
        <v>172.43</v>
      </c>
      <c r="M849" s="3">
        <v>181.05</v>
      </c>
      <c r="N849" s="3">
        <v>359</v>
      </c>
      <c r="O849" s="2" t="s">
        <v>95</v>
      </c>
      <c r="P849" s="2" t="s">
        <v>96</v>
      </c>
      <c r="Q849" s="2" t="s">
        <v>97</v>
      </c>
      <c r="R849" s="2" t="s">
        <v>98</v>
      </c>
      <c r="S849" s="2" t="s">
        <v>4175</v>
      </c>
      <c r="T849" s="2" t="s">
        <v>98</v>
      </c>
      <c r="U849" s="2" t="s">
        <v>98</v>
      </c>
      <c r="V849" s="2" t="s">
        <v>439</v>
      </c>
      <c r="W849" s="2" t="s">
        <v>102</v>
      </c>
      <c r="X849" s="2" t="s">
        <v>98</v>
      </c>
      <c r="Y849" s="2" t="s">
        <v>366</v>
      </c>
      <c r="Z849" s="4">
        <v>381</v>
      </c>
      <c r="AA849" s="4">
        <f>=ROUNDDOWN(21.1666666666667,0)</f>
      </c>
      <c r="AB849" s="5">
        <v>18</v>
      </c>
      <c r="AC849" s="2" t="s">
        <v>1470</v>
      </c>
      <c r="AD849" s="4">
        <v>140</v>
      </c>
      <c r="AE849" s="4">
        <v>140</v>
      </c>
      <c r="AF849" s="6">
        <v>65</v>
      </c>
      <c r="AG849" s="6">
        <v>48</v>
      </c>
      <c r="AH849" s="7">
        <v>1</v>
      </c>
      <c r="AI849" s="4"/>
      <c r="AJ849" s="4">
        <f>=ROUNDDOWN({0},0)</f>
      </c>
      <c r="AK849" s="5"/>
      <c r="AL849" s="2" t="s">
        <v>98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/>
      <c r="BD849" s="8"/>
      <c r="BE849" s="4"/>
      <c r="BF849" s="8"/>
      <c r="BG849" s="7"/>
      <c r="BH849" s="7"/>
      <c r="BI849" s="7"/>
      <c r="BJ849" s="4">
        <v>9</v>
      </c>
      <c r="BK849" s="8">
        <v>1401.33</v>
      </c>
      <c r="BL849" s="2" t="s">
        <v>4176</v>
      </c>
      <c r="BM849" s="7"/>
      <c r="BN849" s="7"/>
      <c r="BO849" s="4"/>
      <c r="BP849" s="8"/>
      <c r="BQ849" s="4"/>
      <c r="BR849" s="8"/>
      <c r="BS849" s="7"/>
      <c r="BT849" s="7"/>
      <c r="BU849" s="2" t="s">
        <v>107</v>
      </c>
      <c r="BV849" s="2" t="s">
        <v>1355</v>
      </c>
      <c r="BW849" s="2" t="s">
        <v>1600</v>
      </c>
      <c r="BX849" s="2" t="s">
        <v>2442</v>
      </c>
      <c r="BY849" s="2" t="s">
        <v>110</v>
      </c>
      <c r="BZ849" s="2" t="s">
        <v>98</v>
      </c>
    </row>
    <row r="850">
      <c r="A850" s="2" t="s">
        <v>4177</v>
      </c>
      <c r="B850" s="2" t="s">
        <v>1345</v>
      </c>
      <c r="C850" s="2" t="s">
        <v>1069</v>
      </c>
      <c r="D850" s="2" t="s">
        <v>2728</v>
      </c>
      <c r="E850" s="2" t="s">
        <v>2799</v>
      </c>
      <c r="F850" s="2" t="s">
        <v>4167</v>
      </c>
      <c r="G850" s="2" t="s">
        <v>4167</v>
      </c>
      <c r="H850" s="2" t="s">
        <v>98</v>
      </c>
      <c r="I850" s="2" t="s">
        <v>2803</v>
      </c>
      <c r="J850" s="2" t="s">
        <v>93</v>
      </c>
      <c r="K850" s="2" t="s">
        <v>4168</v>
      </c>
      <c r="L850" s="3">
        <v>240</v>
      </c>
      <c r="M850" s="3">
        <v>252</v>
      </c>
      <c r="N850" s="3">
        <v>499</v>
      </c>
      <c r="O850" s="2" t="s">
        <v>95</v>
      </c>
      <c r="P850" s="2" t="s">
        <v>96</v>
      </c>
      <c r="Q850" s="2" t="s">
        <v>97</v>
      </c>
      <c r="R850" s="2" t="s">
        <v>98</v>
      </c>
      <c r="S850" s="2" t="s">
        <v>4178</v>
      </c>
      <c r="T850" s="2" t="s">
        <v>98</v>
      </c>
      <c r="U850" s="2" t="s">
        <v>98</v>
      </c>
      <c r="V850" s="2" t="s">
        <v>439</v>
      </c>
      <c r="W850" s="2" t="s">
        <v>314</v>
      </c>
      <c r="X850" s="2" t="s">
        <v>98</v>
      </c>
      <c r="Y850" s="2" t="s">
        <v>427</v>
      </c>
      <c r="Z850" s="4">
        <v>213</v>
      </c>
      <c r="AA850" s="4">
        <f>=ROUNDDOWN(35.5,0)</f>
      </c>
      <c r="AB850" s="5">
        <v>6</v>
      </c>
      <c r="AC850" s="2" t="s">
        <v>98</v>
      </c>
      <c r="AD850" s="4"/>
      <c r="AE850" s="4"/>
      <c r="AF850" s="6">
        <v>65</v>
      </c>
      <c r="AG850" s="6">
        <v>48</v>
      </c>
      <c r="AH850" s="7">
        <v>1</v>
      </c>
      <c r="AI850" s="4"/>
      <c r="AJ850" s="4">
        <f>=ROUNDDOWN({0},0)</f>
      </c>
      <c r="AK850" s="5"/>
      <c r="AL850" s="2" t="s">
        <v>98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/>
      <c r="AW850" s="8"/>
      <c r="AX850" s="4"/>
      <c r="AY850" s="8"/>
      <c r="AZ850" s="7"/>
      <c r="BA850" s="7"/>
      <c r="BB850" s="7"/>
      <c r="BC850" s="4"/>
      <c r="BD850" s="8"/>
      <c r="BE850" s="4"/>
      <c r="BF850" s="8"/>
      <c r="BG850" s="7"/>
      <c r="BH850" s="7"/>
      <c r="BI850" s="7"/>
      <c r="BJ850" s="4">
        <v>7</v>
      </c>
      <c r="BK850" s="8">
        <v>1735.6</v>
      </c>
      <c r="BL850" s="2" t="s">
        <v>4179</v>
      </c>
      <c r="BM850" s="7"/>
      <c r="BN850" s="7"/>
      <c r="BO850" s="4"/>
      <c r="BP850" s="8"/>
      <c r="BQ850" s="4"/>
      <c r="BR850" s="8"/>
      <c r="BS850" s="7"/>
      <c r="BT850" s="7"/>
      <c r="BU850" s="2" t="s">
        <v>107</v>
      </c>
      <c r="BV850" s="2" t="s">
        <v>1355</v>
      </c>
      <c r="BW850" s="2" t="s">
        <v>1620</v>
      </c>
      <c r="BX850" s="2" t="s">
        <v>4180</v>
      </c>
      <c r="BY850" s="2" t="s">
        <v>110</v>
      </c>
      <c r="BZ850" s="2" t="s">
        <v>98</v>
      </c>
    </row>
    <row r="851">
      <c r="A851" s="2" t="s">
        <v>4181</v>
      </c>
      <c r="B851" s="2" t="s">
        <v>1345</v>
      </c>
      <c r="C851" s="2" t="s">
        <v>1069</v>
      </c>
      <c r="D851" s="2" t="s">
        <v>2728</v>
      </c>
      <c r="E851" s="2" t="s">
        <v>2799</v>
      </c>
      <c r="F851" s="2" t="s">
        <v>2730</v>
      </c>
      <c r="G851" s="2" t="s">
        <v>98</v>
      </c>
      <c r="H851" s="2" t="s">
        <v>98</v>
      </c>
      <c r="I851" s="2" t="s">
        <v>2803</v>
      </c>
      <c r="J851" s="2" t="s">
        <v>93</v>
      </c>
      <c r="K851" s="2" t="s">
        <v>4182</v>
      </c>
      <c r="L851" s="3">
        <v>247.5</v>
      </c>
      <c r="M851" s="3">
        <v>259.88</v>
      </c>
      <c r="N851" s="3">
        <v>519</v>
      </c>
      <c r="O851" s="2" t="s">
        <v>155</v>
      </c>
      <c r="P851" s="2" t="s">
        <v>115</v>
      </c>
      <c r="Q851" s="2" t="s">
        <v>97</v>
      </c>
      <c r="R851" s="2" t="s">
        <v>98</v>
      </c>
      <c r="S851" s="2" t="s">
        <v>4183</v>
      </c>
      <c r="T851" s="2" t="s">
        <v>98</v>
      </c>
      <c r="U851" s="2" t="s">
        <v>98</v>
      </c>
      <c r="V851" s="2" t="s">
        <v>439</v>
      </c>
      <c r="W851" s="2" t="s">
        <v>314</v>
      </c>
      <c r="X851" s="2" t="s">
        <v>98</v>
      </c>
      <c r="Y851" s="2" t="s">
        <v>2326</v>
      </c>
      <c r="Z851" s="4">
        <v>101</v>
      </c>
      <c r="AA851" s="4">
        <f>=ROUNDDOWN(13.4666666666667,0)</f>
      </c>
      <c r="AB851" s="5">
        <v>7.5</v>
      </c>
      <c r="AC851" s="2" t="s">
        <v>98</v>
      </c>
      <c r="AD851" s="4"/>
      <c r="AE851" s="4"/>
      <c r="AF851" s="6">
        <v>74</v>
      </c>
      <c r="AG851" s="6"/>
      <c r="AH851" s="7">
        <v>1</v>
      </c>
      <c r="AI851" s="4"/>
      <c r="AJ851" s="4">
        <f>=ROUNDDOWN({0},0)</f>
      </c>
      <c r="AK851" s="5"/>
      <c r="AL851" s="2" t="s">
        <v>98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/>
      <c r="AW851" s="8"/>
      <c r="AX851" s="4"/>
      <c r="AY851" s="8"/>
      <c r="AZ851" s="7"/>
      <c r="BA851" s="7"/>
      <c r="BB851" s="7"/>
      <c r="BC851" s="4"/>
      <c r="BD851" s="8"/>
      <c r="BE851" s="4"/>
      <c r="BF851" s="8"/>
      <c r="BG851" s="7"/>
      <c r="BH851" s="7"/>
      <c r="BI851" s="7"/>
      <c r="BJ851" s="4">
        <v>4</v>
      </c>
      <c r="BK851" s="8">
        <v>675.68</v>
      </c>
      <c r="BL851" s="2" t="s">
        <v>759</v>
      </c>
      <c r="BM851" s="7"/>
      <c r="BN851" s="7"/>
      <c r="BO851" s="4"/>
      <c r="BP851" s="8"/>
      <c r="BQ851" s="4"/>
      <c r="BR851" s="8"/>
      <c r="BS851" s="7"/>
      <c r="BT851" s="7"/>
      <c r="BU851" s="2" t="s">
        <v>107</v>
      </c>
      <c r="BV851" s="2" t="s">
        <v>1355</v>
      </c>
      <c r="BW851" s="2" t="s">
        <v>1600</v>
      </c>
      <c r="BX851" s="2" t="s">
        <v>4184</v>
      </c>
      <c r="BY851" s="2" t="s">
        <v>110</v>
      </c>
      <c r="BZ851" s="2" t="s">
        <v>98</v>
      </c>
    </row>
    <row r="852">
      <c r="A852" s="2" t="s">
        <v>4185</v>
      </c>
      <c r="B852" s="2" t="s">
        <v>1345</v>
      </c>
      <c r="C852" s="2" t="s">
        <v>1069</v>
      </c>
      <c r="D852" s="2" t="s">
        <v>2728</v>
      </c>
      <c r="E852" s="2" t="s">
        <v>2775</v>
      </c>
      <c r="F852" s="2" t="s">
        <v>4167</v>
      </c>
      <c r="G852" s="2" t="s">
        <v>4167</v>
      </c>
      <c r="H852" s="2" t="s">
        <v>98</v>
      </c>
      <c r="I852" s="2" t="s">
        <v>2776</v>
      </c>
      <c r="J852" s="2" t="s">
        <v>93</v>
      </c>
      <c r="K852" s="2" t="s">
        <v>4168</v>
      </c>
      <c r="L852" s="3">
        <v>190</v>
      </c>
      <c r="M852" s="3">
        <v>199.5</v>
      </c>
      <c r="N852" s="3">
        <v>399</v>
      </c>
      <c r="O852" s="2" t="s">
        <v>95</v>
      </c>
      <c r="P852" s="2" t="s">
        <v>134</v>
      </c>
      <c r="Q852" s="2" t="s">
        <v>97</v>
      </c>
      <c r="R852" s="2" t="s">
        <v>98</v>
      </c>
      <c r="S852" s="2" t="s">
        <v>4186</v>
      </c>
      <c r="T852" s="2" t="s">
        <v>98</v>
      </c>
      <c r="U852" s="2" t="s">
        <v>98</v>
      </c>
      <c r="V852" s="2" t="s">
        <v>439</v>
      </c>
      <c r="W852" s="2" t="s">
        <v>314</v>
      </c>
      <c r="X852" s="2" t="s">
        <v>98</v>
      </c>
      <c r="Y852" s="2" t="s">
        <v>427</v>
      </c>
      <c r="Z852" s="4">
        <v>204</v>
      </c>
      <c r="AA852" s="4">
        <f>=ROUNDDOWN(25.5,0)</f>
      </c>
      <c r="AB852" s="5">
        <v>8</v>
      </c>
      <c r="AC852" s="2" t="s">
        <v>1470</v>
      </c>
      <c r="AD852" s="4">
        <v>120</v>
      </c>
      <c r="AE852" s="4">
        <v>120</v>
      </c>
      <c r="AF852" s="6">
        <v>65</v>
      </c>
      <c r="AG852" s="6"/>
      <c r="AH852" s="7">
        <v>1</v>
      </c>
      <c r="AI852" s="4"/>
      <c r="AJ852" s="4">
        <f>=ROUNDDOWN({0},0)</f>
      </c>
      <c r="AK852" s="5"/>
      <c r="AL852" s="2" t="s">
        <v>98</v>
      </c>
      <c r="AM852" s="4"/>
      <c r="AN852" s="4"/>
      <c r="AO852" s="7">
        <v>0</v>
      </c>
      <c r="AP852" s="4"/>
      <c r="AQ852" s="8"/>
      <c r="AR852" s="4">
        <v>3</v>
      </c>
      <c r="AS852" s="8">
        <v>521.07</v>
      </c>
      <c r="AT852" s="7">
        <v>-1</v>
      </c>
      <c r="AU852" s="7">
        <v>-1</v>
      </c>
      <c r="AV852" s="4"/>
      <c r="AW852" s="8"/>
      <c r="AX852" s="4">
        <v>3</v>
      </c>
      <c r="AY852" s="8">
        <v>521.07</v>
      </c>
      <c r="AZ852" s="7">
        <v>-1</v>
      </c>
      <c r="BA852" s="7">
        <v>-1</v>
      </c>
      <c r="BB852" s="7"/>
      <c r="BC852" s="4"/>
      <c r="BD852" s="8"/>
      <c r="BE852" s="4">
        <v>3</v>
      </c>
      <c r="BF852" s="8">
        <v>521.07</v>
      </c>
      <c r="BG852" s="7">
        <v>-1</v>
      </c>
      <c r="BH852" s="7">
        <v>-1</v>
      </c>
      <c r="BI852" s="7"/>
      <c r="BJ852" s="4">
        <v>9</v>
      </c>
      <c r="BK852" s="8">
        <v>1709.38</v>
      </c>
      <c r="BL852" s="2" t="s">
        <v>4187</v>
      </c>
      <c r="BM852" s="7"/>
      <c r="BN852" s="7"/>
      <c r="BO852" s="4"/>
      <c r="BP852" s="8"/>
      <c r="BQ852" s="4">
        <v>3</v>
      </c>
      <c r="BR852" s="8">
        <v>521.07</v>
      </c>
      <c r="BS852" s="7">
        <v>-1</v>
      </c>
      <c r="BT852" s="7">
        <v>-1</v>
      </c>
      <c r="BU852" s="2" t="s">
        <v>107</v>
      </c>
      <c r="BV852" s="2" t="s">
        <v>1355</v>
      </c>
      <c r="BW852" s="2" t="s">
        <v>1620</v>
      </c>
      <c r="BX852" s="2" t="s">
        <v>4171</v>
      </c>
      <c r="BY852" s="2" t="s">
        <v>110</v>
      </c>
      <c r="BZ852" s="2" t="s">
        <v>98</v>
      </c>
    </row>
    <row r="853">
      <c r="A853" s="2" t="s">
        <v>4188</v>
      </c>
      <c r="B853" s="2" t="s">
        <v>1345</v>
      </c>
      <c r="C853" s="2" t="s">
        <v>1069</v>
      </c>
      <c r="D853" s="2" t="s">
        <v>4052</v>
      </c>
      <c r="E853" s="2" t="s">
        <v>4052</v>
      </c>
      <c r="F853" s="2" t="s">
        <v>4189</v>
      </c>
      <c r="G853" s="2" t="s">
        <v>98</v>
      </c>
      <c r="H853" s="2" t="s">
        <v>98</v>
      </c>
      <c r="I853" s="2" t="s">
        <v>4190</v>
      </c>
      <c r="J853" s="2" t="s">
        <v>93</v>
      </c>
      <c r="K853" s="2" t="s">
        <v>133</v>
      </c>
      <c r="L853" s="3">
        <v>213.75</v>
      </c>
      <c r="M853" s="3">
        <v>225</v>
      </c>
      <c r="N853" s="3">
        <v>449</v>
      </c>
      <c r="O853" s="2" t="s">
        <v>1278</v>
      </c>
      <c r="P853" s="2" t="s">
        <v>115</v>
      </c>
      <c r="Q853" s="2" t="s">
        <v>97</v>
      </c>
      <c r="R853" s="2" t="s">
        <v>98</v>
      </c>
      <c r="S853" s="2" t="s">
        <v>4191</v>
      </c>
      <c r="T853" s="2" t="s">
        <v>98</v>
      </c>
      <c r="U853" s="2" t="s">
        <v>98</v>
      </c>
      <c r="V853" s="2" t="s">
        <v>439</v>
      </c>
      <c r="W853" s="2" t="s">
        <v>103</v>
      </c>
      <c r="X853" s="2" t="s">
        <v>98</v>
      </c>
      <c r="Y853" s="2" t="s">
        <v>4192</v>
      </c>
      <c r="Z853" s="4">
        <v>41</v>
      </c>
      <c r="AA853" s="4">
        <f>=ROUNDDOWN({0},0)</f>
      </c>
      <c r="AB853" s="5"/>
      <c r="AC853" s="2" t="s">
        <v>98</v>
      </c>
      <c r="AD853" s="4"/>
      <c r="AE853" s="4"/>
      <c r="AF853" s="6">
        <v>75</v>
      </c>
      <c r="AG853" s="6"/>
      <c r="AH853" s="7">
        <v>1</v>
      </c>
      <c r="AI853" s="4"/>
      <c r="AJ853" s="4">
        <f>=ROUNDDOWN({0},0)</f>
      </c>
      <c r="AK853" s="5"/>
      <c r="AL853" s="2" t="s">
        <v>98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/>
      <c r="BD853" s="8"/>
      <c r="BE853" s="4"/>
      <c r="BF853" s="8"/>
      <c r="BG853" s="7"/>
      <c r="BH853" s="7"/>
      <c r="BI853" s="7"/>
      <c r="BJ853" s="4"/>
      <c r="BK853" s="8"/>
      <c r="BL853" s="2" t="s">
        <v>98</v>
      </c>
      <c r="BM853" s="7"/>
      <c r="BN853" s="7"/>
      <c r="BO853" s="4"/>
      <c r="BP853" s="8"/>
      <c r="BQ853" s="4"/>
      <c r="BR853" s="8"/>
      <c r="BS853" s="7"/>
      <c r="BT853" s="7"/>
      <c r="BU853" s="2" t="s">
        <v>107</v>
      </c>
      <c r="BV853" s="2" t="s">
        <v>1355</v>
      </c>
      <c r="BW853" s="2" t="s">
        <v>2455</v>
      </c>
      <c r="BX853" s="2" t="s">
        <v>4193</v>
      </c>
      <c r="BY853" s="2" t="s">
        <v>110</v>
      </c>
      <c r="BZ853" s="2" t="s">
        <v>98</v>
      </c>
    </row>
    <row r="854">
      <c r="A854" s="2" t="s">
        <v>4194</v>
      </c>
      <c r="B854" s="2" t="s">
        <v>1345</v>
      </c>
      <c r="C854" s="2" t="s">
        <v>1178</v>
      </c>
      <c r="D854" s="2" t="s">
        <v>1346</v>
      </c>
      <c r="E854" s="2" t="s">
        <v>1347</v>
      </c>
      <c r="F854" s="2" t="s">
        <v>4195</v>
      </c>
      <c r="G854" s="2" t="s">
        <v>4195</v>
      </c>
      <c r="H854" s="2" t="s">
        <v>4195</v>
      </c>
      <c r="I854" s="2" t="s">
        <v>4196</v>
      </c>
      <c r="J854" s="2" t="s">
        <v>93</v>
      </c>
      <c r="K854" s="2" t="s">
        <v>514</v>
      </c>
      <c r="L854" s="3">
        <v>256.5</v>
      </c>
      <c r="M854" s="3">
        <v>269.32</v>
      </c>
      <c r="N854" s="3">
        <v>549</v>
      </c>
      <c r="O854" s="2" t="s">
        <v>95</v>
      </c>
      <c r="P854" s="2" t="s">
        <v>134</v>
      </c>
      <c r="Q854" s="2" t="s">
        <v>97</v>
      </c>
      <c r="R854" s="2" t="s">
        <v>98</v>
      </c>
      <c r="S854" s="2" t="s">
        <v>4197</v>
      </c>
      <c r="T854" s="2" t="s">
        <v>98</v>
      </c>
      <c r="U854" s="2" t="s">
        <v>117</v>
      </c>
      <c r="V854" s="2" t="s">
        <v>296</v>
      </c>
      <c r="W854" s="2" t="s">
        <v>204</v>
      </c>
      <c r="X854" s="2" t="s">
        <v>1215</v>
      </c>
      <c r="Y854" s="2" t="s">
        <v>2097</v>
      </c>
      <c r="Z854" s="4">
        <v>153</v>
      </c>
      <c r="AA854" s="4">
        <f>=ROUNDDOWN(13.9090909090909,0)</f>
      </c>
      <c r="AB854" s="5">
        <v>11</v>
      </c>
      <c r="AC854" s="2" t="s">
        <v>1562</v>
      </c>
      <c r="AD854" s="4">
        <v>200</v>
      </c>
      <c r="AE854" s="4">
        <v>200</v>
      </c>
      <c r="AF854" s="6">
        <v>65</v>
      </c>
      <c r="AG854" s="6">
        <v>48</v>
      </c>
      <c r="AH854" s="7">
        <v>1</v>
      </c>
      <c r="AI854" s="4"/>
      <c r="AJ854" s="4">
        <f>=ROUNDDOWN({0},0)</f>
      </c>
      <c r="AK854" s="5"/>
      <c r="AL854" s="2" t="s">
        <v>98</v>
      </c>
      <c r="AM854" s="4"/>
      <c r="AN854" s="4"/>
      <c r="AO854" s="7">
        <v>0</v>
      </c>
      <c r="AP854" s="4">
        <v>1</v>
      </c>
      <c r="AQ854" s="8">
        <v>246.02</v>
      </c>
      <c r="AR854" s="4"/>
      <c r="AS854" s="8"/>
      <c r="AT854" s="7"/>
      <c r="AU854" s="7"/>
      <c r="AV854" s="4">
        <v>1</v>
      </c>
      <c r="AW854" s="8">
        <v>246.02</v>
      </c>
      <c r="AX854" s="4"/>
      <c r="AY854" s="8"/>
      <c r="AZ854" s="7"/>
      <c r="BA854" s="7"/>
      <c r="BB854" s="7">
        <v>1</v>
      </c>
      <c r="BC854" s="4">
        <v>2</v>
      </c>
      <c r="BD854" s="8">
        <v>492.04</v>
      </c>
      <c r="BE854" s="4" t="s">
        <v>98</v>
      </c>
      <c r="BF854" s="8" t="s">
        <v>98</v>
      </c>
      <c r="BG854" s="7" t="s">
        <v>98</v>
      </c>
      <c r="BH854" s="7" t="s">
        <v>98</v>
      </c>
      <c r="BI854" s="7">
        <v>0.5</v>
      </c>
      <c r="BJ854" s="4">
        <v>9</v>
      </c>
      <c r="BK854" s="8">
        <v>2487.16</v>
      </c>
      <c r="BL854" s="2" t="s">
        <v>4198</v>
      </c>
      <c r="BM854" s="7">
        <v>0.1111</v>
      </c>
      <c r="BN854" s="7">
        <v>0.0989</v>
      </c>
      <c r="BO854" s="4">
        <v>1</v>
      </c>
      <c r="BP854" s="8">
        <v>246.02</v>
      </c>
      <c r="BQ854" s="4"/>
      <c r="BR854" s="8"/>
      <c r="BS854" s="7"/>
      <c r="BT854" s="7"/>
      <c r="BU854" s="2" t="s">
        <v>107</v>
      </c>
      <c r="BV854" s="2" t="s">
        <v>1355</v>
      </c>
      <c r="BW854" s="2" t="s">
        <v>4199</v>
      </c>
      <c r="BX854" s="2" t="s">
        <v>98</v>
      </c>
      <c r="BY854" s="2" t="s">
        <v>110</v>
      </c>
      <c r="BZ854" s="2" t="s">
        <v>98</v>
      </c>
    </row>
    <row r="855">
      <c r="A855" s="2" t="s">
        <v>4200</v>
      </c>
      <c r="B855" s="2" t="s">
        <v>1345</v>
      </c>
      <c r="C855" s="2" t="s">
        <v>1178</v>
      </c>
      <c r="D855" s="2" t="s">
        <v>1346</v>
      </c>
      <c r="E855" s="2" t="s">
        <v>1347</v>
      </c>
      <c r="F855" s="2" t="s">
        <v>4195</v>
      </c>
      <c r="G855" s="2" t="s">
        <v>4195</v>
      </c>
      <c r="H855" s="2" t="s">
        <v>4195</v>
      </c>
      <c r="I855" s="2" t="s">
        <v>4196</v>
      </c>
      <c r="J855" s="2" t="s">
        <v>93</v>
      </c>
      <c r="K855" s="2" t="s">
        <v>127</v>
      </c>
      <c r="L855" s="3">
        <v>256.5</v>
      </c>
      <c r="M855" s="3">
        <v>269.32</v>
      </c>
      <c r="N855" s="3">
        <v>549</v>
      </c>
      <c r="O855" s="2" t="s">
        <v>95</v>
      </c>
      <c r="P855" s="2" t="s">
        <v>134</v>
      </c>
      <c r="Q855" s="2" t="s">
        <v>97</v>
      </c>
      <c r="R855" s="2" t="s">
        <v>98</v>
      </c>
      <c r="S855" s="2" t="s">
        <v>98</v>
      </c>
      <c r="T855" s="2" t="s">
        <v>98</v>
      </c>
      <c r="U855" s="2" t="s">
        <v>117</v>
      </c>
      <c r="V855" s="2" t="s">
        <v>296</v>
      </c>
      <c r="W855" s="2" t="s">
        <v>103</v>
      </c>
      <c r="X855" s="2" t="s">
        <v>1215</v>
      </c>
      <c r="Y855" s="2" t="s">
        <v>4201</v>
      </c>
      <c r="Z855" s="4">
        <v>164</v>
      </c>
      <c r="AA855" s="4">
        <f>=ROUNDDOWN(18.2222222222222,0)</f>
      </c>
      <c r="AB855" s="5">
        <v>9</v>
      </c>
      <c r="AC855" s="2" t="s">
        <v>1525</v>
      </c>
      <c r="AD855" s="4">
        <v>100</v>
      </c>
      <c r="AE855" s="4">
        <v>200</v>
      </c>
      <c r="AF855" s="6">
        <v>65</v>
      </c>
      <c r="AG855" s="6">
        <v>48</v>
      </c>
      <c r="AH855" s="7">
        <v>1</v>
      </c>
      <c r="AI855" s="4"/>
      <c r="AJ855" s="4">
        <f>=ROUNDDOWN({0},0)</f>
      </c>
      <c r="AK855" s="5"/>
      <c r="AL855" s="2" t="s">
        <v>98</v>
      </c>
      <c r="AM855" s="4"/>
      <c r="AN855" s="4"/>
      <c r="AO855" s="7">
        <v>0</v>
      </c>
      <c r="AP855" s="4">
        <v>1</v>
      </c>
      <c r="AQ855" s="8">
        <v>246.02</v>
      </c>
      <c r="AR855" s="4"/>
      <c r="AS855" s="8"/>
      <c r="AT855" s="7"/>
      <c r="AU855" s="7"/>
      <c r="AV855" s="4">
        <v>1</v>
      </c>
      <c r="AW855" s="8">
        <v>246.02</v>
      </c>
      <c r="AX855" s="4"/>
      <c r="AY855" s="8"/>
      <c r="AZ855" s="7"/>
      <c r="BA855" s="7"/>
      <c r="BB855" s="7">
        <v>1</v>
      </c>
      <c r="BC855" s="4" t="s">
        <v>98</v>
      </c>
      <c r="BD855" s="8" t="s">
        <v>98</v>
      </c>
      <c r="BE855" s="4" t="s">
        <v>98</v>
      </c>
      <c r="BF855" s="8" t="s">
        <v>98</v>
      </c>
      <c r="BG855" s="7" t="s">
        <v>98</v>
      </c>
      <c r="BH855" s="7" t="s">
        <v>98</v>
      </c>
      <c r="BI855" s="7">
        <v>0.5</v>
      </c>
      <c r="BJ855" s="4">
        <v>3</v>
      </c>
      <c r="BK855" s="8">
        <v>908.16</v>
      </c>
      <c r="BL855" s="2" t="s">
        <v>4202</v>
      </c>
      <c r="BM855" s="7">
        <v>0.3333</v>
      </c>
      <c r="BN855" s="7">
        <v>0.2709</v>
      </c>
      <c r="BO855" s="4">
        <v>1</v>
      </c>
      <c r="BP855" s="8">
        <v>246.02</v>
      </c>
      <c r="BQ855" s="4"/>
      <c r="BR855" s="8"/>
      <c r="BS855" s="7"/>
      <c r="BT855" s="7"/>
      <c r="BU855" s="2" t="s">
        <v>1376</v>
      </c>
      <c r="BV855" s="2" t="s">
        <v>95</v>
      </c>
      <c r="BW855" s="2" t="s">
        <v>98</v>
      </c>
      <c r="BX855" s="2" t="s">
        <v>98</v>
      </c>
      <c r="BY855" s="2" t="s">
        <v>110</v>
      </c>
      <c r="BZ855" s="2" t="s">
        <v>98</v>
      </c>
    </row>
    <row r="856">
      <c r="A856" s="2" t="s">
        <v>4203</v>
      </c>
      <c r="B856" s="2" t="s">
        <v>1345</v>
      </c>
      <c r="C856" s="2" t="s">
        <v>1178</v>
      </c>
      <c r="D856" s="2" t="s">
        <v>1346</v>
      </c>
      <c r="E856" s="2" t="s">
        <v>1347</v>
      </c>
      <c r="F856" s="2" t="s">
        <v>4195</v>
      </c>
      <c r="G856" s="2" t="s">
        <v>4195</v>
      </c>
      <c r="H856" s="2" t="s">
        <v>4195</v>
      </c>
      <c r="I856" s="2" t="s">
        <v>4196</v>
      </c>
      <c r="J856" s="2" t="s">
        <v>93</v>
      </c>
      <c r="K856" s="2" t="s">
        <v>1052</v>
      </c>
      <c r="L856" s="3">
        <v>256.5</v>
      </c>
      <c r="M856" s="3">
        <v>269.32</v>
      </c>
      <c r="N856" s="3">
        <v>549</v>
      </c>
      <c r="O856" s="2" t="s">
        <v>95</v>
      </c>
      <c r="P856" s="2" t="s">
        <v>142</v>
      </c>
      <c r="Q856" s="2" t="s">
        <v>97</v>
      </c>
      <c r="R856" s="2" t="s">
        <v>98</v>
      </c>
      <c r="S856" s="2" t="s">
        <v>98</v>
      </c>
      <c r="T856" s="2" t="s">
        <v>98</v>
      </c>
      <c r="U856" s="2" t="s">
        <v>117</v>
      </c>
      <c r="V856" s="2" t="s">
        <v>296</v>
      </c>
      <c r="W856" s="2" t="s">
        <v>314</v>
      </c>
      <c r="X856" s="2" t="s">
        <v>1186</v>
      </c>
      <c r="Y856" s="2" t="s">
        <v>4204</v>
      </c>
      <c r="Z856" s="4">
        <v>106</v>
      </c>
      <c r="AA856" s="4">
        <f>=ROUNDDOWN(53,0)</f>
      </c>
      <c r="AB856" s="5">
        <v>2</v>
      </c>
      <c r="AC856" s="2" t="s">
        <v>98</v>
      </c>
      <c r="AD856" s="4"/>
      <c r="AE856" s="4"/>
      <c r="AF856" s="6">
        <v>65</v>
      </c>
      <c r="AG856" s="6"/>
      <c r="AH856" s="7">
        <v>1</v>
      </c>
      <c r="AI856" s="4"/>
      <c r="AJ856" s="4">
        <f>=ROUNDDOWN({0},0)</f>
      </c>
      <c r="AK856" s="5"/>
      <c r="AL856" s="2" t="s">
        <v>98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/>
      <c r="AW856" s="8"/>
      <c r="AX856" s="4"/>
      <c r="AY856" s="8"/>
      <c r="AZ856" s="7"/>
      <c r="BA856" s="7"/>
      <c r="BB856" s="7"/>
      <c r="BC856" s="4" t="s">
        <v>98</v>
      </c>
      <c r="BD856" s="8" t="s">
        <v>98</v>
      </c>
      <c r="BE856" s="4" t="s">
        <v>98</v>
      </c>
      <c r="BF856" s="8" t="s">
        <v>98</v>
      </c>
      <c r="BG856" s="7" t="s">
        <v>98</v>
      </c>
      <c r="BH856" s="7" t="s">
        <v>98</v>
      </c>
      <c r="BI856" s="7"/>
      <c r="BJ856" s="4">
        <v>2</v>
      </c>
      <c r="BK856" s="8">
        <v>515.38</v>
      </c>
      <c r="BL856" s="2" t="s">
        <v>895</v>
      </c>
      <c r="BM856" s="7"/>
      <c r="BN856" s="7"/>
      <c r="BO856" s="4"/>
      <c r="BP856" s="8"/>
      <c r="BQ856" s="4"/>
      <c r="BR856" s="8"/>
      <c r="BS856" s="7"/>
      <c r="BT856" s="7"/>
      <c r="BU856" s="2" t="s">
        <v>1376</v>
      </c>
      <c r="BV856" s="2" t="s">
        <v>95</v>
      </c>
      <c r="BW856" s="2" t="s">
        <v>98</v>
      </c>
      <c r="BX856" s="2" t="s">
        <v>98</v>
      </c>
      <c r="BY856" s="2" t="s">
        <v>110</v>
      </c>
      <c r="BZ856" s="2" t="s">
        <v>98</v>
      </c>
    </row>
    <row r="857">
      <c r="A857" s="2" t="s">
        <v>4205</v>
      </c>
      <c r="B857" s="2" t="s">
        <v>1345</v>
      </c>
      <c r="C857" s="2" t="s">
        <v>1178</v>
      </c>
      <c r="D857" s="2" t="s">
        <v>1346</v>
      </c>
      <c r="E857" s="2" t="s">
        <v>1347</v>
      </c>
      <c r="F857" s="2" t="s">
        <v>4206</v>
      </c>
      <c r="G857" s="2" t="s">
        <v>4206</v>
      </c>
      <c r="H857" s="2" t="s">
        <v>4206</v>
      </c>
      <c r="I857" s="2" t="s">
        <v>1432</v>
      </c>
      <c r="J857" s="2" t="s">
        <v>93</v>
      </c>
      <c r="K857" s="2" t="s">
        <v>1419</v>
      </c>
      <c r="L857" s="3">
        <v>286.69</v>
      </c>
      <c r="M857" s="3">
        <v>301.02</v>
      </c>
      <c r="N857" s="3">
        <v>599</v>
      </c>
      <c r="O857" s="2" t="s">
        <v>95</v>
      </c>
      <c r="P857" s="2" t="s">
        <v>134</v>
      </c>
      <c r="Q857" s="2" t="s">
        <v>97</v>
      </c>
      <c r="R857" s="2" t="s">
        <v>98</v>
      </c>
      <c r="S857" s="2" t="s">
        <v>98</v>
      </c>
      <c r="T857" s="2" t="s">
        <v>98</v>
      </c>
      <c r="U857" s="2" t="s">
        <v>117</v>
      </c>
      <c r="V857" s="2" t="s">
        <v>118</v>
      </c>
      <c r="W857" s="2" t="s">
        <v>103</v>
      </c>
      <c r="X857" s="2" t="s">
        <v>1215</v>
      </c>
      <c r="Y857" s="2" t="s">
        <v>4207</v>
      </c>
      <c r="Z857" s="4">
        <v>195</v>
      </c>
      <c r="AA857" s="4">
        <f>=ROUNDDOWN(21.6666666666667,0)</f>
      </c>
      <c r="AB857" s="5">
        <v>9</v>
      </c>
      <c r="AC857" s="2" t="s">
        <v>1757</v>
      </c>
      <c r="AD857" s="4">
        <v>91</v>
      </c>
      <c r="AE857" s="4">
        <v>185</v>
      </c>
      <c r="AF857" s="6">
        <v>65</v>
      </c>
      <c r="AG857" s="6">
        <v>48</v>
      </c>
      <c r="AH857" s="7">
        <v>1</v>
      </c>
      <c r="AI857" s="4"/>
      <c r="AJ857" s="4">
        <f>=ROUNDDOWN({0},0)</f>
      </c>
      <c r="AK857" s="5"/>
      <c r="AL857" s="2" t="s">
        <v>98</v>
      </c>
      <c r="AM857" s="4"/>
      <c r="AN857" s="4"/>
      <c r="AO857" s="7">
        <v>0</v>
      </c>
      <c r="AP857" s="4">
        <v>1</v>
      </c>
      <c r="AQ857" s="8">
        <v>225.22</v>
      </c>
      <c r="AR857" s="4"/>
      <c r="AS857" s="8"/>
      <c r="AT857" s="7"/>
      <c r="AU857" s="7"/>
      <c r="AV857" s="4">
        <v>1</v>
      </c>
      <c r="AW857" s="8">
        <v>225.22</v>
      </c>
      <c r="AX857" s="4"/>
      <c r="AY857" s="8"/>
      <c r="AZ857" s="7"/>
      <c r="BA857" s="7"/>
      <c r="BB857" s="7">
        <v>1</v>
      </c>
      <c r="BC857" s="4">
        <v>1</v>
      </c>
      <c r="BD857" s="8">
        <v>225.22</v>
      </c>
      <c r="BE857" s="4" t="s">
        <v>98</v>
      </c>
      <c r="BF857" s="8" t="s">
        <v>98</v>
      </c>
      <c r="BG857" s="7" t="s">
        <v>98</v>
      </c>
      <c r="BH857" s="7" t="s">
        <v>98</v>
      </c>
      <c r="BI857" s="7">
        <v>1</v>
      </c>
      <c r="BJ857" s="4">
        <v>6</v>
      </c>
      <c r="BK857" s="8">
        <v>1642.5</v>
      </c>
      <c r="BL857" s="2" t="s">
        <v>4208</v>
      </c>
      <c r="BM857" s="7">
        <v>0.1667</v>
      </c>
      <c r="BN857" s="7">
        <v>0.1371</v>
      </c>
      <c r="BO857" s="4">
        <v>1</v>
      </c>
      <c r="BP857" s="8">
        <v>225.22</v>
      </c>
      <c r="BQ857" s="4"/>
      <c r="BR857" s="8"/>
      <c r="BS857" s="7"/>
      <c r="BT857" s="7"/>
      <c r="BU857" s="2" t="s">
        <v>1376</v>
      </c>
      <c r="BV857" s="2" t="s">
        <v>95</v>
      </c>
      <c r="BW857" s="2" t="s">
        <v>98</v>
      </c>
      <c r="BX857" s="2" t="s">
        <v>98</v>
      </c>
      <c r="BY857" s="2" t="s">
        <v>110</v>
      </c>
      <c r="BZ857" s="2" t="s">
        <v>98</v>
      </c>
    </row>
    <row r="858">
      <c r="A858" s="2" t="s">
        <v>4209</v>
      </c>
      <c r="B858" s="2" t="s">
        <v>1345</v>
      </c>
      <c r="C858" s="2" t="s">
        <v>1178</v>
      </c>
      <c r="D858" s="2" t="s">
        <v>1346</v>
      </c>
      <c r="E858" s="2" t="s">
        <v>1347</v>
      </c>
      <c r="F858" s="2" t="s">
        <v>4206</v>
      </c>
      <c r="G858" s="2" t="s">
        <v>4206</v>
      </c>
      <c r="H858" s="2" t="s">
        <v>4206</v>
      </c>
      <c r="I858" s="2" t="s">
        <v>4196</v>
      </c>
      <c r="J858" s="2" t="s">
        <v>93</v>
      </c>
      <c r="K858" s="2" t="s">
        <v>514</v>
      </c>
      <c r="L858" s="3">
        <v>286.69</v>
      </c>
      <c r="M858" s="3">
        <v>301.02</v>
      </c>
      <c r="N858" s="3">
        <v>599</v>
      </c>
      <c r="O858" s="2" t="s">
        <v>95</v>
      </c>
      <c r="P858" s="2" t="s">
        <v>163</v>
      </c>
      <c r="Q858" s="2" t="s">
        <v>97</v>
      </c>
      <c r="R858" s="2" t="s">
        <v>98</v>
      </c>
      <c r="S858" s="2" t="s">
        <v>4210</v>
      </c>
      <c r="T858" s="2" t="s">
        <v>98</v>
      </c>
      <c r="U858" s="2" t="s">
        <v>98</v>
      </c>
      <c r="V858" s="2" t="s">
        <v>439</v>
      </c>
      <c r="W858" s="2" t="s">
        <v>204</v>
      </c>
      <c r="X858" s="2" t="s">
        <v>1215</v>
      </c>
      <c r="Y858" s="2" t="s">
        <v>612</v>
      </c>
      <c r="Z858" s="4">
        <v>307</v>
      </c>
      <c r="AA858" s="4">
        <f>=ROUNDDOWN(14.6190476190476,0)</f>
      </c>
      <c r="AB858" s="5">
        <v>21</v>
      </c>
      <c r="AC858" s="2" t="s">
        <v>1757</v>
      </c>
      <c r="AD858" s="4">
        <v>101</v>
      </c>
      <c r="AE858" s="4">
        <v>524</v>
      </c>
      <c r="AF858" s="6">
        <v>65</v>
      </c>
      <c r="AG858" s="6">
        <v>48</v>
      </c>
      <c r="AH858" s="7">
        <v>1</v>
      </c>
      <c r="AI858" s="4"/>
      <c r="AJ858" s="4">
        <f>=ROUNDDOWN({0},0)</f>
      </c>
      <c r="AK858" s="5"/>
      <c r="AL858" s="2" t="s">
        <v>98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/>
      <c r="AW858" s="8"/>
      <c r="AX858" s="4"/>
      <c r="AY858" s="8"/>
      <c r="AZ858" s="7"/>
      <c r="BA858" s="7"/>
      <c r="BB858" s="7"/>
      <c r="BC858" s="4" t="s">
        <v>98</v>
      </c>
      <c r="BD858" s="8" t="s">
        <v>98</v>
      </c>
      <c r="BE858" s="4" t="s">
        <v>98</v>
      </c>
      <c r="BF858" s="8" t="s">
        <v>98</v>
      </c>
      <c r="BG858" s="7" t="s">
        <v>98</v>
      </c>
      <c r="BH858" s="7" t="s">
        <v>98</v>
      </c>
      <c r="BI858" s="7"/>
      <c r="BJ858" s="4">
        <v>8</v>
      </c>
      <c r="BK858" s="8">
        <v>2344.88</v>
      </c>
      <c r="BL858" s="2" t="s">
        <v>4211</v>
      </c>
      <c r="BM858" s="7"/>
      <c r="BN858" s="7"/>
      <c r="BO858" s="4"/>
      <c r="BP858" s="8"/>
      <c r="BQ858" s="4"/>
      <c r="BR858" s="8"/>
      <c r="BS858" s="7"/>
      <c r="BT858" s="7"/>
      <c r="BU858" s="2" t="s">
        <v>107</v>
      </c>
      <c r="BV858" s="2" t="s">
        <v>1355</v>
      </c>
      <c r="BW858" s="2" t="s">
        <v>1478</v>
      </c>
      <c r="BX858" s="2" t="s">
        <v>4212</v>
      </c>
      <c r="BY858" s="2" t="s">
        <v>110</v>
      </c>
      <c r="BZ858" s="2" t="s">
        <v>98</v>
      </c>
    </row>
    <row r="859">
      <c r="A859" s="2" t="s">
        <v>4213</v>
      </c>
      <c r="B859" s="2" t="s">
        <v>1345</v>
      </c>
      <c r="C859" s="2" t="s">
        <v>1178</v>
      </c>
      <c r="D859" s="2" t="s">
        <v>1346</v>
      </c>
      <c r="E859" s="2" t="s">
        <v>1347</v>
      </c>
      <c r="F859" s="2" t="s">
        <v>4214</v>
      </c>
      <c r="G859" s="2" t="s">
        <v>4214</v>
      </c>
      <c r="H859" s="2" t="s">
        <v>4214</v>
      </c>
      <c r="I859" s="2" t="s">
        <v>4215</v>
      </c>
      <c r="J859" s="2" t="s">
        <v>93</v>
      </c>
      <c r="K859" s="2" t="s">
        <v>277</v>
      </c>
      <c r="L859" s="3">
        <v>247.5</v>
      </c>
      <c r="M859" s="3">
        <v>259.88</v>
      </c>
      <c r="N859" s="3">
        <v>519</v>
      </c>
      <c r="O859" s="2" t="s">
        <v>95</v>
      </c>
      <c r="P859" s="2" t="s">
        <v>134</v>
      </c>
      <c r="Q859" s="2" t="s">
        <v>97</v>
      </c>
      <c r="R859" s="2" t="s">
        <v>98</v>
      </c>
      <c r="S859" s="2" t="s">
        <v>98</v>
      </c>
      <c r="T859" s="2" t="s">
        <v>98</v>
      </c>
      <c r="U859" s="2" t="s">
        <v>117</v>
      </c>
      <c r="V859" s="2" t="s">
        <v>439</v>
      </c>
      <c r="W859" s="2" t="s">
        <v>102</v>
      </c>
      <c r="X859" s="2" t="s">
        <v>1181</v>
      </c>
      <c r="Y859" s="2" t="s">
        <v>4216</v>
      </c>
      <c r="Z859" s="4">
        <v>143</v>
      </c>
      <c r="AA859" s="4">
        <f>=ROUNDDOWN(55,0)</f>
      </c>
      <c r="AB859" s="5">
        <v>2.6</v>
      </c>
      <c r="AC859" s="2" t="s">
        <v>1088</v>
      </c>
      <c r="AD859" s="4">
        <v>100</v>
      </c>
      <c r="AE859" s="4">
        <v>100</v>
      </c>
      <c r="AF859" s="6">
        <v>67</v>
      </c>
      <c r="AG859" s="6"/>
      <c r="AH859" s="7">
        <v>1</v>
      </c>
      <c r="AI859" s="4"/>
      <c r="AJ859" s="4">
        <f>=ROUNDDOWN({0},0)</f>
      </c>
      <c r="AK859" s="5"/>
      <c r="AL859" s="2" t="s">
        <v>98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/>
      <c r="AW859" s="8"/>
      <c r="AX859" s="4"/>
      <c r="AY859" s="8"/>
      <c r="AZ859" s="7"/>
      <c r="BA859" s="7"/>
      <c r="BB859" s="7"/>
      <c r="BC859" s="4" t="s">
        <v>98</v>
      </c>
      <c r="BD859" s="8" t="s">
        <v>98</v>
      </c>
      <c r="BE859" s="4" t="s">
        <v>98</v>
      </c>
      <c r="BF859" s="8" t="s">
        <v>98</v>
      </c>
      <c r="BG859" s="7" t="s">
        <v>98</v>
      </c>
      <c r="BH859" s="7" t="s">
        <v>98</v>
      </c>
      <c r="BI859" s="7"/>
      <c r="BJ859" s="4">
        <v>2</v>
      </c>
      <c r="BK859" s="8">
        <v>407.83</v>
      </c>
      <c r="BL859" s="2" t="s">
        <v>3321</v>
      </c>
      <c r="BM859" s="7"/>
      <c r="BN859" s="7"/>
      <c r="BO859" s="4"/>
      <c r="BP859" s="8"/>
      <c r="BQ859" s="4"/>
      <c r="BR859" s="8"/>
      <c r="BS859" s="7"/>
      <c r="BT859" s="7"/>
      <c r="BU859" s="2" t="s">
        <v>1376</v>
      </c>
      <c r="BV859" s="2" t="s">
        <v>95</v>
      </c>
      <c r="BW859" s="2" t="s">
        <v>98</v>
      </c>
      <c r="BX859" s="2" t="s">
        <v>98</v>
      </c>
      <c r="BY859" s="2" t="s">
        <v>110</v>
      </c>
      <c r="BZ859" s="2" t="s">
        <v>98</v>
      </c>
    </row>
    <row r="860">
      <c r="A860" s="2" t="s">
        <v>4217</v>
      </c>
      <c r="B860" s="2" t="s">
        <v>1345</v>
      </c>
      <c r="C860" s="2" t="s">
        <v>1178</v>
      </c>
      <c r="D860" s="2" t="s">
        <v>1346</v>
      </c>
      <c r="E860" s="2" t="s">
        <v>1347</v>
      </c>
      <c r="F860" s="2" t="s">
        <v>4214</v>
      </c>
      <c r="G860" s="2" t="s">
        <v>4214</v>
      </c>
      <c r="H860" s="2" t="s">
        <v>4214</v>
      </c>
      <c r="I860" s="2" t="s">
        <v>4215</v>
      </c>
      <c r="J860" s="2" t="s">
        <v>93</v>
      </c>
      <c r="K860" s="2" t="s">
        <v>1915</v>
      </c>
      <c r="L860" s="3">
        <v>247.5</v>
      </c>
      <c r="M860" s="3">
        <v>259.88</v>
      </c>
      <c r="N860" s="3">
        <v>519</v>
      </c>
      <c r="O860" s="2" t="s">
        <v>95</v>
      </c>
      <c r="P860" s="2" t="s">
        <v>134</v>
      </c>
      <c r="Q860" s="2" t="s">
        <v>97</v>
      </c>
      <c r="R860" s="2" t="s">
        <v>98</v>
      </c>
      <c r="S860" s="2" t="s">
        <v>4218</v>
      </c>
      <c r="T860" s="2" t="s">
        <v>98</v>
      </c>
      <c r="U860" s="2" t="s">
        <v>117</v>
      </c>
      <c r="V860" s="2" t="s">
        <v>439</v>
      </c>
      <c r="W860" s="2" t="s">
        <v>297</v>
      </c>
      <c r="X860" s="2" t="s">
        <v>1181</v>
      </c>
      <c r="Y860" s="2" t="s">
        <v>1236</v>
      </c>
      <c r="Z860" s="4">
        <v>35</v>
      </c>
      <c r="AA860" s="4">
        <f>=ROUNDDOWN(3.5,0)</f>
      </c>
      <c r="AB860" s="5">
        <v>10</v>
      </c>
      <c r="AC860" s="2" t="s">
        <v>1457</v>
      </c>
      <c r="AD860" s="4">
        <v>248</v>
      </c>
      <c r="AE860" s="4">
        <v>348</v>
      </c>
      <c r="AF860" s="6">
        <v>67</v>
      </c>
      <c r="AG860" s="6">
        <v>50</v>
      </c>
      <c r="AH860" s="7">
        <v>1</v>
      </c>
      <c r="AI860" s="4"/>
      <c r="AJ860" s="4">
        <f>=ROUNDDOWN({0},0)</f>
      </c>
      <c r="AK860" s="5"/>
      <c r="AL860" s="2" t="s">
        <v>98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/>
      <c r="AW860" s="8"/>
      <c r="AX860" s="4"/>
      <c r="AY860" s="8"/>
      <c r="AZ860" s="7"/>
      <c r="BA860" s="7"/>
      <c r="BB860" s="7"/>
      <c r="BC860" s="4" t="s">
        <v>98</v>
      </c>
      <c r="BD860" s="8" t="s">
        <v>98</v>
      </c>
      <c r="BE860" s="4" t="s">
        <v>98</v>
      </c>
      <c r="BF860" s="8" t="s">
        <v>98</v>
      </c>
      <c r="BG860" s="7" t="s">
        <v>98</v>
      </c>
      <c r="BH860" s="7" t="s">
        <v>98</v>
      </c>
      <c r="BI860" s="7"/>
      <c r="BJ860" s="4">
        <v>5</v>
      </c>
      <c r="BK860" s="8">
        <v>1095.51</v>
      </c>
      <c r="BL860" s="2" t="s">
        <v>1379</v>
      </c>
      <c r="BM860" s="7"/>
      <c r="BN860" s="7"/>
      <c r="BO860" s="4"/>
      <c r="BP860" s="8"/>
      <c r="BQ860" s="4"/>
      <c r="BR860" s="8"/>
      <c r="BS860" s="7"/>
      <c r="BT860" s="7"/>
      <c r="BU860" s="2" t="s">
        <v>107</v>
      </c>
      <c r="BV860" s="2" t="s">
        <v>1355</v>
      </c>
      <c r="BW860" s="2" t="s">
        <v>1478</v>
      </c>
      <c r="BX860" s="2" t="s">
        <v>4219</v>
      </c>
      <c r="BY860" s="2" t="s">
        <v>110</v>
      </c>
      <c r="BZ860" s="2" t="s">
        <v>98</v>
      </c>
    </row>
    <row r="861">
      <c r="A861" s="2" t="s">
        <v>4220</v>
      </c>
      <c r="B861" s="2" t="s">
        <v>1345</v>
      </c>
      <c r="C861" s="2" t="s">
        <v>1178</v>
      </c>
      <c r="D861" s="2" t="s">
        <v>1346</v>
      </c>
      <c r="E861" s="2" t="s">
        <v>1347</v>
      </c>
      <c r="F861" s="2" t="s">
        <v>4221</v>
      </c>
      <c r="G861" s="2" t="s">
        <v>4221</v>
      </c>
      <c r="H861" s="2" t="s">
        <v>4221</v>
      </c>
      <c r="I861" s="2" t="s">
        <v>1432</v>
      </c>
      <c r="J861" s="2" t="s">
        <v>93</v>
      </c>
      <c r="K861" s="2" t="s">
        <v>1439</v>
      </c>
      <c r="L861" s="3">
        <v>193.5</v>
      </c>
      <c r="M861" s="3">
        <v>203.18</v>
      </c>
      <c r="N861" s="3">
        <v>399</v>
      </c>
      <c r="O861" s="2" t="s">
        <v>95</v>
      </c>
      <c r="P861" s="2" t="s">
        <v>142</v>
      </c>
      <c r="Q861" s="2" t="s">
        <v>97</v>
      </c>
      <c r="R861" s="2" t="s">
        <v>98</v>
      </c>
      <c r="S861" s="2" t="s">
        <v>98</v>
      </c>
      <c r="T861" s="2" t="s">
        <v>98</v>
      </c>
      <c r="U861" s="2" t="s">
        <v>98</v>
      </c>
      <c r="V861" s="2" t="s">
        <v>439</v>
      </c>
      <c r="W861" s="2" t="s">
        <v>204</v>
      </c>
      <c r="X861" s="2" t="s">
        <v>1215</v>
      </c>
      <c r="Y861" s="2" t="s">
        <v>3871</v>
      </c>
      <c r="Z861" s="4">
        <v>106</v>
      </c>
      <c r="AA861" s="4">
        <f>=ROUNDDOWN(81.5384615384615,0)</f>
      </c>
      <c r="AB861" s="5">
        <v>1.3</v>
      </c>
      <c r="AC861" s="2" t="s">
        <v>98</v>
      </c>
      <c r="AD861" s="4"/>
      <c r="AE861" s="4"/>
      <c r="AF861" s="6">
        <v>65</v>
      </c>
      <c r="AG861" s="6"/>
      <c r="AH861" s="7">
        <v>1</v>
      </c>
      <c r="AI861" s="4"/>
      <c r="AJ861" s="4">
        <f>=ROUNDDOWN({0},0)</f>
      </c>
      <c r="AK861" s="5"/>
      <c r="AL861" s="2" t="s">
        <v>98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/>
      <c r="AW861" s="8"/>
      <c r="AX861" s="4"/>
      <c r="AY861" s="8"/>
      <c r="AZ861" s="7"/>
      <c r="BA861" s="7"/>
      <c r="BB861" s="7"/>
      <c r="BC861" s="4"/>
      <c r="BD861" s="8"/>
      <c r="BE861" s="4"/>
      <c r="BF861" s="8"/>
      <c r="BG861" s="7"/>
      <c r="BH861" s="7"/>
      <c r="BI861" s="7"/>
      <c r="BJ861" s="4">
        <v>3</v>
      </c>
      <c r="BK861" s="8">
        <v>599.33</v>
      </c>
      <c r="BL861" s="2" t="s">
        <v>2215</v>
      </c>
      <c r="BM861" s="7"/>
      <c r="BN861" s="7"/>
      <c r="BO861" s="4"/>
      <c r="BP861" s="8"/>
      <c r="BQ861" s="4"/>
      <c r="BR861" s="8"/>
      <c r="BS861" s="7"/>
      <c r="BT861" s="7"/>
      <c r="BU861" s="2" t="s">
        <v>1376</v>
      </c>
      <c r="BV861" s="2" t="s">
        <v>95</v>
      </c>
      <c r="BW861" s="2" t="s">
        <v>98</v>
      </c>
      <c r="BX861" s="2" t="s">
        <v>98</v>
      </c>
      <c r="BY861" s="2" t="s">
        <v>110</v>
      </c>
      <c r="BZ861" s="2" t="s">
        <v>98</v>
      </c>
    </row>
    <row r="862">
      <c r="A862" s="2" t="s">
        <v>4222</v>
      </c>
      <c r="B862" s="2" t="s">
        <v>1345</v>
      </c>
      <c r="C862" s="2" t="s">
        <v>1178</v>
      </c>
      <c r="D862" s="2" t="s">
        <v>1346</v>
      </c>
      <c r="E862" s="2" t="s">
        <v>1347</v>
      </c>
      <c r="F862" s="2" t="s">
        <v>4223</v>
      </c>
      <c r="G862" s="2" t="s">
        <v>4223</v>
      </c>
      <c r="H862" s="2" t="s">
        <v>4223</v>
      </c>
      <c r="I862" s="2" t="s">
        <v>1432</v>
      </c>
      <c r="J862" s="2" t="s">
        <v>93</v>
      </c>
      <c r="K862" s="2" t="s">
        <v>294</v>
      </c>
      <c r="L862" s="3">
        <v>207</v>
      </c>
      <c r="M862" s="3">
        <v>217.35</v>
      </c>
      <c r="N862" s="3">
        <v>439</v>
      </c>
      <c r="O862" s="2" t="s">
        <v>95</v>
      </c>
      <c r="P862" s="2" t="s">
        <v>115</v>
      </c>
      <c r="Q862" s="2" t="s">
        <v>97</v>
      </c>
      <c r="R862" s="2" t="s">
        <v>98</v>
      </c>
      <c r="S862" s="2" t="s">
        <v>98</v>
      </c>
      <c r="T862" s="2" t="s">
        <v>98</v>
      </c>
      <c r="U862" s="2" t="s">
        <v>98</v>
      </c>
      <c r="V862" s="2" t="s">
        <v>439</v>
      </c>
      <c r="W862" s="2" t="s">
        <v>102</v>
      </c>
      <c r="X862" s="2" t="s">
        <v>1181</v>
      </c>
      <c r="Y862" s="2" t="s">
        <v>318</v>
      </c>
      <c r="Z862" s="4">
        <v>98</v>
      </c>
      <c r="AA862" s="4">
        <f>=ROUNDDOWN(32.6666666666667,0)</f>
      </c>
      <c r="AB862" s="5">
        <v>3</v>
      </c>
      <c r="AC862" s="2" t="s">
        <v>98</v>
      </c>
      <c r="AD862" s="4"/>
      <c r="AE862" s="4"/>
      <c r="AF862" s="6">
        <v>65</v>
      </c>
      <c r="AG862" s="6">
        <v>48</v>
      </c>
      <c r="AH862" s="7">
        <v>1</v>
      </c>
      <c r="AI862" s="4"/>
      <c r="AJ862" s="4">
        <f>=ROUNDDOWN({0},0)</f>
      </c>
      <c r="AK862" s="5"/>
      <c r="AL862" s="2" t="s">
        <v>98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/>
      <c r="AW862" s="8"/>
      <c r="AX862" s="4"/>
      <c r="AY862" s="8"/>
      <c r="AZ862" s="7"/>
      <c r="BA862" s="7"/>
      <c r="BB862" s="7"/>
      <c r="BC862" s="4"/>
      <c r="BD862" s="8"/>
      <c r="BE862" s="4"/>
      <c r="BF862" s="8"/>
      <c r="BG862" s="7"/>
      <c r="BH862" s="7"/>
      <c r="BI862" s="7"/>
      <c r="BJ862" s="4">
        <v>3</v>
      </c>
      <c r="BK862" s="8">
        <v>650.12</v>
      </c>
      <c r="BL862" s="2" t="s">
        <v>4224</v>
      </c>
      <c r="BM862" s="7"/>
      <c r="BN862" s="7"/>
      <c r="BO862" s="4"/>
      <c r="BP862" s="8"/>
      <c r="BQ862" s="4"/>
      <c r="BR862" s="8"/>
      <c r="BS862" s="7"/>
      <c r="BT862" s="7"/>
      <c r="BU862" s="2" t="s">
        <v>107</v>
      </c>
      <c r="BV862" s="2" t="s">
        <v>1355</v>
      </c>
      <c r="BW862" s="2" t="s">
        <v>1584</v>
      </c>
      <c r="BX862" s="2" t="s">
        <v>98</v>
      </c>
      <c r="BY862" s="2" t="s">
        <v>110</v>
      </c>
      <c r="BZ862" s="2" t="s">
        <v>98</v>
      </c>
    </row>
    <row r="863">
      <c r="A863" s="2" t="s">
        <v>4225</v>
      </c>
      <c r="B863" s="2" t="s">
        <v>1345</v>
      </c>
      <c r="C863" s="2" t="s">
        <v>1178</v>
      </c>
      <c r="D863" s="2" t="s">
        <v>1346</v>
      </c>
      <c r="E863" s="2" t="s">
        <v>1347</v>
      </c>
      <c r="F863" s="2" t="s">
        <v>4226</v>
      </c>
      <c r="G863" s="2" t="s">
        <v>4226</v>
      </c>
      <c r="H863" s="2" t="s">
        <v>4226</v>
      </c>
      <c r="I863" s="2" t="s">
        <v>1432</v>
      </c>
      <c r="J863" s="2" t="s">
        <v>93</v>
      </c>
      <c r="K863" s="2" t="s">
        <v>1439</v>
      </c>
      <c r="L863" s="3">
        <v>175.75</v>
      </c>
      <c r="M863" s="3">
        <v>184.54</v>
      </c>
      <c r="N863" s="3">
        <v>369</v>
      </c>
      <c r="O863" s="2" t="s">
        <v>95</v>
      </c>
      <c r="P863" s="2" t="s">
        <v>96</v>
      </c>
      <c r="Q863" s="2" t="s">
        <v>97</v>
      </c>
      <c r="R863" s="2" t="s">
        <v>98</v>
      </c>
      <c r="S863" s="2" t="s">
        <v>98</v>
      </c>
      <c r="T863" s="2" t="s">
        <v>98</v>
      </c>
      <c r="U863" s="2" t="s">
        <v>117</v>
      </c>
      <c r="V863" s="2" t="s">
        <v>439</v>
      </c>
      <c r="W863" s="2" t="s">
        <v>297</v>
      </c>
      <c r="X863" s="2" t="s">
        <v>1181</v>
      </c>
      <c r="Y863" s="2" t="s">
        <v>2074</v>
      </c>
      <c r="Z863" s="4">
        <v>202</v>
      </c>
      <c r="AA863" s="4">
        <f>=ROUNDDOWN(18.3636363636364,0)</f>
      </c>
      <c r="AB863" s="5">
        <v>11</v>
      </c>
      <c r="AC863" s="2" t="s">
        <v>1457</v>
      </c>
      <c r="AD863" s="4">
        <v>150</v>
      </c>
      <c r="AE863" s="4">
        <v>290</v>
      </c>
      <c r="AF863" s="6">
        <v>67</v>
      </c>
      <c r="AG863" s="6">
        <v>50</v>
      </c>
      <c r="AH863" s="7">
        <v>1</v>
      </c>
      <c r="AI863" s="4"/>
      <c r="AJ863" s="4">
        <f>=ROUNDDOWN({0},0)</f>
      </c>
      <c r="AK863" s="5"/>
      <c r="AL863" s="2" t="s">
        <v>98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 t="s">
        <v>98</v>
      </c>
      <c r="BD863" s="8" t="s">
        <v>98</v>
      </c>
      <c r="BE863" s="4" t="s">
        <v>98</v>
      </c>
      <c r="BF863" s="8" t="s">
        <v>98</v>
      </c>
      <c r="BG863" s="7" t="s">
        <v>98</v>
      </c>
      <c r="BH863" s="7" t="s">
        <v>98</v>
      </c>
      <c r="BI863" s="7"/>
      <c r="BJ863" s="4">
        <v>3</v>
      </c>
      <c r="BK863" s="8">
        <v>573.57</v>
      </c>
      <c r="BL863" s="2" t="s">
        <v>1200</v>
      </c>
      <c r="BM863" s="7"/>
      <c r="BN863" s="7"/>
      <c r="BO863" s="4"/>
      <c r="BP863" s="8"/>
      <c r="BQ863" s="4"/>
      <c r="BR863" s="8"/>
      <c r="BS863" s="7"/>
      <c r="BT863" s="7"/>
      <c r="BU863" s="2" t="s">
        <v>1376</v>
      </c>
      <c r="BV863" s="2" t="s">
        <v>95</v>
      </c>
      <c r="BW863" s="2" t="s">
        <v>98</v>
      </c>
      <c r="BX863" s="2" t="s">
        <v>98</v>
      </c>
      <c r="BY863" s="2" t="s">
        <v>110</v>
      </c>
      <c r="BZ863" s="2" t="s">
        <v>98</v>
      </c>
    </row>
    <row r="864">
      <c r="A864" s="2" t="s">
        <v>4227</v>
      </c>
      <c r="B864" s="2" t="s">
        <v>1345</v>
      </c>
      <c r="C864" s="2" t="s">
        <v>1178</v>
      </c>
      <c r="D864" s="2" t="s">
        <v>1346</v>
      </c>
      <c r="E864" s="2" t="s">
        <v>1347</v>
      </c>
      <c r="F864" s="2" t="s">
        <v>4226</v>
      </c>
      <c r="G864" s="2" t="s">
        <v>4226</v>
      </c>
      <c r="H864" s="2" t="s">
        <v>4226</v>
      </c>
      <c r="I864" s="2" t="s">
        <v>1432</v>
      </c>
      <c r="J864" s="2" t="s">
        <v>93</v>
      </c>
      <c r="K864" s="2" t="s">
        <v>616</v>
      </c>
      <c r="L864" s="3">
        <v>175.75</v>
      </c>
      <c r="M864" s="3">
        <v>184.54</v>
      </c>
      <c r="N864" s="3">
        <v>369</v>
      </c>
      <c r="O864" s="2" t="s">
        <v>95</v>
      </c>
      <c r="P864" s="2" t="s">
        <v>295</v>
      </c>
      <c r="Q864" s="2" t="s">
        <v>97</v>
      </c>
      <c r="R864" s="2" t="s">
        <v>98</v>
      </c>
      <c r="S864" s="2" t="s">
        <v>98</v>
      </c>
      <c r="T864" s="2" t="s">
        <v>98</v>
      </c>
      <c r="U864" s="2" t="s">
        <v>117</v>
      </c>
      <c r="V864" s="2" t="s">
        <v>439</v>
      </c>
      <c r="W864" s="2" t="s">
        <v>1181</v>
      </c>
      <c r="X864" s="2" t="s">
        <v>297</v>
      </c>
      <c r="Y864" s="2" t="s">
        <v>4228</v>
      </c>
      <c r="Z864" s="4">
        <v>61</v>
      </c>
      <c r="AA864" s="4">
        <f>=ROUNDDOWN(20.3333333333333,0)</f>
      </c>
      <c r="AB864" s="5">
        <v>3</v>
      </c>
      <c r="AC864" s="2" t="s">
        <v>230</v>
      </c>
      <c r="AD864" s="4">
        <v>72</v>
      </c>
      <c r="AE864" s="4">
        <v>72</v>
      </c>
      <c r="AF864" s="6">
        <v>67</v>
      </c>
      <c r="AG864" s="6"/>
      <c r="AH864" s="7">
        <v>1</v>
      </c>
      <c r="AI864" s="4"/>
      <c r="AJ864" s="4">
        <f>=ROUNDDOWN({0},0)</f>
      </c>
      <c r="AK864" s="5"/>
      <c r="AL864" s="2" t="s">
        <v>98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 t="s">
        <v>98</v>
      </c>
      <c r="BD864" s="8" t="s">
        <v>98</v>
      </c>
      <c r="BE864" s="4" t="s">
        <v>98</v>
      </c>
      <c r="BF864" s="8" t="s">
        <v>98</v>
      </c>
      <c r="BG864" s="7" t="s">
        <v>98</v>
      </c>
      <c r="BH864" s="7" t="s">
        <v>98</v>
      </c>
      <c r="BI864" s="7"/>
      <c r="BJ864" s="4">
        <v>2</v>
      </c>
      <c r="BK864" s="8">
        <v>367.5</v>
      </c>
      <c r="BL864" s="2" t="s">
        <v>895</v>
      </c>
      <c r="BM864" s="7"/>
      <c r="BN864" s="7"/>
      <c r="BO864" s="4"/>
      <c r="BP864" s="8"/>
      <c r="BQ864" s="4"/>
      <c r="BR864" s="8"/>
      <c r="BS864" s="7"/>
      <c r="BT864" s="7"/>
      <c r="BU864" s="2" t="s">
        <v>1376</v>
      </c>
      <c r="BV864" s="2" t="s">
        <v>95</v>
      </c>
      <c r="BW864" s="2" t="s">
        <v>98</v>
      </c>
      <c r="BX864" s="2" t="s">
        <v>98</v>
      </c>
      <c r="BY864" s="2" t="s">
        <v>110</v>
      </c>
      <c r="BZ864" s="2" t="s">
        <v>98</v>
      </c>
    </row>
    <row r="865">
      <c r="A865" s="2" t="s">
        <v>4229</v>
      </c>
      <c r="B865" s="2" t="s">
        <v>1345</v>
      </c>
      <c r="C865" s="2" t="s">
        <v>1178</v>
      </c>
      <c r="D865" s="2" t="s">
        <v>1346</v>
      </c>
      <c r="E865" s="2" t="s">
        <v>1347</v>
      </c>
      <c r="F865" s="2" t="s">
        <v>4230</v>
      </c>
      <c r="G865" s="2" t="s">
        <v>4230</v>
      </c>
      <c r="H865" s="2" t="s">
        <v>4230</v>
      </c>
      <c r="I865" s="2" t="s">
        <v>1432</v>
      </c>
      <c r="J865" s="2" t="s">
        <v>93</v>
      </c>
      <c r="K865" s="2" t="s">
        <v>162</v>
      </c>
      <c r="L865" s="3">
        <v>205</v>
      </c>
      <c r="M865" s="3">
        <v>215.25</v>
      </c>
      <c r="N865" s="3">
        <v>429</v>
      </c>
      <c r="O865" s="2" t="s">
        <v>155</v>
      </c>
      <c r="P865" s="2" t="s">
        <v>115</v>
      </c>
      <c r="Q865" s="2" t="s">
        <v>97</v>
      </c>
      <c r="R865" s="2" t="s">
        <v>98</v>
      </c>
      <c r="S865" s="2" t="s">
        <v>98</v>
      </c>
      <c r="T865" s="2" t="s">
        <v>98</v>
      </c>
      <c r="U865" s="2" t="s">
        <v>98</v>
      </c>
      <c r="V865" s="2" t="s">
        <v>439</v>
      </c>
      <c r="W865" s="2" t="s">
        <v>103</v>
      </c>
      <c r="X865" s="2" t="s">
        <v>1215</v>
      </c>
      <c r="Y865" s="2" t="s">
        <v>4231</v>
      </c>
      <c r="Z865" s="4"/>
      <c r="AA865" s="4">
        <f>=ROUNDDOWN({0},0)</f>
      </c>
      <c r="AB865" s="5">
        <v>1</v>
      </c>
      <c r="AC865" s="2" t="s">
        <v>98</v>
      </c>
      <c r="AD865" s="4"/>
      <c r="AE865" s="4"/>
      <c r="AF865" s="6">
        <v>74</v>
      </c>
      <c r="AG865" s="6"/>
      <c r="AH865" s="7">
        <v>0</v>
      </c>
      <c r="AI865" s="4"/>
      <c r="AJ865" s="4">
        <f>=ROUNDDOWN({0},0)</f>
      </c>
      <c r="AK865" s="5"/>
      <c r="AL865" s="2" t="s">
        <v>98</v>
      </c>
      <c r="AM865" s="4"/>
      <c r="AN865" s="4"/>
      <c r="AO865" s="7">
        <v>0</v>
      </c>
      <c r="AP865" s="4"/>
      <c r="AQ865" s="8"/>
      <c r="AR865" s="4">
        <v>1</v>
      </c>
      <c r="AS865" s="8">
        <v>248.06</v>
      </c>
      <c r="AT865" s="7">
        <v>-1</v>
      </c>
      <c r="AU865" s="7">
        <v>-1</v>
      </c>
      <c r="AV865" s="4"/>
      <c r="AW865" s="8"/>
      <c r="AX865" s="4">
        <v>1</v>
      </c>
      <c r="AY865" s="8">
        <v>248.06</v>
      </c>
      <c r="AZ865" s="7">
        <v>-1</v>
      </c>
      <c r="BA865" s="7">
        <v>-1</v>
      </c>
      <c r="BB865" s="7"/>
      <c r="BC865" s="4"/>
      <c r="BD865" s="8"/>
      <c r="BE865" s="4">
        <v>1</v>
      </c>
      <c r="BF865" s="8">
        <v>248.06</v>
      </c>
      <c r="BG865" s="7">
        <v>-1</v>
      </c>
      <c r="BH865" s="7">
        <v>-1</v>
      </c>
      <c r="BI865" s="7"/>
      <c r="BJ865" s="4"/>
      <c r="BK865" s="8"/>
      <c r="BL865" s="2" t="s">
        <v>1387</v>
      </c>
      <c r="BM865" s="7"/>
      <c r="BN865" s="7"/>
      <c r="BO865" s="4"/>
      <c r="BP865" s="8"/>
      <c r="BQ865" s="4">
        <v>1</v>
      </c>
      <c r="BR865" s="8">
        <v>248.06</v>
      </c>
      <c r="BS865" s="7">
        <v>-1</v>
      </c>
      <c r="BT865" s="7">
        <v>-1</v>
      </c>
      <c r="BU865" s="2" t="s">
        <v>1376</v>
      </c>
      <c r="BV865" s="2" t="s">
        <v>1355</v>
      </c>
      <c r="BW865" s="2" t="s">
        <v>98</v>
      </c>
      <c r="BX865" s="2" t="s">
        <v>98</v>
      </c>
      <c r="BY865" s="2" t="s">
        <v>110</v>
      </c>
      <c r="BZ865" s="2" t="s">
        <v>98</v>
      </c>
    </row>
    <row r="866">
      <c r="A866" s="2" t="s">
        <v>4232</v>
      </c>
      <c r="B866" s="2" t="s">
        <v>1345</v>
      </c>
      <c r="C866" s="2" t="s">
        <v>1178</v>
      </c>
      <c r="D866" s="2" t="s">
        <v>1346</v>
      </c>
      <c r="E866" s="2" t="s">
        <v>1346</v>
      </c>
      <c r="F866" s="2" t="s">
        <v>4233</v>
      </c>
      <c r="G866" s="2" t="s">
        <v>4233</v>
      </c>
      <c r="H866" s="2" t="s">
        <v>4233</v>
      </c>
      <c r="I866" s="2" t="s">
        <v>1522</v>
      </c>
      <c r="J866" s="2" t="s">
        <v>93</v>
      </c>
      <c r="K866" s="2" t="s">
        <v>4234</v>
      </c>
      <c r="L866" s="3">
        <v>190</v>
      </c>
      <c r="M866" s="3">
        <v>199.5</v>
      </c>
      <c r="N866" s="3">
        <v>399</v>
      </c>
      <c r="O866" s="2" t="s">
        <v>155</v>
      </c>
      <c r="P866" s="2" t="s">
        <v>115</v>
      </c>
      <c r="Q866" s="2" t="s">
        <v>97</v>
      </c>
      <c r="R866" s="2" t="s">
        <v>98</v>
      </c>
      <c r="S866" s="2" t="s">
        <v>98</v>
      </c>
      <c r="T866" s="2" t="s">
        <v>98</v>
      </c>
      <c r="U866" s="2" t="s">
        <v>117</v>
      </c>
      <c r="V866" s="2" t="s">
        <v>296</v>
      </c>
      <c r="W866" s="2" t="s">
        <v>204</v>
      </c>
      <c r="X866" s="2" t="s">
        <v>1215</v>
      </c>
      <c r="Y866" s="2" t="s">
        <v>131</v>
      </c>
      <c r="Z866" s="4">
        <v>65</v>
      </c>
      <c r="AA866" s="4">
        <f>=ROUNDDOWN(81.25,0)</f>
      </c>
      <c r="AB866" s="5">
        <v>0.8</v>
      </c>
      <c r="AC866" s="2" t="s">
        <v>98</v>
      </c>
      <c r="AD866" s="4"/>
      <c r="AE866" s="4"/>
      <c r="AF866" s="6">
        <v>65</v>
      </c>
      <c r="AG866" s="6"/>
      <c r="AH866" s="7">
        <v>1</v>
      </c>
      <c r="AI866" s="4"/>
      <c r="AJ866" s="4">
        <f>=ROUNDDOWN({0},0)</f>
      </c>
      <c r="AK866" s="5"/>
      <c r="AL866" s="2" t="s">
        <v>98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/>
      <c r="AW866" s="8"/>
      <c r="AX866" s="4"/>
      <c r="AY866" s="8"/>
      <c r="AZ866" s="7"/>
      <c r="BA866" s="7"/>
      <c r="BB866" s="7"/>
      <c r="BC866" s="4"/>
      <c r="BD866" s="8"/>
      <c r="BE866" s="4"/>
      <c r="BF866" s="8"/>
      <c r="BG866" s="7"/>
      <c r="BH866" s="7"/>
      <c r="BI866" s="7"/>
      <c r="BJ866" s="4"/>
      <c r="BK866" s="8"/>
      <c r="BL866" s="2" t="s">
        <v>3886</v>
      </c>
      <c r="BM866" s="7"/>
      <c r="BN866" s="7"/>
      <c r="BO866" s="4"/>
      <c r="BP866" s="8"/>
      <c r="BQ866" s="4"/>
      <c r="BR866" s="8"/>
      <c r="BS866" s="7"/>
      <c r="BT866" s="7"/>
      <c r="BU866" s="2" t="s">
        <v>1376</v>
      </c>
      <c r="BV866" s="2" t="s">
        <v>95</v>
      </c>
      <c r="BW866" s="2" t="s">
        <v>98</v>
      </c>
      <c r="BX866" s="2" t="s">
        <v>98</v>
      </c>
      <c r="BY866" s="2" t="s">
        <v>110</v>
      </c>
      <c r="BZ866" s="2" t="s">
        <v>98</v>
      </c>
    </row>
    <row r="867">
      <c r="A867" s="2" t="s">
        <v>4235</v>
      </c>
      <c r="B867" s="2" t="s">
        <v>1345</v>
      </c>
      <c r="C867" s="2" t="s">
        <v>1178</v>
      </c>
      <c r="D867" s="2" t="s">
        <v>1346</v>
      </c>
      <c r="E867" s="2" t="s">
        <v>1346</v>
      </c>
      <c r="F867" s="2" t="s">
        <v>4236</v>
      </c>
      <c r="G867" s="2" t="s">
        <v>4236</v>
      </c>
      <c r="H867" s="2" t="s">
        <v>4236</v>
      </c>
      <c r="I867" s="2" t="s">
        <v>1522</v>
      </c>
      <c r="J867" s="2" t="s">
        <v>93</v>
      </c>
      <c r="K867" s="2" t="s">
        <v>616</v>
      </c>
      <c r="L867" s="3">
        <v>210</v>
      </c>
      <c r="M867" s="3">
        <v>220.5</v>
      </c>
      <c r="N867" s="3">
        <v>439</v>
      </c>
      <c r="O867" s="2" t="s">
        <v>155</v>
      </c>
      <c r="P867" s="2" t="s">
        <v>115</v>
      </c>
      <c r="Q867" s="2" t="s">
        <v>97</v>
      </c>
      <c r="R867" s="2" t="s">
        <v>98</v>
      </c>
      <c r="S867" s="2" t="s">
        <v>98</v>
      </c>
      <c r="T867" s="2" t="s">
        <v>98</v>
      </c>
      <c r="U867" s="2" t="s">
        <v>117</v>
      </c>
      <c r="V867" s="2" t="s">
        <v>296</v>
      </c>
      <c r="W867" s="2" t="s">
        <v>102</v>
      </c>
      <c r="X867" s="2" t="s">
        <v>1181</v>
      </c>
      <c r="Y867" s="2" t="s">
        <v>131</v>
      </c>
      <c r="Z867" s="4">
        <v>74</v>
      </c>
      <c r="AA867" s="4">
        <f>=ROUNDDOWN(185,0)</f>
      </c>
      <c r="AB867" s="5">
        <v>0.4</v>
      </c>
      <c r="AC867" s="2" t="s">
        <v>98</v>
      </c>
      <c r="AD867" s="4"/>
      <c r="AE867" s="4"/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98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/>
      <c r="AW867" s="8"/>
      <c r="AX867" s="4"/>
      <c r="AY867" s="8"/>
      <c r="AZ867" s="7"/>
      <c r="BA867" s="7"/>
      <c r="BB867" s="7"/>
      <c r="BC867" s="4"/>
      <c r="BD867" s="8"/>
      <c r="BE867" s="4"/>
      <c r="BF867" s="8"/>
      <c r="BG867" s="7"/>
      <c r="BH867" s="7"/>
      <c r="BI867" s="7"/>
      <c r="BJ867" s="4"/>
      <c r="BK867" s="8"/>
      <c r="BL867" s="2" t="s">
        <v>895</v>
      </c>
      <c r="BM867" s="7"/>
      <c r="BN867" s="7"/>
      <c r="BO867" s="4"/>
      <c r="BP867" s="8"/>
      <c r="BQ867" s="4"/>
      <c r="BR867" s="8"/>
      <c r="BS867" s="7"/>
      <c r="BT867" s="7"/>
      <c r="BU867" s="2" t="s">
        <v>1376</v>
      </c>
      <c r="BV867" s="2" t="s">
        <v>95</v>
      </c>
      <c r="BW867" s="2" t="s">
        <v>98</v>
      </c>
      <c r="BX867" s="2" t="s">
        <v>98</v>
      </c>
      <c r="BY867" s="2" t="s">
        <v>110</v>
      </c>
      <c r="BZ867" s="2" t="s">
        <v>98</v>
      </c>
    </row>
    <row r="868">
      <c r="A868" s="2" t="s">
        <v>4237</v>
      </c>
      <c r="B868" s="2" t="s">
        <v>1345</v>
      </c>
      <c r="C868" s="2" t="s">
        <v>1178</v>
      </c>
      <c r="D868" s="2" t="s">
        <v>1346</v>
      </c>
      <c r="E868" s="2" t="s">
        <v>1876</v>
      </c>
      <c r="F868" s="2" t="s">
        <v>4238</v>
      </c>
      <c r="G868" s="2" t="s">
        <v>4238</v>
      </c>
      <c r="H868" s="2" t="s">
        <v>4238</v>
      </c>
      <c r="I868" s="2" t="s">
        <v>1432</v>
      </c>
      <c r="J868" s="2" t="s">
        <v>93</v>
      </c>
      <c r="K868" s="2" t="s">
        <v>127</v>
      </c>
      <c r="L868" s="3">
        <v>238</v>
      </c>
      <c r="M868" s="3">
        <v>249.9</v>
      </c>
      <c r="N868" s="3">
        <v>499</v>
      </c>
      <c r="O868" s="2" t="s">
        <v>95</v>
      </c>
      <c r="P868" s="2" t="s">
        <v>295</v>
      </c>
      <c r="Q868" s="2" t="s">
        <v>97</v>
      </c>
      <c r="R868" s="2" t="s">
        <v>98</v>
      </c>
      <c r="S868" s="2" t="s">
        <v>98</v>
      </c>
      <c r="T868" s="2" t="s">
        <v>98</v>
      </c>
      <c r="U868" s="2" t="s">
        <v>117</v>
      </c>
      <c r="V868" s="2" t="s">
        <v>296</v>
      </c>
      <c r="W868" s="2" t="s">
        <v>4239</v>
      </c>
      <c r="X868" s="2" t="s">
        <v>314</v>
      </c>
      <c r="Y868" s="2" t="s">
        <v>1062</v>
      </c>
      <c r="Z868" s="4">
        <v>61</v>
      </c>
      <c r="AA868" s="4">
        <f>=ROUNDDOWN(30.5,0)</f>
      </c>
      <c r="AB868" s="5">
        <v>2</v>
      </c>
      <c r="AC868" s="2" t="s">
        <v>98</v>
      </c>
      <c r="AD868" s="4"/>
      <c r="AE868" s="4"/>
      <c r="AF868" s="6">
        <v>65</v>
      </c>
      <c r="AG868" s="6"/>
      <c r="AH868" s="7">
        <v>1</v>
      </c>
      <c r="AI868" s="4"/>
      <c r="AJ868" s="4">
        <f>=ROUNDDOWN({0},0)</f>
      </c>
      <c r="AK868" s="5"/>
      <c r="AL868" s="2" t="s">
        <v>98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/>
      <c r="AW868" s="8"/>
      <c r="AX868" s="4"/>
      <c r="AY868" s="8"/>
      <c r="AZ868" s="7"/>
      <c r="BA868" s="7"/>
      <c r="BB868" s="7"/>
      <c r="BC868" s="4"/>
      <c r="BD868" s="8"/>
      <c r="BE868" s="4"/>
      <c r="BF868" s="8"/>
      <c r="BG868" s="7"/>
      <c r="BH868" s="7"/>
      <c r="BI868" s="7"/>
      <c r="BJ868" s="4">
        <v>3</v>
      </c>
      <c r="BK868" s="8">
        <v>807.18</v>
      </c>
      <c r="BL868" s="2" t="s">
        <v>1379</v>
      </c>
      <c r="BM868" s="7"/>
      <c r="BN868" s="7"/>
      <c r="BO868" s="4"/>
      <c r="BP868" s="8"/>
      <c r="BQ868" s="4"/>
      <c r="BR868" s="8"/>
      <c r="BS868" s="7"/>
      <c r="BT868" s="7"/>
      <c r="BU868" s="2" t="s">
        <v>1376</v>
      </c>
      <c r="BV868" s="2" t="s">
        <v>95</v>
      </c>
      <c r="BW868" s="2" t="s">
        <v>98</v>
      </c>
      <c r="BX868" s="2" t="s">
        <v>98</v>
      </c>
      <c r="BY868" s="2" t="s">
        <v>110</v>
      </c>
      <c r="BZ868" s="2" t="s">
        <v>98</v>
      </c>
    </row>
    <row r="869">
      <c r="A869" s="2" t="s">
        <v>4240</v>
      </c>
      <c r="B869" s="2" t="s">
        <v>1345</v>
      </c>
      <c r="C869" s="2" t="s">
        <v>1178</v>
      </c>
      <c r="D869" s="2" t="s">
        <v>1346</v>
      </c>
      <c r="E869" s="2" t="s">
        <v>1893</v>
      </c>
      <c r="F869" s="2" t="s">
        <v>4241</v>
      </c>
      <c r="G869" s="2" t="s">
        <v>4241</v>
      </c>
      <c r="H869" s="2" t="s">
        <v>4241</v>
      </c>
      <c r="I869" s="2" t="s">
        <v>4242</v>
      </c>
      <c r="J869" s="2" t="s">
        <v>93</v>
      </c>
      <c r="K869" s="2" t="s">
        <v>1439</v>
      </c>
      <c r="L869" s="3">
        <v>215</v>
      </c>
      <c r="M869" s="3">
        <v>225.75</v>
      </c>
      <c r="N869" s="3">
        <v>449</v>
      </c>
      <c r="O869" s="2" t="s">
        <v>95</v>
      </c>
      <c r="P869" s="2" t="s">
        <v>295</v>
      </c>
      <c r="Q869" s="2" t="s">
        <v>97</v>
      </c>
      <c r="R869" s="2" t="s">
        <v>98</v>
      </c>
      <c r="S869" s="2" t="s">
        <v>98</v>
      </c>
      <c r="T869" s="2" t="s">
        <v>98</v>
      </c>
      <c r="U869" s="2" t="s">
        <v>117</v>
      </c>
      <c r="V869" s="2" t="s">
        <v>296</v>
      </c>
      <c r="W869" s="2" t="s">
        <v>4243</v>
      </c>
      <c r="X869" s="2" t="s">
        <v>1215</v>
      </c>
      <c r="Y869" s="2" t="s">
        <v>848</v>
      </c>
      <c r="Z869" s="4">
        <v>87</v>
      </c>
      <c r="AA869" s="4">
        <f>=ROUNDDOWN(79.0909090909091,0)</f>
      </c>
      <c r="AB869" s="5">
        <v>1.1</v>
      </c>
      <c r="AC869" s="2" t="s">
        <v>98</v>
      </c>
      <c r="AD869" s="4"/>
      <c r="AE869" s="4"/>
      <c r="AF869" s="6">
        <v>65</v>
      </c>
      <c r="AG869" s="6"/>
      <c r="AH869" s="7">
        <v>1</v>
      </c>
      <c r="AI869" s="4"/>
      <c r="AJ869" s="4">
        <f>=ROUNDDOWN({0},0)</f>
      </c>
      <c r="AK869" s="5"/>
      <c r="AL869" s="2" t="s">
        <v>98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/>
      <c r="AW869" s="8"/>
      <c r="AX869" s="4"/>
      <c r="AY869" s="8"/>
      <c r="AZ869" s="7"/>
      <c r="BA869" s="7"/>
      <c r="BB869" s="7"/>
      <c r="BC869" s="4"/>
      <c r="BD869" s="8"/>
      <c r="BE869" s="4"/>
      <c r="BF869" s="8"/>
      <c r="BG869" s="7"/>
      <c r="BH869" s="7"/>
      <c r="BI869" s="7"/>
      <c r="BJ869" s="4">
        <v>2</v>
      </c>
      <c r="BK869" s="8">
        <v>465.04</v>
      </c>
      <c r="BL869" s="2" t="s">
        <v>895</v>
      </c>
      <c r="BM869" s="7"/>
      <c r="BN869" s="7"/>
      <c r="BO869" s="4"/>
      <c r="BP869" s="8"/>
      <c r="BQ869" s="4"/>
      <c r="BR869" s="8"/>
      <c r="BS869" s="7"/>
      <c r="BT869" s="7"/>
      <c r="BU869" s="2" t="s">
        <v>1376</v>
      </c>
      <c r="BV869" s="2" t="s">
        <v>95</v>
      </c>
      <c r="BW869" s="2" t="s">
        <v>98</v>
      </c>
      <c r="BX869" s="2" t="s">
        <v>98</v>
      </c>
      <c r="BY869" s="2" t="s">
        <v>110</v>
      </c>
      <c r="BZ869" s="2" t="s">
        <v>98</v>
      </c>
    </row>
    <row r="870">
      <c r="A870" s="2" t="s">
        <v>4244</v>
      </c>
      <c r="B870" s="2" t="s">
        <v>1345</v>
      </c>
      <c r="C870" s="2" t="s">
        <v>1178</v>
      </c>
      <c r="D870" s="2" t="s">
        <v>1346</v>
      </c>
      <c r="E870" s="2" t="s">
        <v>1893</v>
      </c>
      <c r="F870" s="2" t="s">
        <v>4245</v>
      </c>
      <c r="G870" s="2" t="s">
        <v>4245</v>
      </c>
      <c r="H870" s="2" t="s">
        <v>4245</v>
      </c>
      <c r="I870" s="2" t="s">
        <v>1432</v>
      </c>
      <c r="J870" s="2" t="s">
        <v>93</v>
      </c>
      <c r="K870" s="2" t="s">
        <v>2114</v>
      </c>
      <c r="L870" s="3">
        <v>250</v>
      </c>
      <c r="M870" s="3">
        <v>262.5</v>
      </c>
      <c r="N870" s="3">
        <v>519</v>
      </c>
      <c r="O870" s="2" t="s">
        <v>155</v>
      </c>
      <c r="P870" s="2" t="s">
        <v>115</v>
      </c>
      <c r="Q870" s="2" t="s">
        <v>97</v>
      </c>
      <c r="R870" s="2" t="s">
        <v>98</v>
      </c>
      <c r="S870" s="2" t="s">
        <v>98</v>
      </c>
      <c r="T870" s="2" t="s">
        <v>98</v>
      </c>
      <c r="U870" s="2" t="s">
        <v>98</v>
      </c>
      <c r="V870" s="2" t="s">
        <v>439</v>
      </c>
      <c r="W870" s="2" t="s">
        <v>102</v>
      </c>
      <c r="X870" s="2" t="s">
        <v>1181</v>
      </c>
      <c r="Y870" s="2" t="s">
        <v>4246</v>
      </c>
      <c r="Z870" s="4">
        <v>50</v>
      </c>
      <c r="AA870" s="4">
        <f>=ROUNDDOWN(125,0)</f>
      </c>
      <c r="AB870" s="5">
        <v>0.4</v>
      </c>
      <c r="AC870" s="2" t="s">
        <v>98</v>
      </c>
      <c r="AD870" s="4"/>
      <c r="AE870" s="4"/>
      <c r="AF870" s="6">
        <v>67</v>
      </c>
      <c r="AG870" s="6"/>
      <c r="AH870" s="7">
        <v>1</v>
      </c>
      <c r="AI870" s="4"/>
      <c r="AJ870" s="4">
        <f>=ROUNDDOWN({0},0)</f>
      </c>
      <c r="AK870" s="5"/>
      <c r="AL870" s="2" t="s">
        <v>98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/>
      <c r="AW870" s="8"/>
      <c r="AX870" s="4"/>
      <c r="AY870" s="8"/>
      <c r="AZ870" s="7"/>
      <c r="BA870" s="7"/>
      <c r="BB870" s="7"/>
      <c r="BC870" s="4"/>
      <c r="BD870" s="8"/>
      <c r="BE870" s="4"/>
      <c r="BF870" s="8"/>
      <c r="BG870" s="7"/>
      <c r="BH870" s="7"/>
      <c r="BI870" s="7"/>
      <c r="BJ870" s="4"/>
      <c r="BK870" s="8"/>
      <c r="BL870" s="2" t="s">
        <v>98</v>
      </c>
      <c r="BM870" s="7"/>
      <c r="BN870" s="7"/>
      <c r="BO870" s="4"/>
      <c r="BP870" s="8"/>
      <c r="BQ870" s="4"/>
      <c r="BR870" s="8"/>
      <c r="BS870" s="7"/>
      <c r="BT870" s="7"/>
      <c r="BU870" s="2" t="s">
        <v>1376</v>
      </c>
      <c r="BV870" s="2" t="s">
        <v>95</v>
      </c>
      <c r="BW870" s="2" t="s">
        <v>98</v>
      </c>
      <c r="BX870" s="2" t="s">
        <v>98</v>
      </c>
      <c r="BY870" s="2" t="s">
        <v>110</v>
      </c>
      <c r="BZ870" s="2" t="s">
        <v>98</v>
      </c>
    </row>
    <row r="871">
      <c r="A871" s="2" t="s">
        <v>4247</v>
      </c>
      <c r="B871" s="2" t="s">
        <v>1345</v>
      </c>
      <c r="C871" s="2" t="s">
        <v>1178</v>
      </c>
      <c r="D871" s="2" t="s">
        <v>1346</v>
      </c>
      <c r="E871" s="2" t="s">
        <v>1934</v>
      </c>
      <c r="F871" s="2" t="s">
        <v>4248</v>
      </c>
      <c r="G871" s="2" t="s">
        <v>4248</v>
      </c>
      <c r="H871" s="2" t="s">
        <v>4248</v>
      </c>
      <c r="I871" s="2" t="s">
        <v>1907</v>
      </c>
      <c r="J871" s="2" t="s">
        <v>93</v>
      </c>
      <c r="K871" s="2" t="s">
        <v>1915</v>
      </c>
      <c r="L871" s="3">
        <v>214.2</v>
      </c>
      <c r="M871" s="3">
        <v>224.91</v>
      </c>
      <c r="N871" s="3">
        <v>449</v>
      </c>
      <c r="O871" s="2" t="s">
        <v>155</v>
      </c>
      <c r="P871" s="2" t="s">
        <v>115</v>
      </c>
      <c r="Q871" s="2" t="s">
        <v>97</v>
      </c>
      <c r="R871" s="2" t="s">
        <v>98</v>
      </c>
      <c r="S871" s="2" t="s">
        <v>98</v>
      </c>
      <c r="T871" s="2" t="s">
        <v>98</v>
      </c>
      <c r="U871" s="2" t="s">
        <v>117</v>
      </c>
      <c r="V871" s="2" t="s">
        <v>296</v>
      </c>
      <c r="W871" s="2" t="s">
        <v>103</v>
      </c>
      <c r="X871" s="2" t="s">
        <v>1215</v>
      </c>
      <c r="Y871" s="2" t="s">
        <v>4249</v>
      </c>
      <c r="Z871" s="4">
        <v>114</v>
      </c>
      <c r="AA871" s="4">
        <f>=ROUNDDOWN(114,0)</f>
      </c>
      <c r="AB871" s="5">
        <v>1</v>
      </c>
      <c r="AC871" s="2" t="s">
        <v>98</v>
      </c>
      <c r="AD871" s="4"/>
      <c r="AE871" s="4"/>
      <c r="AF871" s="6">
        <v>74</v>
      </c>
      <c r="AG871" s="6"/>
      <c r="AH871" s="7">
        <v>1</v>
      </c>
      <c r="AI871" s="4"/>
      <c r="AJ871" s="4">
        <f>=ROUNDDOWN({0},0)</f>
      </c>
      <c r="AK871" s="5"/>
      <c r="AL871" s="2" t="s">
        <v>98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/>
      <c r="BD871" s="8"/>
      <c r="BE871" s="4"/>
      <c r="BF871" s="8"/>
      <c r="BG871" s="7"/>
      <c r="BH871" s="7"/>
      <c r="BI871" s="7"/>
      <c r="BJ871" s="4"/>
      <c r="BK871" s="8"/>
      <c r="BL871" s="2" t="s">
        <v>98</v>
      </c>
      <c r="BM871" s="7"/>
      <c r="BN871" s="7"/>
      <c r="BO871" s="4"/>
      <c r="BP871" s="8"/>
      <c r="BQ871" s="4"/>
      <c r="BR871" s="8"/>
      <c r="BS871" s="7"/>
      <c r="BT871" s="7"/>
      <c r="BU871" s="2" t="s">
        <v>1376</v>
      </c>
      <c r="BV871" s="2" t="s">
        <v>95</v>
      </c>
      <c r="BW871" s="2" t="s">
        <v>98</v>
      </c>
      <c r="BX871" s="2" t="s">
        <v>98</v>
      </c>
      <c r="BY871" s="2" t="s">
        <v>110</v>
      </c>
      <c r="BZ871" s="2" t="s">
        <v>98</v>
      </c>
    </row>
    <row r="872">
      <c r="A872" s="2" t="s">
        <v>4250</v>
      </c>
      <c r="B872" s="2" t="s">
        <v>1345</v>
      </c>
      <c r="C872" s="2" t="s">
        <v>1178</v>
      </c>
      <c r="D872" s="2" t="s">
        <v>1346</v>
      </c>
      <c r="E872" s="2" t="s">
        <v>1934</v>
      </c>
      <c r="F872" s="2" t="s">
        <v>4251</v>
      </c>
      <c r="G872" s="2" t="s">
        <v>4251</v>
      </c>
      <c r="H872" s="2" t="s">
        <v>4251</v>
      </c>
      <c r="I872" s="2" t="s">
        <v>4252</v>
      </c>
      <c r="J872" s="2" t="s">
        <v>93</v>
      </c>
      <c r="K872" s="2" t="s">
        <v>616</v>
      </c>
      <c r="L872" s="3">
        <v>174.15</v>
      </c>
      <c r="M872" s="3">
        <v>182.86</v>
      </c>
      <c r="N872" s="3">
        <v>369</v>
      </c>
      <c r="O872" s="2" t="s">
        <v>95</v>
      </c>
      <c r="P872" s="2" t="s">
        <v>115</v>
      </c>
      <c r="Q872" s="2" t="s">
        <v>97</v>
      </c>
      <c r="R872" s="2" t="s">
        <v>98</v>
      </c>
      <c r="S872" s="2" t="s">
        <v>98</v>
      </c>
      <c r="T872" s="2" t="s">
        <v>98</v>
      </c>
      <c r="U872" s="2" t="s">
        <v>117</v>
      </c>
      <c r="V872" s="2" t="s">
        <v>296</v>
      </c>
      <c r="W872" s="2" t="s">
        <v>98</v>
      </c>
      <c r="X872" s="2" t="s">
        <v>1215</v>
      </c>
      <c r="Y872" s="2" t="s">
        <v>441</v>
      </c>
      <c r="Z872" s="4">
        <v>41</v>
      </c>
      <c r="AA872" s="4">
        <f>=ROUNDDOWN(11.3888888888889,0)</f>
      </c>
      <c r="AB872" s="5">
        <v>3.6</v>
      </c>
      <c r="AC872" s="2" t="s">
        <v>98</v>
      </c>
      <c r="AD872" s="4"/>
      <c r="AE872" s="4"/>
      <c r="AF872" s="6">
        <v>74</v>
      </c>
      <c r="AG872" s="6"/>
      <c r="AH872" s="7">
        <v>1</v>
      </c>
      <c r="AI872" s="4"/>
      <c r="AJ872" s="4">
        <f>=ROUNDDOWN({0},0)</f>
      </c>
      <c r="AK872" s="5"/>
      <c r="AL872" s="2" t="s">
        <v>98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/>
      <c r="AW872" s="8"/>
      <c r="AX872" s="4"/>
      <c r="AY872" s="8"/>
      <c r="AZ872" s="7"/>
      <c r="BA872" s="7"/>
      <c r="BB872" s="7"/>
      <c r="BC872" s="4"/>
      <c r="BD872" s="8"/>
      <c r="BE872" s="4"/>
      <c r="BF872" s="8"/>
      <c r="BG872" s="7"/>
      <c r="BH872" s="7"/>
      <c r="BI872" s="7"/>
      <c r="BJ872" s="4">
        <v>3</v>
      </c>
      <c r="BK872" s="8">
        <v>685.78</v>
      </c>
      <c r="BL872" s="2" t="s">
        <v>2215</v>
      </c>
      <c r="BM872" s="7"/>
      <c r="BN872" s="7"/>
      <c r="BO872" s="4"/>
      <c r="BP872" s="8"/>
      <c r="BQ872" s="4"/>
      <c r="BR872" s="8"/>
      <c r="BS872" s="7"/>
      <c r="BT872" s="7"/>
      <c r="BU872" s="2" t="s">
        <v>1376</v>
      </c>
      <c r="BV872" s="2" t="s">
        <v>95</v>
      </c>
      <c r="BW872" s="2" t="s">
        <v>98</v>
      </c>
      <c r="BX872" s="2" t="s">
        <v>98</v>
      </c>
      <c r="BY872" s="2" t="s">
        <v>110</v>
      </c>
      <c r="BZ872" s="2" t="s">
        <v>98</v>
      </c>
    </row>
    <row r="873">
      <c r="A873" s="2" t="s">
        <v>4253</v>
      </c>
      <c r="B873" s="2" t="s">
        <v>1345</v>
      </c>
      <c r="C873" s="2" t="s">
        <v>1178</v>
      </c>
      <c r="D873" s="2" t="s">
        <v>1346</v>
      </c>
      <c r="E873" s="2" t="s">
        <v>1934</v>
      </c>
      <c r="F873" s="2" t="s">
        <v>4254</v>
      </c>
      <c r="G873" s="2" t="s">
        <v>4254</v>
      </c>
      <c r="H873" s="2" t="s">
        <v>4254</v>
      </c>
      <c r="I873" s="2" t="s">
        <v>4255</v>
      </c>
      <c r="J873" s="2" t="s">
        <v>93</v>
      </c>
      <c r="K873" s="2" t="s">
        <v>2818</v>
      </c>
      <c r="L873" s="3">
        <v>260</v>
      </c>
      <c r="M873" s="3">
        <v>273</v>
      </c>
      <c r="N873" s="3">
        <v>549</v>
      </c>
      <c r="O873" s="2" t="s">
        <v>95</v>
      </c>
      <c r="P873" s="2" t="s">
        <v>411</v>
      </c>
      <c r="Q873" s="2" t="s">
        <v>97</v>
      </c>
      <c r="R873" s="2" t="s">
        <v>98</v>
      </c>
      <c r="S873" s="2" t="s">
        <v>98</v>
      </c>
      <c r="T873" s="2" t="s">
        <v>98</v>
      </c>
      <c r="U873" s="2" t="s">
        <v>117</v>
      </c>
      <c r="V873" s="2" t="s">
        <v>296</v>
      </c>
      <c r="W873" s="2" t="s">
        <v>314</v>
      </c>
      <c r="X873" s="2" t="s">
        <v>1186</v>
      </c>
      <c r="Y873" s="2" t="s">
        <v>98</v>
      </c>
      <c r="Z873" s="4"/>
      <c r="AA873" s="4">
        <f>=ROUNDDOWN({0},0)</f>
      </c>
      <c r="AB873" s="5"/>
      <c r="AC873" s="2" t="s">
        <v>222</v>
      </c>
      <c r="AD873" s="4">
        <v>100</v>
      </c>
      <c r="AE873" s="4">
        <v>100</v>
      </c>
      <c r="AF873" s="6">
        <v>65</v>
      </c>
      <c r="AG873" s="6"/>
      <c r="AH873" s="7">
        <v>0</v>
      </c>
      <c r="AI873" s="4"/>
      <c r="AJ873" s="4">
        <f>=ROUNDDOWN({0},0)</f>
      </c>
      <c r="AK873" s="5"/>
      <c r="AL873" s="2" t="s">
        <v>98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/>
      <c r="AW873" s="8"/>
      <c r="AX873" s="4"/>
      <c r="AY873" s="8"/>
      <c r="AZ873" s="7"/>
      <c r="BA873" s="7"/>
      <c r="BB873" s="7"/>
      <c r="BC873" s="4"/>
      <c r="BD873" s="8"/>
      <c r="BE873" s="4"/>
      <c r="BF873" s="8"/>
      <c r="BG873" s="7"/>
      <c r="BH873" s="7"/>
      <c r="BI873" s="7"/>
      <c r="BJ873" s="4"/>
      <c r="BK873" s="8"/>
      <c r="BL873" s="2" t="s">
        <v>98</v>
      </c>
      <c r="BM873" s="7"/>
      <c r="BN873" s="7"/>
      <c r="BO873" s="4"/>
      <c r="BP873" s="8"/>
      <c r="BQ873" s="4"/>
      <c r="BR873" s="8"/>
      <c r="BS873" s="7"/>
      <c r="BT873" s="7"/>
      <c r="BU873" s="2" t="s">
        <v>1376</v>
      </c>
      <c r="BV873" s="2" t="s">
        <v>95</v>
      </c>
      <c r="BW873" s="2" t="s">
        <v>98</v>
      </c>
      <c r="BX873" s="2" t="s">
        <v>98</v>
      </c>
      <c r="BY873" s="2" t="s">
        <v>110</v>
      </c>
      <c r="BZ873" s="2" t="s">
        <v>98</v>
      </c>
    </row>
    <row r="874">
      <c r="A874" s="2" t="s">
        <v>4256</v>
      </c>
      <c r="B874" s="2" t="s">
        <v>1345</v>
      </c>
      <c r="C874" s="2" t="s">
        <v>1178</v>
      </c>
      <c r="D874" s="2" t="s">
        <v>1346</v>
      </c>
      <c r="E874" s="2" t="s">
        <v>1934</v>
      </c>
      <c r="F874" s="2" t="s">
        <v>4257</v>
      </c>
      <c r="G874" s="2" t="s">
        <v>4257</v>
      </c>
      <c r="H874" s="2" t="s">
        <v>4257</v>
      </c>
      <c r="I874" s="2" t="s">
        <v>1630</v>
      </c>
      <c r="J874" s="2" t="s">
        <v>93</v>
      </c>
      <c r="K874" s="2" t="s">
        <v>4258</v>
      </c>
      <c r="L874" s="3">
        <v>215</v>
      </c>
      <c r="M874" s="3">
        <v>225.75</v>
      </c>
      <c r="N874" s="3">
        <v>449</v>
      </c>
      <c r="O874" s="2" t="s">
        <v>95</v>
      </c>
      <c r="P874" s="2" t="s">
        <v>411</v>
      </c>
      <c r="Q874" s="2" t="s">
        <v>97</v>
      </c>
      <c r="R874" s="2" t="s">
        <v>98</v>
      </c>
      <c r="S874" s="2" t="s">
        <v>98</v>
      </c>
      <c r="T874" s="2" t="s">
        <v>98</v>
      </c>
      <c r="U874" s="2" t="s">
        <v>117</v>
      </c>
      <c r="V874" s="2" t="s">
        <v>296</v>
      </c>
      <c r="W874" s="2" t="s">
        <v>314</v>
      </c>
      <c r="X874" s="2" t="s">
        <v>1186</v>
      </c>
      <c r="Y874" s="2" t="s">
        <v>98</v>
      </c>
      <c r="Z874" s="4"/>
      <c r="AA874" s="4">
        <f>=ROUNDDOWN({0},0)</f>
      </c>
      <c r="AB874" s="5"/>
      <c r="AC874" s="2" t="s">
        <v>2575</v>
      </c>
      <c r="AD874" s="4">
        <v>1</v>
      </c>
      <c r="AE874" s="4">
        <v>108</v>
      </c>
      <c r="AF874" s="6">
        <v>74</v>
      </c>
      <c r="AG874" s="6"/>
      <c r="AH874" s="7">
        <v>0</v>
      </c>
      <c r="AI874" s="4"/>
      <c r="AJ874" s="4">
        <f>=ROUNDDOWN({0},0)</f>
      </c>
      <c r="AK874" s="5"/>
      <c r="AL874" s="2" t="s">
        <v>98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/>
      <c r="AW874" s="8"/>
      <c r="AX874" s="4"/>
      <c r="AY874" s="8"/>
      <c r="AZ874" s="7"/>
      <c r="BA874" s="7"/>
      <c r="BB874" s="7"/>
      <c r="BC874" s="4"/>
      <c r="BD874" s="8"/>
      <c r="BE874" s="4"/>
      <c r="BF874" s="8"/>
      <c r="BG874" s="7"/>
      <c r="BH874" s="7"/>
      <c r="BI874" s="7"/>
      <c r="BJ874" s="4"/>
      <c r="BK874" s="8"/>
      <c r="BL874" s="2" t="s">
        <v>98</v>
      </c>
      <c r="BM874" s="7"/>
      <c r="BN874" s="7"/>
      <c r="BO874" s="4"/>
      <c r="BP874" s="8"/>
      <c r="BQ874" s="4"/>
      <c r="BR874" s="8"/>
      <c r="BS874" s="7"/>
      <c r="BT874" s="7"/>
      <c r="BU874" s="2" t="s">
        <v>1376</v>
      </c>
      <c r="BV874" s="2" t="s">
        <v>95</v>
      </c>
      <c r="BW874" s="2" t="s">
        <v>98</v>
      </c>
      <c r="BX874" s="2" t="s">
        <v>98</v>
      </c>
      <c r="BY874" s="2" t="s">
        <v>110</v>
      </c>
      <c r="BZ874" s="2" t="s">
        <v>98</v>
      </c>
    </row>
    <row r="875">
      <c r="A875" s="2" t="s">
        <v>4259</v>
      </c>
      <c r="B875" s="2" t="s">
        <v>1345</v>
      </c>
      <c r="C875" s="2" t="s">
        <v>1178</v>
      </c>
      <c r="D875" s="2" t="s">
        <v>1346</v>
      </c>
      <c r="E875" s="2" t="s">
        <v>1934</v>
      </c>
      <c r="F875" s="2" t="s">
        <v>4260</v>
      </c>
      <c r="G875" s="2" t="s">
        <v>4260</v>
      </c>
      <c r="H875" s="2" t="s">
        <v>4260</v>
      </c>
      <c r="I875" s="2" t="s">
        <v>1907</v>
      </c>
      <c r="J875" s="2" t="s">
        <v>93</v>
      </c>
      <c r="K875" s="2" t="s">
        <v>1981</v>
      </c>
      <c r="L875" s="3">
        <v>162.45</v>
      </c>
      <c r="M875" s="3">
        <v>170.57</v>
      </c>
      <c r="N875" s="3">
        <v>339</v>
      </c>
      <c r="O875" s="2" t="s">
        <v>155</v>
      </c>
      <c r="P875" s="2" t="s">
        <v>115</v>
      </c>
      <c r="Q875" s="2" t="s">
        <v>97</v>
      </c>
      <c r="R875" s="2" t="s">
        <v>98</v>
      </c>
      <c r="S875" s="2" t="s">
        <v>98</v>
      </c>
      <c r="T875" s="2" t="s">
        <v>98</v>
      </c>
      <c r="U875" s="2" t="s">
        <v>117</v>
      </c>
      <c r="V875" s="2" t="s">
        <v>439</v>
      </c>
      <c r="W875" s="2" t="s">
        <v>102</v>
      </c>
      <c r="X875" s="2" t="s">
        <v>1181</v>
      </c>
      <c r="Y875" s="2" t="s">
        <v>2070</v>
      </c>
      <c r="Z875" s="4">
        <v>84</v>
      </c>
      <c r="AA875" s="4">
        <f>=ROUNDDOWN({0},0)</f>
      </c>
      <c r="AB875" s="5"/>
      <c r="AC875" s="2" t="s">
        <v>98</v>
      </c>
      <c r="AD875" s="4"/>
      <c r="AE875" s="4"/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98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/>
      <c r="AW875" s="8"/>
      <c r="AX875" s="4"/>
      <c r="AY875" s="8"/>
      <c r="AZ875" s="7"/>
      <c r="BA875" s="7"/>
      <c r="BB875" s="7"/>
      <c r="BC875" s="4"/>
      <c r="BD875" s="8"/>
      <c r="BE875" s="4"/>
      <c r="BF875" s="8"/>
      <c r="BG875" s="7"/>
      <c r="BH875" s="7"/>
      <c r="BI875" s="7"/>
      <c r="BJ875" s="4"/>
      <c r="BK875" s="8"/>
      <c r="BL875" s="2" t="s">
        <v>98</v>
      </c>
      <c r="BM875" s="7"/>
      <c r="BN875" s="7"/>
      <c r="BO875" s="4"/>
      <c r="BP875" s="8"/>
      <c r="BQ875" s="4"/>
      <c r="BR875" s="8"/>
      <c r="BS875" s="7"/>
      <c r="BT875" s="7"/>
      <c r="BU875" s="2" t="s">
        <v>1376</v>
      </c>
      <c r="BV875" s="2" t="s">
        <v>95</v>
      </c>
      <c r="BW875" s="2" t="s">
        <v>98</v>
      </c>
      <c r="BX875" s="2" t="s">
        <v>98</v>
      </c>
      <c r="BY875" s="2" t="s">
        <v>110</v>
      </c>
      <c r="BZ875" s="2" t="s">
        <v>98</v>
      </c>
    </row>
    <row r="876">
      <c r="A876" s="2" t="s">
        <v>4261</v>
      </c>
      <c r="B876" s="2" t="s">
        <v>1345</v>
      </c>
      <c r="C876" s="2" t="s">
        <v>1178</v>
      </c>
      <c r="D876" s="2" t="s">
        <v>1946</v>
      </c>
      <c r="E876" s="2" t="s">
        <v>1947</v>
      </c>
      <c r="F876" s="2" t="s">
        <v>2219</v>
      </c>
      <c r="G876" s="2" t="s">
        <v>2219</v>
      </c>
      <c r="H876" s="2" t="s">
        <v>2219</v>
      </c>
      <c r="I876" s="2" t="s">
        <v>4262</v>
      </c>
      <c r="J876" s="2" t="s">
        <v>93</v>
      </c>
      <c r="K876" s="2" t="s">
        <v>514</v>
      </c>
      <c r="L876" s="3">
        <v>285</v>
      </c>
      <c r="M876" s="3">
        <v>299.25</v>
      </c>
      <c r="N876" s="3">
        <v>599</v>
      </c>
      <c r="O876" s="2" t="s">
        <v>95</v>
      </c>
      <c r="P876" s="2" t="s">
        <v>163</v>
      </c>
      <c r="Q876" s="2" t="s">
        <v>97</v>
      </c>
      <c r="R876" s="2" t="s">
        <v>98</v>
      </c>
      <c r="S876" s="2" t="s">
        <v>4263</v>
      </c>
      <c r="T876" s="2" t="s">
        <v>98</v>
      </c>
      <c r="U876" s="2" t="s">
        <v>117</v>
      </c>
      <c r="V876" s="2" t="s">
        <v>439</v>
      </c>
      <c r="W876" s="2" t="s">
        <v>204</v>
      </c>
      <c r="X876" s="2" t="s">
        <v>1215</v>
      </c>
      <c r="Y876" s="2" t="s">
        <v>4264</v>
      </c>
      <c r="Z876" s="4">
        <v>146</v>
      </c>
      <c r="AA876" s="4">
        <f>=ROUNDDOWN(7.3,0)</f>
      </c>
      <c r="AB876" s="5">
        <v>20</v>
      </c>
      <c r="AC876" s="2" t="s">
        <v>98</v>
      </c>
      <c r="AD876" s="4"/>
      <c r="AE876" s="4"/>
      <c r="AF876" s="6">
        <v>65</v>
      </c>
      <c r="AG876" s="6">
        <v>48</v>
      </c>
      <c r="AH876" s="7">
        <v>1</v>
      </c>
      <c r="AI876" s="4"/>
      <c r="AJ876" s="4">
        <f>=ROUNDDOWN({0},0)</f>
      </c>
      <c r="AK876" s="5"/>
      <c r="AL876" s="2" t="s">
        <v>98</v>
      </c>
      <c r="AM876" s="4"/>
      <c r="AN876" s="4"/>
      <c r="AO876" s="7">
        <v>0</v>
      </c>
      <c r="AP876" s="4">
        <v>1</v>
      </c>
      <c r="AQ876" s="8">
        <v>245.55</v>
      </c>
      <c r="AR876" s="4"/>
      <c r="AS876" s="8"/>
      <c r="AT876" s="7"/>
      <c r="AU876" s="7"/>
      <c r="AV876" s="4">
        <v>1</v>
      </c>
      <c r="AW876" s="8">
        <v>245.55</v>
      </c>
      <c r="AX876" s="4"/>
      <c r="AY876" s="8"/>
      <c r="AZ876" s="7"/>
      <c r="BA876" s="7"/>
      <c r="BB876" s="7">
        <v>1</v>
      </c>
      <c r="BC876" s="4">
        <v>1</v>
      </c>
      <c r="BD876" s="8">
        <v>245.55</v>
      </c>
      <c r="BE876" s="4" t="s">
        <v>98</v>
      </c>
      <c r="BF876" s="8" t="s">
        <v>98</v>
      </c>
      <c r="BG876" s="7" t="s">
        <v>98</v>
      </c>
      <c r="BH876" s="7" t="s">
        <v>98</v>
      </c>
      <c r="BI876" s="7">
        <v>1</v>
      </c>
      <c r="BJ876" s="4">
        <v>15</v>
      </c>
      <c r="BK876" s="8">
        <v>4463.72</v>
      </c>
      <c r="BL876" s="2" t="s">
        <v>3142</v>
      </c>
      <c r="BM876" s="7">
        <v>0.0667</v>
      </c>
      <c r="BN876" s="7">
        <v>0.055</v>
      </c>
      <c r="BO876" s="4">
        <v>1</v>
      </c>
      <c r="BP876" s="8">
        <v>245.55</v>
      </c>
      <c r="BQ876" s="4"/>
      <c r="BR876" s="8"/>
      <c r="BS876" s="7"/>
      <c r="BT876" s="7"/>
      <c r="BU876" s="2" t="s">
        <v>107</v>
      </c>
      <c r="BV876" s="2" t="s">
        <v>1355</v>
      </c>
      <c r="BW876" s="2" t="s">
        <v>1478</v>
      </c>
      <c r="BX876" s="2" t="s">
        <v>4265</v>
      </c>
      <c r="BY876" s="2" t="s">
        <v>110</v>
      </c>
      <c r="BZ876" s="2" t="s">
        <v>98</v>
      </c>
    </row>
    <row r="877">
      <c r="A877" s="2" t="s">
        <v>4266</v>
      </c>
      <c r="B877" s="2" t="s">
        <v>1345</v>
      </c>
      <c r="C877" s="2" t="s">
        <v>1178</v>
      </c>
      <c r="D877" s="2" t="s">
        <v>1946</v>
      </c>
      <c r="E877" s="2" t="s">
        <v>1947</v>
      </c>
      <c r="F877" s="2" t="s">
        <v>2219</v>
      </c>
      <c r="G877" s="2" t="s">
        <v>2219</v>
      </c>
      <c r="H877" s="2" t="s">
        <v>2219</v>
      </c>
      <c r="I877" s="2" t="s">
        <v>4262</v>
      </c>
      <c r="J877" s="2" t="s">
        <v>93</v>
      </c>
      <c r="K877" s="2" t="s">
        <v>1385</v>
      </c>
      <c r="L877" s="3">
        <v>285</v>
      </c>
      <c r="M877" s="3">
        <v>299.25</v>
      </c>
      <c r="N877" s="3">
        <v>599</v>
      </c>
      <c r="O877" s="2" t="s">
        <v>95</v>
      </c>
      <c r="P877" s="2" t="s">
        <v>295</v>
      </c>
      <c r="Q877" s="2" t="s">
        <v>97</v>
      </c>
      <c r="R877" s="2" t="s">
        <v>98</v>
      </c>
      <c r="S877" s="2" t="s">
        <v>98</v>
      </c>
      <c r="T877" s="2" t="s">
        <v>98</v>
      </c>
      <c r="U877" s="2" t="s">
        <v>117</v>
      </c>
      <c r="V877" s="2" t="s">
        <v>439</v>
      </c>
      <c r="W877" s="2" t="s">
        <v>204</v>
      </c>
      <c r="X877" s="2" t="s">
        <v>1215</v>
      </c>
      <c r="Y877" s="2" t="s">
        <v>614</v>
      </c>
      <c r="Z877" s="4">
        <v>212</v>
      </c>
      <c r="AA877" s="4">
        <f>=ROUNDDOWN(6.23529411764706,0)</f>
      </c>
      <c r="AB877" s="5">
        <v>34</v>
      </c>
      <c r="AC877" s="2" t="s">
        <v>1374</v>
      </c>
      <c r="AD877" s="4">
        <v>36</v>
      </c>
      <c r="AE877" s="4">
        <v>712</v>
      </c>
      <c r="AF877" s="6">
        <v>65</v>
      </c>
      <c r="AG877" s="6">
        <v>48</v>
      </c>
      <c r="AH877" s="7">
        <v>1</v>
      </c>
      <c r="AI877" s="4"/>
      <c r="AJ877" s="4">
        <f>=ROUNDDOWN({0},0)</f>
      </c>
      <c r="AK877" s="5"/>
      <c r="AL877" s="2" t="s">
        <v>98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 t="s">
        <v>98</v>
      </c>
      <c r="BD877" s="8" t="s">
        <v>98</v>
      </c>
      <c r="BE877" s="4" t="s">
        <v>98</v>
      </c>
      <c r="BF877" s="8" t="s">
        <v>98</v>
      </c>
      <c r="BG877" s="7" t="s">
        <v>98</v>
      </c>
      <c r="BH877" s="7" t="s">
        <v>98</v>
      </c>
      <c r="BI877" s="7"/>
      <c r="BJ877" s="4"/>
      <c r="BK877" s="8"/>
      <c r="BL877" s="2" t="s">
        <v>98</v>
      </c>
      <c r="BM877" s="7"/>
      <c r="BN877" s="7"/>
      <c r="BO877" s="4"/>
      <c r="BP877" s="8"/>
      <c r="BQ877" s="4"/>
      <c r="BR877" s="8"/>
      <c r="BS877" s="7"/>
      <c r="BT877" s="7"/>
      <c r="BU877" s="2" t="s">
        <v>1376</v>
      </c>
      <c r="BV877" s="2" t="s">
        <v>95</v>
      </c>
      <c r="BW877" s="2" t="s">
        <v>98</v>
      </c>
      <c r="BX877" s="2" t="s">
        <v>98</v>
      </c>
      <c r="BY877" s="2" t="s">
        <v>110</v>
      </c>
      <c r="BZ877" s="2" t="s">
        <v>98</v>
      </c>
    </row>
    <row r="878">
      <c r="A878" s="2" t="s">
        <v>4267</v>
      </c>
      <c r="B878" s="2" t="s">
        <v>1345</v>
      </c>
      <c r="C878" s="2" t="s">
        <v>1178</v>
      </c>
      <c r="D878" s="2" t="s">
        <v>1946</v>
      </c>
      <c r="E878" s="2" t="s">
        <v>1947</v>
      </c>
      <c r="F878" s="2" t="s">
        <v>2219</v>
      </c>
      <c r="G878" s="2" t="s">
        <v>2219</v>
      </c>
      <c r="H878" s="2" t="s">
        <v>2219</v>
      </c>
      <c r="I878" s="2" t="s">
        <v>4262</v>
      </c>
      <c r="J878" s="2" t="s">
        <v>93</v>
      </c>
      <c r="K878" s="2" t="s">
        <v>133</v>
      </c>
      <c r="L878" s="3">
        <v>285</v>
      </c>
      <c r="M878" s="3">
        <v>299.25</v>
      </c>
      <c r="N878" s="3">
        <v>599</v>
      </c>
      <c r="O878" s="2" t="s">
        <v>95</v>
      </c>
      <c r="P878" s="2" t="s">
        <v>295</v>
      </c>
      <c r="Q878" s="2" t="s">
        <v>97</v>
      </c>
      <c r="R878" s="2" t="s">
        <v>98</v>
      </c>
      <c r="S878" s="2" t="s">
        <v>98</v>
      </c>
      <c r="T878" s="2" t="s">
        <v>98</v>
      </c>
      <c r="U878" s="2" t="s">
        <v>117</v>
      </c>
      <c r="V878" s="2" t="s">
        <v>439</v>
      </c>
      <c r="W878" s="2" t="s">
        <v>204</v>
      </c>
      <c r="X878" s="2" t="s">
        <v>1215</v>
      </c>
      <c r="Y878" s="2" t="s">
        <v>4268</v>
      </c>
      <c r="Z878" s="4">
        <v>72</v>
      </c>
      <c r="AA878" s="4">
        <f>=ROUNDDOWN(16.3636363636364,0)</f>
      </c>
      <c r="AB878" s="5">
        <v>4.4</v>
      </c>
      <c r="AC878" s="2" t="s">
        <v>2149</v>
      </c>
      <c r="AD878" s="4">
        <v>141</v>
      </c>
      <c r="AE878" s="4">
        <v>141</v>
      </c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98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/>
      <c r="AW878" s="8"/>
      <c r="AX878" s="4"/>
      <c r="AY878" s="8"/>
      <c r="AZ878" s="7"/>
      <c r="BA878" s="7"/>
      <c r="BB878" s="7"/>
      <c r="BC878" s="4" t="s">
        <v>98</v>
      </c>
      <c r="BD878" s="8" t="s">
        <v>98</v>
      </c>
      <c r="BE878" s="4" t="s">
        <v>98</v>
      </c>
      <c r="BF878" s="8" t="s">
        <v>98</v>
      </c>
      <c r="BG878" s="7" t="s">
        <v>98</v>
      </c>
      <c r="BH878" s="7" t="s">
        <v>98</v>
      </c>
      <c r="BI878" s="7"/>
      <c r="BJ878" s="4">
        <v>2</v>
      </c>
      <c r="BK878" s="8">
        <v>654.64</v>
      </c>
      <c r="BL878" s="2" t="s">
        <v>269</v>
      </c>
      <c r="BM878" s="7"/>
      <c r="BN878" s="7"/>
      <c r="BO878" s="4"/>
      <c r="BP878" s="8"/>
      <c r="BQ878" s="4"/>
      <c r="BR878" s="8"/>
      <c r="BS878" s="7"/>
      <c r="BT878" s="7"/>
      <c r="BU878" s="2" t="s">
        <v>1376</v>
      </c>
      <c r="BV878" s="2" t="s">
        <v>95</v>
      </c>
      <c r="BW878" s="2" t="s">
        <v>98</v>
      </c>
      <c r="BX878" s="2" t="s">
        <v>98</v>
      </c>
      <c r="BY878" s="2" t="s">
        <v>110</v>
      </c>
      <c r="BZ878" s="2" t="s">
        <v>98</v>
      </c>
    </row>
    <row r="879">
      <c r="A879" s="2" t="s">
        <v>4269</v>
      </c>
      <c r="B879" s="2" t="s">
        <v>1345</v>
      </c>
      <c r="C879" s="2" t="s">
        <v>1178</v>
      </c>
      <c r="D879" s="2" t="s">
        <v>1946</v>
      </c>
      <c r="E879" s="2" t="s">
        <v>1947</v>
      </c>
      <c r="F879" s="2" t="s">
        <v>2219</v>
      </c>
      <c r="G879" s="2" t="s">
        <v>2219</v>
      </c>
      <c r="H879" s="2" t="s">
        <v>2219</v>
      </c>
      <c r="I879" s="2" t="s">
        <v>4262</v>
      </c>
      <c r="J879" s="2" t="s">
        <v>93</v>
      </c>
      <c r="K879" s="2" t="s">
        <v>2114</v>
      </c>
      <c r="L879" s="3">
        <v>285</v>
      </c>
      <c r="M879" s="3">
        <v>299.25</v>
      </c>
      <c r="N879" s="3">
        <v>599</v>
      </c>
      <c r="O879" s="2" t="s">
        <v>95</v>
      </c>
      <c r="P879" s="2" t="s">
        <v>163</v>
      </c>
      <c r="Q879" s="2" t="s">
        <v>97</v>
      </c>
      <c r="R879" s="2" t="s">
        <v>98</v>
      </c>
      <c r="S879" s="2" t="s">
        <v>98</v>
      </c>
      <c r="T879" s="2" t="s">
        <v>98</v>
      </c>
      <c r="U879" s="2" t="s">
        <v>117</v>
      </c>
      <c r="V879" s="2" t="s">
        <v>439</v>
      </c>
      <c r="W879" s="2" t="s">
        <v>204</v>
      </c>
      <c r="X879" s="2" t="s">
        <v>1215</v>
      </c>
      <c r="Y879" s="2" t="s">
        <v>4270</v>
      </c>
      <c r="Z879" s="4">
        <v>412</v>
      </c>
      <c r="AA879" s="4">
        <f>=ROUNDDOWN(8.76595744680851,0)</f>
      </c>
      <c r="AB879" s="5">
        <v>47</v>
      </c>
      <c r="AC879" s="2" t="s">
        <v>1533</v>
      </c>
      <c r="AD879" s="4">
        <v>141</v>
      </c>
      <c r="AE879" s="4">
        <v>1001</v>
      </c>
      <c r="AF879" s="6">
        <v>65</v>
      </c>
      <c r="AG879" s="6">
        <v>48</v>
      </c>
      <c r="AH879" s="7">
        <v>1</v>
      </c>
      <c r="AI879" s="4"/>
      <c r="AJ879" s="4">
        <f>=ROUNDDOWN({0},0)</f>
      </c>
      <c r="AK879" s="5"/>
      <c r="AL879" s="2" t="s">
        <v>1396</v>
      </c>
      <c r="AM879" s="4">
        <v>114</v>
      </c>
      <c r="AN879" s="4">
        <v>396</v>
      </c>
      <c r="AO879" s="7">
        <v>0</v>
      </c>
      <c r="AP879" s="4"/>
      <c r="AQ879" s="8"/>
      <c r="AR879" s="4"/>
      <c r="AS879" s="8"/>
      <c r="AT879" s="7"/>
      <c r="AU879" s="7"/>
      <c r="AV879" s="4"/>
      <c r="AW879" s="8"/>
      <c r="AX879" s="4"/>
      <c r="AY879" s="8"/>
      <c r="AZ879" s="7"/>
      <c r="BA879" s="7"/>
      <c r="BB879" s="7"/>
      <c r="BC879" s="4" t="s">
        <v>98</v>
      </c>
      <c r="BD879" s="8" t="s">
        <v>98</v>
      </c>
      <c r="BE879" s="4" t="s">
        <v>98</v>
      </c>
      <c r="BF879" s="8" t="s">
        <v>98</v>
      </c>
      <c r="BG879" s="7" t="s">
        <v>98</v>
      </c>
      <c r="BH879" s="7" t="s">
        <v>98</v>
      </c>
      <c r="BI879" s="7"/>
      <c r="BJ879" s="4">
        <v>42</v>
      </c>
      <c r="BK879" s="8">
        <v>12403.03</v>
      </c>
      <c r="BL879" s="2" t="s">
        <v>333</v>
      </c>
      <c r="BM879" s="7"/>
      <c r="BN879" s="7"/>
      <c r="BO879" s="4"/>
      <c r="BP879" s="8"/>
      <c r="BQ879" s="4"/>
      <c r="BR879" s="8"/>
      <c r="BS879" s="7"/>
      <c r="BT879" s="7"/>
      <c r="BU879" s="2" t="s">
        <v>1376</v>
      </c>
      <c r="BV879" s="2" t="s">
        <v>95</v>
      </c>
      <c r="BW879" s="2" t="s">
        <v>98</v>
      </c>
      <c r="BX879" s="2" t="s">
        <v>98</v>
      </c>
      <c r="BY879" s="2" t="s">
        <v>110</v>
      </c>
      <c r="BZ879" s="2" t="s">
        <v>98</v>
      </c>
    </row>
    <row r="880">
      <c r="A880" s="2" t="s">
        <v>4271</v>
      </c>
      <c r="B880" s="2" t="s">
        <v>1345</v>
      </c>
      <c r="C880" s="2" t="s">
        <v>1178</v>
      </c>
      <c r="D880" s="2" t="s">
        <v>1946</v>
      </c>
      <c r="E880" s="2" t="s">
        <v>1947</v>
      </c>
      <c r="F880" s="2" t="s">
        <v>2219</v>
      </c>
      <c r="G880" s="2" t="s">
        <v>2219</v>
      </c>
      <c r="H880" s="2" t="s">
        <v>2219</v>
      </c>
      <c r="I880" s="2" t="s">
        <v>4262</v>
      </c>
      <c r="J880" s="2" t="s">
        <v>93</v>
      </c>
      <c r="K880" s="2" t="s">
        <v>4272</v>
      </c>
      <c r="L880" s="3">
        <v>285</v>
      </c>
      <c r="M880" s="3">
        <v>299.25</v>
      </c>
      <c r="N880" s="3">
        <v>599</v>
      </c>
      <c r="O880" s="2" t="s">
        <v>95</v>
      </c>
      <c r="P880" s="2" t="s">
        <v>134</v>
      </c>
      <c r="Q880" s="2" t="s">
        <v>97</v>
      </c>
      <c r="R880" s="2" t="s">
        <v>98</v>
      </c>
      <c r="S880" s="2" t="s">
        <v>98</v>
      </c>
      <c r="T880" s="2" t="s">
        <v>98</v>
      </c>
      <c r="U880" s="2" t="s">
        <v>117</v>
      </c>
      <c r="V880" s="2" t="s">
        <v>439</v>
      </c>
      <c r="W880" s="2" t="s">
        <v>204</v>
      </c>
      <c r="X880" s="2" t="s">
        <v>1215</v>
      </c>
      <c r="Y880" s="2" t="s">
        <v>4273</v>
      </c>
      <c r="Z880" s="4">
        <v>110</v>
      </c>
      <c r="AA880" s="4">
        <f>=ROUNDDOWN(15.7142857142857,0)</f>
      </c>
      <c r="AB880" s="5">
        <v>7</v>
      </c>
      <c r="AC880" s="2" t="s">
        <v>323</v>
      </c>
      <c r="AD880" s="4">
        <v>141</v>
      </c>
      <c r="AE880" s="4">
        <v>141</v>
      </c>
      <c r="AF880" s="6">
        <v>65</v>
      </c>
      <c r="AG880" s="6">
        <v>48</v>
      </c>
      <c r="AH880" s="7">
        <v>1</v>
      </c>
      <c r="AI880" s="4"/>
      <c r="AJ880" s="4">
        <f>=ROUNDDOWN({0},0)</f>
      </c>
      <c r="AK880" s="5"/>
      <c r="AL880" s="2" t="s">
        <v>98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/>
      <c r="AW880" s="8"/>
      <c r="AX880" s="4"/>
      <c r="AY880" s="8"/>
      <c r="AZ880" s="7"/>
      <c r="BA880" s="7"/>
      <c r="BB880" s="7"/>
      <c r="BC880" s="4" t="s">
        <v>98</v>
      </c>
      <c r="BD880" s="8" t="s">
        <v>98</v>
      </c>
      <c r="BE880" s="4" t="s">
        <v>98</v>
      </c>
      <c r="BF880" s="8" t="s">
        <v>98</v>
      </c>
      <c r="BG880" s="7" t="s">
        <v>98</v>
      </c>
      <c r="BH880" s="7" t="s">
        <v>98</v>
      </c>
      <c r="BI880" s="7"/>
      <c r="BJ880" s="4">
        <v>3</v>
      </c>
      <c r="BK880" s="8">
        <v>930.92</v>
      </c>
      <c r="BL880" s="2" t="s">
        <v>1379</v>
      </c>
      <c r="BM880" s="7"/>
      <c r="BN880" s="7"/>
      <c r="BO880" s="4"/>
      <c r="BP880" s="8"/>
      <c r="BQ880" s="4"/>
      <c r="BR880" s="8"/>
      <c r="BS880" s="7"/>
      <c r="BT880" s="7"/>
      <c r="BU880" s="2" t="s">
        <v>1376</v>
      </c>
      <c r="BV880" s="2" t="s">
        <v>95</v>
      </c>
      <c r="BW880" s="2" t="s">
        <v>98</v>
      </c>
      <c r="BX880" s="2" t="s">
        <v>98</v>
      </c>
      <c r="BY880" s="2" t="s">
        <v>110</v>
      </c>
      <c r="BZ880" s="2" t="s">
        <v>98</v>
      </c>
    </row>
    <row r="881">
      <c r="A881" s="2" t="s">
        <v>4274</v>
      </c>
      <c r="B881" s="2" t="s">
        <v>1345</v>
      </c>
      <c r="C881" s="2" t="s">
        <v>1178</v>
      </c>
      <c r="D881" s="2" t="s">
        <v>1946</v>
      </c>
      <c r="E881" s="2" t="s">
        <v>1947</v>
      </c>
      <c r="F881" s="2" t="s">
        <v>3652</v>
      </c>
      <c r="G881" s="2" t="s">
        <v>4275</v>
      </c>
      <c r="H881" s="2" t="s">
        <v>3652</v>
      </c>
      <c r="I881" s="2" t="s">
        <v>1980</v>
      </c>
      <c r="J881" s="2" t="s">
        <v>93</v>
      </c>
      <c r="K881" s="2" t="s">
        <v>967</v>
      </c>
      <c r="L881" s="3">
        <v>292.05</v>
      </c>
      <c r="M881" s="3">
        <v>306.65</v>
      </c>
      <c r="N881" s="3">
        <v>619</v>
      </c>
      <c r="O881" s="2" t="s">
        <v>95</v>
      </c>
      <c r="P881" s="2" t="s">
        <v>134</v>
      </c>
      <c r="Q881" s="2" t="s">
        <v>97</v>
      </c>
      <c r="R881" s="2" t="s">
        <v>98</v>
      </c>
      <c r="S881" s="2" t="s">
        <v>98</v>
      </c>
      <c r="T881" s="2" t="s">
        <v>98</v>
      </c>
      <c r="U881" s="2" t="s">
        <v>117</v>
      </c>
      <c r="V881" s="2" t="s">
        <v>439</v>
      </c>
      <c r="W881" s="2" t="s">
        <v>103</v>
      </c>
      <c r="X881" s="2" t="s">
        <v>1181</v>
      </c>
      <c r="Y881" s="2" t="s">
        <v>4276</v>
      </c>
      <c r="Z881" s="4">
        <v>61</v>
      </c>
      <c r="AA881" s="4">
        <f>=ROUNDDOWN(8.71428571428572,0)</f>
      </c>
      <c r="AB881" s="5">
        <v>7</v>
      </c>
      <c r="AC881" s="2" t="s">
        <v>1757</v>
      </c>
      <c r="AD881" s="4">
        <v>32</v>
      </c>
      <c r="AE881" s="4">
        <v>240</v>
      </c>
      <c r="AF881" s="6">
        <v>65</v>
      </c>
      <c r="AG881" s="6">
        <v>48</v>
      </c>
      <c r="AH881" s="7">
        <v>1</v>
      </c>
      <c r="AI881" s="4"/>
      <c r="AJ881" s="4">
        <f>=ROUNDDOWN({0},0)</f>
      </c>
      <c r="AK881" s="5"/>
      <c r="AL881" s="2" t="s">
        <v>98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/>
      <c r="AW881" s="8"/>
      <c r="AX881" s="4"/>
      <c r="AY881" s="8"/>
      <c r="AZ881" s="7"/>
      <c r="BA881" s="7"/>
      <c r="BB881" s="7"/>
      <c r="BC881" s="4" t="s">
        <v>98</v>
      </c>
      <c r="BD881" s="8" t="s">
        <v>98</v>
      </c>
      <c r="BE881" s="4">
        <v>3</v>
      </c>
      <c r="BF881" s="8">
        <v>848.16</v>
      </c>
      <c r="BG881" s="7" t="s">
        <v>98</v>
      </c>
      <c r="BH881" s="7" t="s">
        <v>98</v>
      </c>
      <c r="BI881" s="7"/>
      <c r="BJ881" s="4"/>
      <c r="BK881" s="8"/>
      <c r="BL881" s="2" t="s">
        <v>1200</v>
      </c>
      <c r="BM881" s="7"/>
      <c r="BN881" s="7"/>
      <c r="BO881" s="4"/>
      <c r="BP881" s="8"/>
      <c r="BQ881" s="4"/>
      <c r="BR881" s="8"/>
      <c r="BS881" s="7"/>
      <c r="BT881" s="7"/>
      <c r="BU881" s="2" t="s">
        <v>1376</v>
      </c>
      <c r="BV881" s="2" t="s">
        <v>95</v>
      </c>
      <c r="BW881" s="2" t="s">
        <v>98</v>
      </c>
      <c r="BX881" s="2" t="s">
        <v>98</v>
      </c>
      <c r="BY881" s="2" t="s">
        <v>110</v>
      </c>
      <c r="BZ881" s="2" t="s">
        <v>98</v>
      </c>
    </row>
    <row r="882">
      <c r="A882" s="2" t="s">
        <v>4277</v>
      </c>
      <c r="B882" s="2" t="s">
        <v>1345</v>
      </c>
      <c r="C882" s="2" t="s">
        <v>1178</v>
      </c>
      <c r="D882" s="2" t="s">
        <v>1946</v>
      </c>
      <c r="E882" s="2" t="s">
        <v>1947</v>
      </c>
      <c r="F882" s="2" t="s">
        <v>3652</v>
      </c>
      <c r="G882" s="2" t="s">
        <v>3652</v>
      </c>
      <c r="H882" s="2" t="s">
        <v>3652</v>
      </c>
      <c r="I882" s="2" t="s">
        <v>1980</v>
      </c>
      <c r="J882" s="2" t="s">
        <v>93</v>
      </c>
      <c r="K882" s="2" t="s">
        <v>2114</v>
      </c>
      <c r="L882" s="3">
        <v>292.05</v>
      </c>
      <c r="M882" s="3">
        <v>306.65</v>
      </c>
      <c r="N882" s="3">
        <v>619</v>
      </c>
      <c r="O882" s="2" t="s">
        <v>95</v>
      </c>
      <c r="P882" s="2" t="s">
        <v>134</v>
      </c>
      <c r="Q882" s="2" t="s">
        <v>97</v>
      </c>
      <c r="R882" s="2" t="s">
        <v>98</v>
      </c>
      <c r="S882" s="2" t="s">
        <v>4278</v>
      </c>
      <c r="T882" s="2" t="s">
        <v>98</v>
      </c>
      <c r="U882" s="2" t="s">
        <v>117</v>
      </c>
      <c r="V882" s="2" t="s">
        <v>439</v>
      </c>
      <c r="W882" s="2" t="s">
        <v>297</v>
      </c>
      <c r="X882" s="2" t="s">
        <v>1181</v>
      </c>
      <c r="Y882" s="2" t="s">
        <v>4279</v>
      </c>
      <c r="Z882" s="4">
        <v>112</v>
      </c>
      <c r="AA882" s="4">
        <f>=ROUNDDOWN(28,0)</f>
      </c>
      <c r="AB882" s="5">
        <v>4</v>
      </c>
      <c r="AC882" s="2" t="s">
        <v>194</v>
      </c>
      <c r="AD882" s="4">
        <v>80</v>
      </c>
      <c r="AE882" s="4">
        <v>100</v>
      </c>
      <c r="AF882" s="6">
        <v>65</v>
      </c>
      <c r="AG882" s="6">
        <v>48</v>
      </c>
      <c r="AH882" s="7">
        <v>1</v>
      </c>
      <c r="AI882" s="4"/>
      <c r="AJ882" s="4">
        <f>=ROUNDDOWN({0},0)</f>
      </c>
      <c r="AK882" s="5"/>
      <c r="AL882" s="2" t="s">
        <v>98</v>
      </c>
      <c r="AM882" s="4"/>
      <c r="AN882" s="4"/>
      <c r="AO882" s="7">
        <v>0</v>
      </c>
      <c r="AP882" s="4"/>
      <c r="AQ882" s="8"/>
      <c r="AR882" s="4">
        <v>3</v>
      </c>
      <c r="AS882" s="8">
        <v>848.16</v>
      </c>
      <c r="AT882" s="7">
        <v>-1</v>
      </c>
      <c r="AU882" s="7">
        <v>-1</v>
      </c>
      <c r="AV882" s="4"/>
      <c r="AW882" s="8"/>
      <c r="AX882" s="4">
        <v>3</v>
      </c>
      <c r="AY882" s="8">
        <v>848.16</v>
      </c>
      <c r="AZ882" s="7">
        <v>-1</v>
      </c>
      <c r="BA882" s="7">
        <v>-1</v>
      </c>
      <c r="BB882" s="7"/>
      <c r="BC882" s="4" t="s">
        <v>98</v>
      </c>
      <c r="BD882" s="8" t="s">
        <v>98</v>
      </c>
      <c r="BE882" s="4" t="s">
        <v>98</v>
      </c>
      <c r="BF882" s="8" t="s">
        <v>98</v>
      </c>
      <c r="BG882" s="7" t="s">
        <v>98</v>
      </c>
      <c r="BH882" s="7" t="s">
        <v>98</v>
      </c>
      <c r="BI882" s="7"/>
      <c r="BJ882" s="4">
        <v>2</v>
      </c>
      <c r="BK882" s="8">
        <v>656.14</v>
      </c>
      <c r="BL882" s="2" t="s">
        <v>4280</v>
      </c>
      <c r="BM882" s="7"/>
      <c r="BN882" s="7"/>
      <c r="BO882" s="4"/>
      <c r="BP882" s="8"/>
      <c r="BQ882" s="4">
        <v>3</v>
      </c>
      <c r="BR882" s="8">
        <v>848.16</v>
      </c>
      <c r="BS882" s="7">
        <v>-1</v>
      </c>
      <c r="BT882" s="7">
        <v>-1</v>
      </c>
      <c r="BU882" s="2" t="s">
        <v>107</v>
      </c>
      <c r="BV882" s="2" t="s">
        <v>1355</v>
      </c>
      <c r="BW882" s="2" t="s">
        <v>1478</v>
      </c>
      <c r="BX882" s="2" t="s">
        <v>98</v>
      </c>
      <c r="BY882" s="2" t="s">
        <v>110</v>
      </c>
      <c r="BZ882" s="2" t="s">
        <v>98</v>
      </c>
    </row>
    <row r="883">
      <c r="A883" s="2" t="s">
        <v>4281</v>
      </c>
      <c r="B883" s="2" t="s">
        <v>1345</v>
      </c>
      <c r="C883" s="2" t="s">
        <v>1178</v>
      </c>
      <c r="D883" s="2" t="s">
        <v>1946</v>
      </c>
      <c r="E883" s="2" t="s">
        <v>1947</v>
      </c>
      <c r="F883" s="2" t="s">
        <v>4282</v>
      </c>
      <c r="G883" s="2" t="s">
        <v>4282</v>
      </c>
      <c r="H883" s="2" t="s">
        <v>4282</v>
      </c>
      <c r="I883" s="2" t="s">
        <v>4283</v>
      </c>
      <c r="J883" s="2" t="s">
        <v>93</v>
      </c>
      <c r="K883" s="2" t="s">
        <v>127</v>
      </c>
      <c r="L883" s="3">
        <v>255</v>
      </c>
      <c r="M883" s="3">
        <v>267.75</v>
      </c>
      <c r="N883" s="3">
        <v>549</v>
      </c>
      <c r="O883" s="2" t="s">
        <v>95</v>
      </c>
      <c r="P883" s="2" t="s">
        <v>295</v>
      </c>
      <c r="Q883" s="2" t="s">
        <v>97</v>
      </c>
      <c r="R883" s="2" t="s">
        <v>98</v>
      </c>
      <c r="S883" s="2" t="s">
        <v>98</v>
      </c>
      <c r="T883" s="2" t="s">
        <v>98</v>
      </c>
      <c r="U883" s="2" t="s">
        <v>117</v>
      </c>
      <c r="V883" s="2" t="s">
        <v>296</v>
      </c>
      <c r="W883" s="2" t="s">
        <v>204</v>
      </c>
      <c r="X883" s="2" t="s">
        <v>1215</v>
      </c>
      <c r="Y883" s="2" t="s">
        <v>98</v>
      </c>
      <c r="Z883" s="4"/>
      <c r="AA883" s="4">
        <f>=ROUNDDOWN({0},0)</f>
      </c>
      <c r="AB883" s="5">
        <v>6</v>
      </c>
      <c r="AC883" s="2" t="s">
        <v>1989</v>
      </c>
      <c r="AD883" s="4">
        <v>320</v>
      </c>
      <c r="AE883" s="4">
        <v>320</v>
      </c>
      <c r="AF883" s="6">
        <v>65</v>
      </c>
      <c r="AG883" s="6"/>
      <c r="AH883" s="7">
        <v>0</v>
      </c>
      <c r="AI883" s="4"/>
      <c r="AJ883" s="4">
        <f>=ROUNDDOWN({0},0)</f>
      </c>
      <c r="AK883" s="5"/>
      <c r="AL883" s="2" t="s">
        <v>98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 t="s">
        <v>98</v>
      </c>
      <c r="BD883" s="8" t="s">
        <v>98</v>
      </c>
      <c r="BE883" s="4" t="s">
        <v>98</v>
      </c>
      <c r="BF883" s="8" t="s">
        <v>98</v>
      </c>
      <c r="BG883" s="7" t="s">
        <v>98</v>
      </c>
      <c r="BH883" s="7" t="s">
        <v>98</v>
      </c>
      <c r="BI883" s="7"/>
      <c r="BJ883" s="4"/>
      <c r="BK883" s="8"/>
      <c r="BL883" s="2" t="s">
        <v>98</v>
      </c>
      <c r="BM883" s="7"/>
      <c r="BN883" s="7"/>
      <c r="BO883" s="4"/>
      <c r="BP883" s="8"/>
      <c r="BQ883" s="4"/>
      <c r="BR883" s="8"/>
      <c r="BS883" s="7"/>
      <c r="BT883" s="7"/>
      <c r="BU883" s="2" t="s">
        <v>1376</v>
      </c>
      <c r="BV883" s="2" t="s">
        <v>95</v>
      </c>
      <c r="BW883" s="2" t="s">
        <v>98</v>
      </c>
      <c r="BX883" s="2" t="s">
        <v>98</v>
      </c>
      <c r="BY883" s="2" t="s">
        <v>110</v>
      </c>
      <c r="BZ883" s="2" t="s">
        <v>98</v>
      </c>
    </row>
    <row r="884">
      <c r="A884" s="2" t="s">
        <v>4284</v>
      </c>
      <c r="B884" s="2" t="s">
        <v>1345</v>
      </c>
      <c r="C884" s="2" t="s">
        <v>1178</v>
      </c>
      <c r="D884" s="2" t="s">
        <v>1946</v>
      </c>
      <c r="E884" s="2" t="s">
        <v>1947</v>
      </c>
      <c r="F884" s="2" t="s">
        <v>4282</v>
      </c>
      <c r="G884" s="2" t="s">
        <v>4282</v>
      </c>
      <c r="H884" s="2" t="s">
        <v>4282</v>
      </c>
      <c r="I884" s="2" t="s">
        <v>4283</v>
      </c>
      <c r="J884" s="2" t="s">
        <v>93</v>
      </c>
      <c r="K884" s="2" t="s">
        <v>616</v>
      </c>
      <c r="L884" s="3">
        <v>255</v>
      </c>
      <c r="M884" s="3">
        <v>267.75</v>
      </c>
      <c r="N884" s="3">
        <v>549</v>
      </c>
      <c r="O884" s="2" t="s">
        <v>95</v>
      </c>
      <c r="P884" s="2" t="s">
        <v>142</v>
      </c>
      <c r="Q884" s="2" t="s">
        <v>97</v>
      </c>
      <c r="R884" s="2" t="s">
        <v>98</v>
      </c>
      <c r="S884" s="2" t="s">
        <v>98</v>
      </c>
      <c r="T884" s="2" t="s">
        <v>98</v>
      </c>
      <c r="U884" s="2" t="s">
        <v>117</v>
      </c>
      <c r="V884" s="2" t="s">
        <v>296</v>
      </c>
      <c r="W884" s="2" t="s">
        <v>204</v>
      </c>
      <c r="X884" s="2" t="s">
        <v>1215</v>
      </c>
      <c r="Y884" s="2" t="s">
        <v>4285</v>
      </c>
      <c r="Z884" s="4">
        <v>27</v>
      </c>
      <c r="AA884" s="4">
        <f>=ROUNDDOWN(4.5,0)</f>
      </c>
      <c r="AB884" s="5">
        <v>6</v>
      </c>
      <c r="AC884" s="2" t="s">
        <v>98</v>
      </c>
      <c r="AD884" s="4"/>
      <c r="AE884" s="4"/>
      <c r="AF884" s="6">
        <v>65</v>
      </c>
      <c r="AG884" s="6"/>
      <c r="AH884" s="7">
        <v>1</v>
      </c>
      <c r="AI884" s="4"/>
      <c r="AJ884" s="4">
        <f>=ROUNDDOWN({0},0)</f>
      </c>
      <c r="AK884" s="5"/>
      <c r="AL884" s="2" t="s">
        <v>98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 t="s">
        <v>98</v>
      </c>
      <c r="BD884" s="8" t="s">
        <v>98</v>
      </c>
      <c r="BE884" s="4" t="s">
        <v>98</v>
      </c>
      <c r="BF884" s="8" t="s">
        <v>98</v>
      </c>
      <c r="BG884" s="7" t="s">
        <v>98</v>
      </c>
      <c r="BH884" s="7" t="s">
        <v>98</v>
      </c>
      <c r="BI884" s="7"/>
      <c r="BJ884" s="4">
        <v>1</v>
      </c>
      <c r="BK884" s="8">
        <v>294.52</v>
      </c>
      <c r="BL884" s="2" t="s">
        <v>269</v>
      </c>
      <c r="BM884" s="7"/>
      <c r="BN884" s="7"/>
      <c r="BO884" s="4"/>
      <c r="BP884" s="8"/>
      <c r="BQ884" s="4"/>
      <c r="BR884" s="8"/>
      <c r="BS884" s="7"/>
      <c r="BT884" s="7"/>
      <c r="BU884" s="2" t="s">
        <v>1376</v>
      </c>
      <c r="BV884" s="2" t="s">
        <v>95</v>
      </c>
      <c r="BW884" s="2" t="s">
        <v>98</v>
      </c>
      <c r="BX884" s="2" t="s">
        <v>98</v>
      </c>
      <c r="BY884" s="2" t="s">
        <v>110</v>
      </c>
      <c r="BZ884" s="2" t="s">
        <v>98</v>
      </c>
    </row>
    <row r="885">
      <c r="A885" s="2" t="s">
        <v>4286</v>
      </c>
      <c r="B885" s="2" t="s">
        <v>1345</v>
      </c>
      <c r="C885" s="2" t="s">
        <v>1178</v>
      </c>
      <c r="D885" s="2" t="s">
        <v>1946</v>
      </c>
      <c r="E885" s="2" t="s">
        <v>1947</v>
      </c>
      <c r="F885" s="2" t="s">
        <v>4287</v>
      </c>
      <c r="G885" s="2" t="s">
        <v>4287</v>
      </c>
      <c r="H885" s="2" t="s">
        <v>4287</v>
      </c>
      <c r="I885" s="2" t="s">
        <v>4288</v>
      </c>
      <c r="J885" s="2" t="s">
        <v>93</v>
      </c>
      <c r="K885" s="2" t="s">
        <v>1262</v>
      </c>
      <c r="L885" s="3">
        <v>228</v>
      </c>
      <c r="M885" s="3">
        <v>239.4</v>
      </c>
      <c r="N885" s="3">
        <v>479</v>
      </c>
      <c r="O885" s="2" t="s">
        <v>95</v>
      </c>
      <c r="P885" s="2" t="s">
        <v>115</v>
      </c>
      <c r="Q885" s="2" t="s">
        <v>97</v>
      </c>
      <c r="R885" s="2" t="s">
        <v>98</v>
      </c>
      <c r="S885" s="2" t="s">
        <v>98</v>
      </c>
      <c r="T885" s="2" t="s">
        <v>98</v>
      </c>
      <c r="U885" s="2" t="s">
        <v>117</v>
      </c>
      <c r="V885" s="2" t="s">
        <v>296</v>
      </c>
      <c r="W885" s="2" t="s">
        <v>102</v>
      </c>
      <c r="X885" s="2" t="s">
        <v>1181</v>
      </c>
      <c r="Y885" s="2" t="s">
        <v>4249</v>
      </c>
      <c r="Z885" s="4">
        <v>125</v>
      </c>
      <c r="AA885" s="4">
        <f>=ROUNDDOWN(125,0)</f>
      </c>
      <c r="AB885" s="5">
        <v>1</v>
      </c>
      <c r="AC885" s="2" t="s">
        <v>98</v>
      </c>
      <c r="AD885" s="4"/>
      <c r="AE885" s="4"/>
      <c r="AF885" s="6">
        <v>74</v>
      </c>
      <c r="AG885" s="6"/>
      <c r="AH885" s="7">
        <v>1</v>
      </c>
      <c r="AI885" s="4"/>
      <c r="AJ885" s="4">
        <f>=ROUNDDOWN({0},0)</f>
      </c>
      <c r="AK885" s="5"/>
      <c r="AL885" s="2" t="s">
        <v>98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/>
      <c r="BD885" s="8"/>
      <c r="BE885" s="4"/>
      <c r="BF885" s="8"/>
      <c r="BG885" s="7"/>
      <c r="BH885" s="7"/>
      <c r="BI885" s="7"/>
      <c r="BJ885" s="4"/>
      <c r="BK885" s="8"/>
      <c r="BL885" s="2" t="s">
        <v>98</v>
      </c>
      <c r="BM885" s="7"/>
      <c r="BN885" s="7"/>
      <c r="BO885" s="4"/>
      <c r="BP885" s="8"/>
      <c r="BQ885" s="4"/>
      <c r="BR885" s="8"/>
      <c r="BS885" s="7"/>
      <c r="BT885" s="7"/>
      <c r="BU885" s="2" t="s">
        <v>1376</v>
      </c>
      <c r="BV885" s="2" t="s">
        <v>95</v>
      </c>
      <c r="BW885" s="2" t="s">
        <v>98</v>
      </c>
      <c r="BX885" s="2" t="s">
        <v>98</v>
      </c>
      <c r="BY885" s="2" t="s">
        <v>110</v>
      </c>
      <c r="BZ885" s="2" t="s">
        <v>98</v>
      </c>
    </row>
    <row r="886">
      <c r="A886" s="2" t="s">
        <v>4289</v>
      </c>
      <c r="B886" s="2" t="s">
        <v>1345</v>
      </c>
      <c r="C886" s="2" t="s">
        <v>1178</v>
      </c>
      <c r="D886" s="2" t="s">
        <v>1946</v>
      </c>
      <c r="E886" s="2" t="s">
        <v>1947</v>
      </c>
      <c r="F886" s="2" t="s">
        <v>4290</v>
      </c>
      <c r="G886" s="2" t="s">
        <v>4290</v>
      </c>
      <c r="H886" s="2" t="s">
        <v>4290</v>
      </c>
      <c r="I886" s="2" t="s">
        <v>4291</v>
      </c>
      <c r="J886" s="2" t="s">
        <v>93</v>
      </c>
      <c r="K886" s="2" t="s">
        <v>967</v>
      </c>
      <c r="L886" s="3">
        <v>256.5</v>
      </c>
      <c r="M886" s="3">
        <v>269.32</v>
      </c>
      <c r="N886" s="3">
        <v>539</v>
      </c>
      <c r="O886" s="2" t="s">
        <v>95</v>
      </c>
      <c r="P886" s="2" t="s">
        <v>142</v>
      </c>
      <c r="Q886" s="2" t="s">
        <v>97</v>
      </c>
      <c r="R886" s="2" t="s">
        <v>98</v>
      </c>
      <c r="S886" s="2" t="s">
        <v>98</v>
      </c>
      <c r="T886" s="2" t="s">
        <v>98</v>
      </c>
      <c r="U886" s="2" t="s">
        <v>117</v>
      </c>
      <c r="V886" s="2" t="s">
        <v>296</v>
      </c>
      <c r="W886" s="2" t="s">
        <v>98</v>
      </c>
      <c r="X886" s="2" t="s">
        <v>1181</v>
      </c>
      <c r="Y886" s="2" t="s">
        <v>554</v>
      </c>
      <c r="Z886" s="4">
        <v>199</v>
      </c>
      <c r="AA886" s="4">
        <f>=ROUNDDOWN(663.333333333333,0)</f>
      </c>
      <c r="AB886" s="5">
        <v>0.3</v>
      </c>
      <c r="AC886" s="2" t="s">
        <v>98</v>
      </c>
      <c r="AD886" s="4"/>
      <c r="AE886" s="4"/>
      <c r="AF886" s="6">
        <v>74</v>
      </c>
      <c r="AG886" s="6"/>
      <c r="AH886" s="7">
        <v>1</v>
      </c>
      <c r="AI886" s="4"/>
      <c r="AJ886" s="4">
        <f>=ROUNDDOWN({0},0)</f>
      </c>
      <c r="AK886" s="5"/>
      <c r="AL886" s="2" t="s">
        <v>98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/>
      <c r="BD886" s="8"/>
      <c r="BE886" s="4"/>
      <c r="BF886" s="8"/>
      <c r="BG886" s="7"/>
      <c r="BH886" s="7"/>
      <c r="BI886" s="7"/>
      <c r="BJ886" s="4"/>
      <c r="BK886" s="8"/>
      <c r="BL886" s="2" t="s">
        <v>98</v>
      </c>
      <c r="BM886" s="7"/>
      <c r="BN886" s="7"/>
      <c r="BO886" s="4"/>
      <c r="BP886" s="8"/>
      <c r="BQ886" s="4"/>
      <c r="BR886" s="8"/>
      <c r="BS886" s="7"/>
      <c r="BT886" s="7"/>
      <c r="BU886" s="2" t="s">
        <v>1376</v>
      </c>
      <c r="BV886" s="2" t="s">
        <v>95</v>
      </c>
      <c r="BW886" s="2" t="s">
        <v>98</v>
      </c>
      <c r="BX886" s="2" t="s">
        <v>98</v>
      </c>
      <c r="BY886" s="2" t="s">
        <v>110</v>
      </c>
      <c r="BZ886" s="2" t="s">
        <v>98</v>
      </c>
    </row>
    <row r="887">
      <c r="A887" s="2" t="s">
        <v>4292</v>
      </c>
      <c r="B887" s="2" t="s">
        <v>1345</v>
      </c>
      <c r="C887" s="2" t="s">
        <v>1178</v>
      </c>
      <c r="D887" s="2" t="s">
        <v>3068</v>
      </c>
      <c r="E887" s="2" t="s">
        <v>3186</v>
      </c>
      <c r="F887" s="2" t="s">
        <v>4293</v>
      </c>
      <c r="G887" s="2" t="s">
        <v>4293</v>
      </c>
      <c r="H887" s="2" t="s">
        <v>4294</v>
      </c>
      <c r="I887" s="2" t="s">
        <v>4295</v>
      </c>
      <c r="J887" s="2" t="s">
        <v>93</v>
      </c>
      <c r="K887" s="2" t="s">
        <v>1915</v>
      </c>
      <c r="L887" s="3">
        <v>119.7</v>
      </c>
      <c r="M887" s="3">
        <v>125.68</v>
      </c>
      <c r="N887" s="3">
        <v>249</v>
      </c>
      <c r="O887" s="2" t="s">
        <v>95</v>
      </c>
      <c r="P887" s="2" t="s">
        <v>134</v>
      </c>
      <c r="Q887" s="2" t="s">
        <v>97</v>
      </c>
      <c r="R887" s="2" t="s">
        <v>98</v>
      </c>
      <c r="S887" s="2" t="s">
        <v>98</v>
      </c>
      <c r="T887" s="2" t="s">
        <v>98</v>
      </c>
      <c r="U887" s="2" t="s">
        <v>117</v>
      </c>
      <c r="V887" s="2" t="s">
        <v>296</v>
      </c>
      <c r="W887" s="2" t="s">
        <v>103</v>
      </c>
      <c r="X887" s="2" t="s">
        <v>1215</v>
      </c>
      <c r="Y887" s="2" t="s">
        <v>4296</v>
      </c>
      <c r="Z887" s="4">
        <v>57</v>
      </c>
      <c r="AA887" s="4">
        <f>=ROUNDDOWN(4.38461538461539,0)</f>
      </c>
      <c r="AB887" s="5">
        <v>13</v>
      </c>
      <c r="AC887" s="2" t="s">
        <v>222</v>
      </c>
      <c r="AD887" s="4">
        <v>100</v>
      </c>
      <c r="AE887" s="4">
        <v>210</v>
      </c>
      <c r="AF887" s="6">
        <v>76</v>
      </c>
      <c r="AG887" s="6">
        <v>67</v>
      </c>
      <c r="AH887" s="7">
        <v>1</v>
      </c>
      <c r="AI887" s="4"/>
      <c r="AJ887" s="4">
        <f>=ROUNDDOWN({0},0)</f>
      </c>
      <c r="AK887" s="5"/>
      <c r="AL887" s="2" t="s">
        <v>98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/>
      <c r="BD887" s="8"/>
      <c r="BE887" s="4"/>
      <c r="BF887" s="8"/>
      <c r="BG887" s="7"/>
      <c r="BH887" s="7"/>
      <c r="BI887" s="7"/>
      <c r="BJ887" s="4">
        <v>9</v>
      </c>
      <c r="BK887" s="8">
        <v>1217.88</v>
      </c>
      <c r="BL887" s="2" t="s">
        <v>1379</v>
      </c>
      <c r="BM887" s="7"/>
      <c r="BN887" s="7"/>
      <c r="BO887" s="4"/>
      <c r="BP887" s="8"/>
      <c r="BQ887" s="4"/>
      <c r="BR887" s="8"/>
      <c r="BS887" s="7"/>
      <c r="BT887" s="7"/>
      <c r="BU887" s="2" t="s">
        <v>1376</v>
      </c>
      <c r="BV887" s="2" t="s">
        <v>95</v>
      </c>
      <c r="BW887" s="2" t="s">
        <v>98</v>
      </c>
      <c r="BX887" s="2" t="s">
        <v>98</v>
      </c>
      <c r="BY887" s="2" t="s">
        <v>110</v>
      </c>
      <c r="BZ887" s="2" t="s">
        <v>98</v>
      </c>
    </row>
    <row r="888">
      <c r="A888" s="2" t="s">
        <v>4297</v>
      </c>
      <c r="B888" s="2" t="s">
        <v>1345</v>
      </c>
      <c r="C888" s="2" t="s">
        <v>1178</v>
      </c>
      <c r="D888" s="2" t="s">
        <v>3068</v>
      </c>
      <c r="E888" s="2" t="s">
        <v>3186</v>
      </c>
      <c r="F888" s="2" t="s">
        <v>4298</v>
      </c>
      <c r="G888" s="2" t="s">
        <v>4298</v>
      </c>
      <c r="H888" s="2" t="s">
        <v>4298</v>
      </c>
      <c r="I888" s="2" t="s">
        <v>4299</v>
      </c>
      <c r="J888" s="2" t="s">
        <v>93</v>
      </c>
      <c r="K888" s="2" t="s">
        <v>967</v>
      </c>
      <c r="L888" s="3">
        <v>140.25</v>
      </c>
      <c r="M888" s="3">
        <v>147.26</v>
      </c>
      <c r="N888" s="3">
        <v>299</v>
      </c>
      <c r="O888" s="2" t="s">
        <v>95</v>
      </c>
      <c r="P888" s="2" t="s">
        <v>142</v>
      </c>
      <c r="Q888" s="2" t="s">
        <v>97</v>
      </c>
      <c r="R888" s="2" t="s">
        <v>98</v>
      </c>
      <c r="S888" s="2" t="s">
        <v>98</v>
      </c>
      <c r="T888" s="2" t="s">
        <v>98</v>
      </c>
      <c r="U888" s="2" t="s">
        <v>117</v>
      </c>
      <c r="V888" s="2" t="s">
        <v>296</v>
      </c>
      <c r="W888" s="2" t="s">
        <v>98</v>
      </c>
      <c r="X888" s="2" t="s">
        <v>1215</v>
      </c>
      <c r="Y888" s="2" t="s">
        <v>554</v>
      </c>
      <c r="Z888" s="4">
        <v>62</v>
      </c>
      <c r="AA888" s="4">
        <f>=ROUNDDOWN(20.6666666666667,0)</f>
      </c>
      <c r="AB888" s="5">
        <v>3</v>
      </c>
      <c r="AC888" s="2" t="s">
        <v>4300</v>
      </c>
      <c r="AD888" s="4">
        <v>100</v>
      </c>
      <c r="AE888" s="4">
        <v>100</v>
      </c>
      <c r="AF888" s="6">
        <v>74</v>
      </c>
      <c r="AG888" s="6"/>
      <c r="AH888" s="7">
        <v>1</v>
      </c>
      <c r="AI888" s="4"/>
      <c r="AJ888" s="4">
        <f>=ROUNDDOWN({0},0)</f>
      </c>
      <c r="AK888" s="5"/>
      <c r="AL888" s="2" t="s">
        <v>98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/>
      <c r="AW888" s="8"/>
      <c r="AX888" s="4"/>
      <c r="AY888" s="8"/>
      <c r="AZ888" s="7"/>
      <c r="BA888" s="7"/>
      <c r="BB888" s="7"/>
      <c r="BC888" s="4"/>
      <c r="BD888" s="8"/>
      <c r="BE888" s="4"/>
      <c r="BF888" s="8"/>
      <c r="BG888" s="7"/>
      <c r="BH888" s="7"/>
      <c r="BI888" s="7"/>
      <c r="BJ888" s="4">
        <v>3</v>
      </c>
      <c r="BK888" s="8">
        <v>594.1</v>
      </c>
      <c r="BL888" s="2" t="s">
        <v>1200</v>
      </c>
      <c r="BM888" s="7"/>
      <c r="BN888" s="7"/>
      <c r="BO888" s="4"/>
      <c r="BP888" s="8"/>
      <c r="BQ888" s="4"/>
      <c r="BR888" s="8"/>
      <c r="BS888" s="7"/>
      <c r="BT888" s="7"/>
      <c r="BU888" s="2" t="s">
        <v>1376</v>
      </c>
      <c r="BV888" s="2" t="s">
        <v>95</v>
      </c>
      <c r="BW888" s="2" t="s">
        <v>98</v>
      </c>
      <c r="BX888" s="2" t="s">
        <v>98</v>
      </c>
      <c r="BY888" s="2" t="s">
        <v>110</v>
      </c>
      <c r="BZ888" s="2" t="s">
        <v>98</v>
      </c>
    </row>
    <row r="889">
      <c r="A889" s="2" t="s">
        <v>4301</v>
      </c>
      <c r="B889" s="2" t="s">
        <v>1345</v>
      </c>
      <c r="C889" s="2" t="s">
        <v>1178</v>
      </c>
      <c r="D889" s="2" t="s">
        <v>3068</v>
      </c>
      <c r="E889" s="2" t="s">
        <v>3186</v>
      </c>
      <c r="F889" s="2" t="s">
        <v>4302</v>
      </c>
      <c r="G889" s="2" t="s">
        <v>4302</v>
      </c>
      <c r="H889" s="2" t="s">
        <v>4302</v>
      </c>
      <c r="I889" s="2" t="s">
        <v>4303</v>
      </c>
      <c r="J889" s="2" t="s">
        <v>93</v>
      </c>
      <c r="K889" s="2" t="s">
        <v>277</v>
      </c>
      <c r="L889" s="3">
        <v>165</v>
      </c>
      <c r="M889" s="3">
        <v>173.25</v>
      </c>
      <c r="N889" s="3">
        <v>349</v>
      </c>
      <c r="O889" s="2" t="s">
        <v>95</v>
      </c>
      <c r="P889" s="2" t="s">
        <v>115</v>
      </c>
      <c r="Q889" s="2" t="s">
        <v>97</v>
      </c>
      <c r="R889" s="2" t="s">
        <v>98</v>
      </c>
      <c r="S889" s="2" t="s">
        <v>98</v>
      </c>
      <c r="T889" s="2" t="s">
        <v>98</v>
      </c>
      <c r="U889" s="2" t="s">
        <v>117</v>
      </c>
      <c r="V889" s="2" t="s">
        <v>439</v>
      </c>
      <c r="W889" s="2" t="s">
        <v>102</v>
      </c>
      <c r="X889" s="2" t="s">
        <v>1181</v>
      </c>
      <c r="Y889" s="2" t="s">
        <v>3345</v>
      </c>
      <c r="Z889" s="4">
        <v>18</v>
      </c>
      <c r="AA889" s="4">
        <f>=ROUNDDOWN(18,0)</f>
      </c>
      <c r="AB889" s="5">
        <v>1</v>
      </c>
      <c r="AC889" s="2" t="s">
        <v>98</v>
      </c>
      <c r="AD889" s="4"/>
      <c r="AE889" s="4"/>
      <c r="AF889" s="6">
        <v>67</v>
      </c>
      <c r="AG889" s="6"/>
      <c r="AH889" s="7">
        <v>1</v>
      </c>
      <c r="AI889" s="4"/>
      <c r="AJ889" s="4">
        <f>=ROUNDDOWN({0},0)</f>
      </c>
      <c r="AK889" s="5"/>
      <c r="AL889" s="2" t="s">
        <v>98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/>
      <c r="BD889" s="8"/>
      <c r="BE889" s="4"/>
      <c r="BF889" s="8"/>
      <c r="BG889" s="7"/>
      <c r="BH889" s="7"/>
      <c r="BI889" s="7"/>
      <c r="BJ889" s="4"/>
      <c r="BK889" s="8"/>
      <c r="BL889" s="2" t="s">
        <v>505</v>
      </c>
      <c r="BM889" s="7"/>
      <c r="BN889" s="7"/>
      <c r="BO889" s="4"/>
      <c r="BP889" s="8"/>
      <c r="BQ889" s="4"/>
      <c r="BR889" s="8"/>
      <c r="BS889" s="7"/>
      <c r="BT889" s="7"/>
      <c r="BU889" s="2" t="s">
        <v>1376</v>
      </c>
      <c r="BV889" s="2" t="s">
        <v>95</v>
      </c>
      <c r="BW889" s="2" t="s">
        <v>98</v>
      </c>
      <c r="BX889" s="2" t="s">
        <v>98</v>
      </c>
      <c r="BY889" s="2" t="s">
        <v>110</v>
      </c>
      <c r="BZ889" s="2" t="s">
        <v>98</v>
      </c>
    </row>
    <row r="890">
      <c r="A890" s="2" t="s">
        <v>4304</v>
      </c>
      <c r="B890" s="2" t="s">
        <v>1345</v>
      </c>
      <c r="C890" s="2" t="s">
        <v>1178</v>
      </c>
      <c r="D890" s="2" t="s">
        <v>3068</v>
      </c>
      <c r="E890" s="2" t="s">
        <v>3186</v>
      </c>
      <c r="F890" s="2" t="s">
        <v>4305</v>
      </c>
      <c r="G890" s="2" t="s">
        <v>4305</v>
      </c>
      <c r="H890" s="2" t="s">
        <v>4305</v>
      </c>
      <c r="I890" s="2" t="s">
        <v>3202</v>
      </c>
      <c r="J890" s="2" t="s">
        <v>93</v>
      </c>
      <c r="K890" s="2" t="s">
        <v>1915</v>
      </c>
      <c r="L890" s="3">
        <v>119</v>
      </c>
      <c r="M890" s="3">
        <v>124.95</v>
      </c>
      <c r="N890" s="3">
        <v>249</v>
      </c>
      <c r="O890" s="2" t="s">
        <v>95</v>
      </c>
      <c r="P890" s="2" t="s">
        <v>142</v>
      </c>
      <c r="Q890" s="2" t="s">
        <v>97</v>
      </c>
      <c r="R890" s="2" t="s">
        <v>98</v>
      </c>
      <c r="S890" s="2" t="s">
        <v>98</v>
      </c>
      <c r="T890" s="2" t="s">
        <v>98</v>
      </c>
      <c r="U890" s="2" t="s">
        <v>117</v>
      </c>
      <c r="V890" s="2" t="s">
        <v>439</v>
      </c>
      <c r="W890" s="2" t="s">
        <v>102</v>
      </c>
      <c r="X890" s="2" t="s">
        <v>1181</v>
      </c>
      <c r="Y890" s="2" t="s">
        <v>4296</v>
      </c>
      <c r="Z890" s="4">
        <v>48</v>
      </c>
      <c r="AA890" s="4">
        <f>=ROUNDDOWN(12,0)</f>
      </c>
      <c r="AB890" s="5">
        <v>4</v>
      </c>
      <c r="AC890" s="2" t="s">
        <v>2707</v>
      </c>
      <c r="AD890" s="4">
        <v>36</v>
      </c>
      <c r="AE890" s="4">
        <v>36</v>
      </c>
      <c r="AF890" s="6">
        <v>76</v>
      </c>
      <c r="AG890" s="6"/>
      <c r="AH890" s="7">
        <v>1</v>
      </c>
      <c r="AI890" s="4"/>
      <c r="AJ890" s="4">
        <f>=ROUNDDOWN({0},0)</f>
      </c>
      <c r="AK890" s="5"/>
      <c r="AL890" s="2" t="s">
        <v>98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/>
      <c r="AW890" s="8"/>
      <c r="AX890" s="4"/>
      <c r="AY890" s="8"/>
      <c r="AZ890" s="7"/>
      <c r="BA890" s="7"/>
      <c r="BB890" s="7"/>
      <c r="BC890" s="4"/>
      <c r="BD890" s="8"/>
      <c r="BE890" s="4"/>
      <c r="BF890" s="8"/>
      <c r="BG890" s="7"/>
      <c r="BH890" s="7"/>
      <c r="BI890" s="7"/>
      <c r="BJ890" s="4">
        <v>2</v>
      </c>
      <c r="BK890" s="8">
        <v>274.9</v>
      </c>
      <c r="BL890" s="2" t="s">
        <v>269</v>
      </c>
      <c r="BM890" s="7"/>
      <c r="BN890" s="7"/>
      <c r="BO890" s="4"/>
      <c r="BP890" s="8"/>
      <c r="BQ890" s="4"/>
      <c r="BR890" s="8"/>
      <c r="BS890" s="7"/>
      <c r="BT890" s="7"/>
      <c r="BU890" s="2" t="s">
        <v>1376</v>
      </c>
      <c r="BV890" s="2" t="s">
        <v>95</v>
      </c>
      <c r="BW890" s="2" t="s">
        <v>98</v>
      </c>
      <c r="BX890" s="2" t="s">
        <v>98</v>
      </c>
      <c r="BY890" s="2" t="s">
        <v>110</v>
      </c>
      <c r="BZ890" s="2" t="s">
        <v>98</v>
      </c>
    </row>
    <row r="891">
      <c r="A891" s="2" t="s">
        <v>4306</v>
      </c>
      <c r="B891" s="2" t="s">
        <v>1345</v>
      </c>
      <c r="C891" s="2" t="s">
        <v>1178</v>
      </c>
      <c r="D891" s="2" t="s">
        <v>3068</v>
      </c>
      <c r="E891" s="2" t="s">
        <v>3069</v>
      </c>
      <c r="F891" s="2" t="s">
        <v>4307</v>
      </c>
      <c r="G891" s="2" t="s">
        <v>4307</v>
      </c>
      <c r="H891" s="2" t="s">
        <v>4307</v>
      </c>
      <c r="I891" s="2" t="s">
        <v>3793</v>
      </c>
      <c r="J891" s="2" t="s">
        <v>93</v>
      </c>
      <c r="K891" s="2" t="s">
        <v>967</v>
      </c>
      <c r="L891" s="3">
        <v>110</v>
      </c>
      <c r="M891" s="3">
        <v>115.5</v>
      </c>
      <c r="N891" s="3">
        <v>229</v>
      </c>
      <c r="O891" s="2" t="s">
        <v>155</v>
      </c>
      <c r="P891" s="2" t="s">
        <v>115</v>
      </c>
      <c r="Q891" s="2" t="s">
        <v>97</v>
      </c>
      <c r="R891" s="2" t="s">
        <v>98</v>
      </c>
      <c r="S891" s="2" t="s">
        <v>98</v>
      </c>
      <c r="T891" s="2" t="s">
        <v>98</v>
      </c>
      <c r="U891" s="2" t="s">
        <v>117</v>
      </c>
      <c r="V891" s="2" t="s">
        <v>296</v>
      </c>
      <c r="W891" s="2" t="s">
        <v>102</v>
      </c>
      <c r="X891" s="2" t="s">
        <v>1181</v>
      </c>
      <c r="Y891" s="2" t="s">
        <v>4308</v>
      </c>
      <c r="Z891" s="4">
        <v>163</v>
      </c>
      <c r="AA891" s="4">
        <f>=ROUNDDOWN(203.75,0)</f>
      </c>
      <c r="AB891" s="5">
        <v>0.8</v>
      </c>
      <c r="AC891" s="2" t="s">
        <v>98</v>
      </c>
      <c r="AD891" s="4"/>
      <c r="AE891" s="4"/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98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/>
      <c r="BD891" s="8"/>
      <c r="BE891" s="4"/>
      <c r="BF891" s="8"/>
      <c r="BG891" s="7"/>
      <c r="BH891" s="7"/>
      <c r="BI891" s="7"/>
      <c r="BJ891" s="4"/>
      <c r="BK891" s="8"/>
      <c r="BL891" s="2" t="s">
        <v>98</v>
      </c>
      <c r="BM891" s="7"/>
      <c r="BN891" s="7"/>
      <c r="BO891" s="4"/>
      <c r="BP891" s="8"/>
      <c r="BQ891" s="4"/>
      <c r="BR891" s="8"/>
      <c r="BS891" s="7"/>
      <c r="BT891" s="7"/>
      <c r="BU891" s="2" t="s">
        <v>1376</v>
      </c>
      <c r="BV891" s="2" t="s">
        <v>95</v>
      </c>
      <c r="BW891" s="2" t="s">
        <v>98</v>
      </c>
      <c r="BX891" s="2" t="s">
        <v>98</v>
      </c>
      <c r="BY891" s="2" t="s">
        <v>110</v>
      </c>
      <c r="BZ891" s="2" t="s">
        <v>98</v>
      </c>
    </row>
    <row r="892">
      <c r="A892" s="2" t="s">
        <v>4309</v>
      </c>
      <c r="B892" s="2" t="s">
        <v>1345</v>
      </c>
      <c r="C892" s="2" t="s">
        <v>1178</v>
      </c>
      <c r="D892" s="2" t="s">
        <v>3068</v>
      </c>
      <c r="E892" s="2" t="s">
        <v>3069</v>
      </c>
      <c r="F892" s="2" t="s">
        <v>4310</v>
      </c>
      <c r="G892" s="2" t="s">
        <v>4310</v>
      </c>
      <c r="H892" s="2" t="s">
        <v>4310</v>
      </c>
      <c r="I892" s="2" t="s">
        <v>3120</v>
      </c>
      <c r="J892" s="2" t="s">
        <v>93</v>
      </c>
      <c r="K892" s="2" t="s">
        <v>1385</v>
      </c>
      <c r="L892" s="3">
        <v>171</v>
      </c>
      <c r="M892" s="3">
        <v>179.55</v>
      </c>
      <c r="N892" s="3">
        <v>359</v>
      </c>
      <c r="O892" s="2" t="s">
        <v>95</v>
      </c>
      <c r="P892" s="2" t="s">
        <v>134</v>
      </c>
      <c r="Q892" s="2" t="s">
        <v>97</v>
      </c>
      <c r="R892" s="2" t="s">
        <v>98</v>
      </c>
      <c r="S892" s="2" t="s">
        <v>98</v>
      </c>
      <c r="T892" s="2" t="s">
        <v>98</v>
      </c>
      <c r="U892" s="2" t="s">
        <v>98</v>
      </c>
      <c r="V892" s="2" t="s">
        <v>4311</v>
      </c>
      <c r="W892" s="2" t="s">
        <v>204</v>
      </c>
      <c r="X892" s="2" t="s">
        <v>1215</v>
      </c>
      <c r="Y892" s="2" t="s">
        <v>4312</v>
      </c>
      <c r="Z892" s="4">
        <v>116</v>
      </c>
      <c r="AA892" s="4">
        <f>=ROUNDDOWN(46.4,0)</f>
      </c>
      <c r="AB892" s="5">
        <v>2.5</v>
      </c>
      <c r="AC892" s="2" t="s">
        <v>1562</v>
      </c>
      <c r="AD892" s="4">
        <v>100</v>
      </c>
      <c r="AE892" s="4">
        <v>100</v>
      </c>
      <c r="AF892" s="6">
        <v>65</v>
      </c>
      <c r="AG892" s="6"/>
      <c r="AH892" s="7">
        <v>1</v>
      </c>
      <c r="AI892" s="4"/>
      <c r="AJ892" s="4">
        <f>=ROUNDDOWN({0},0)</f>
      </c>
      <c r="AK892" s="5"/>
      <c r="AL892" s="2" t="s">
        <v>98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/>
      <c r="BD892" s="8"/>
      <c r="BE892" s="4"/>
      <c r="BF892" s="8"/>
      <c r="BG892" s="7"/>
      <c r="BH892" s="7"/>
      <c r="BI892" s="7"/>
      <c r="BJ892" s="4">
        <v>1</v>
      </c>
      <c r="BK892" s="8">
        <v>197.42</v>
      </c>
      <c r="BL892" s="2" t="s">
        <v>2215</v>
      </c>
      <c r="BM892" s="7"/>
      <c r="BN892" s="7"/>
      <c r="BO892" s="4"/>
      <c r="BP892" s="8"/>
      <c r="BQ892" s="4"/>
      <c r="BR892" s="8"/>
      <c r="BS892" s="7"/>
      <c r="BT892" s="7"/>
      <c r="BU892" s="2" t="s">
        <v>1376</v>
      </c>
      <c r="BV892" s="2" t="s">
        <v>95</v>
      </c>
      <c r="BW892" s="2" t="s">
        <v>98</v>
      </c>
      <c r="BX892" s="2" t="s">
        <v>98</v>
      </c>
      <c r="BY892" s="2" t="s">
        <v>110</v>
      </c>
      <c r="BZ892" s="2" t="s">
        <v>98</v>
      </c>
    </row>
    <row r="893">
      <c r="A893" s="2" t="s">
        <v>4313</v>
      </c>
      <c r="B893" s="2" t="s">
        <v>1345</v>
      </c>
      <c r="C893" s="2" t="s">
        <v>1178</v>
      </c>
      <c r="D893" s="2" t="s">
        <v>3068</v>
      </c>
      <c r="E893" s="2" t="s">
        <v>3069</v>
      </c>
      <c r="F893" s="2" t="s">
        <v>4195</v>
      </c>
      <c r="G893" s="2" t="s">
        <v>4195</v>
      </c>
      <c r="H893" s="2" t="s">
        <v>4195</v>
      </c>
      <c r="I893" s="2" t="s">
        <v>3102</v>
      </c>
      <c r="J893" s="2" t="s">
        <v>93</v>
      </c>
      <c r="K893" s="2" t="s">
        <v>127</v>
      </c>
      <c r="L893" s="3">
        <v>190</v>
      </c>
      <c r="M893" s="3">
        <v>199.5</v>
      </c>
      <c r="N893" s="3">
        <v>399</v>
      </c>
      <c r="O893" s="2" t="s">
        <v>95</v>
      </c>
      <c r="P893" s="2" t="s">
        <v>134</v>
      </c>
      <c r="Q893" s="2" t="s">
        <v>97</v>
      </c>
      <c r="R893" s="2" t="s">
        <v>98</v>
      </c>
      <c r="S893" s="2" t="s">
        <v>98</v>
      </c>
      <c r="T893" s="2" t="s">
        <v>98</v>
      </c>
      <c r="U893" s="2" t="s">
        <v>117</v>
      </c>
      <c r="V893" s="2" t="s">
        <v>439</v>
      </c>
      <c r="W893" s="2" t="s">
        <v>204</v>
      </c>
      <c r="X893" s="2" t="s">
        <v>1215</v>
      </c>
      <c r="Y893" s="2" t="s">
        <v>4314</v>
      </c>
      <c r="Z893" s="4">
        <v>93</v>
      </c>
      <c r="AA893" s="4">
        <f>=ROUNDDOWN(18.6,0)</f>
      </c>
      <c r="AB893" s="5">
        <v>5</v>
      </c>
      <c r="AC893" s="2" t="s">
        <v>1562</v>
      </c>
      <c r="AD893" s="4">
        <v>100</v>
      </c>
      <c r="AE893" s="4">
        <v>100</v>
      </c>
      <c r="AF893" s="6">
        <v>65</v>
      </c>
      <c r="AG893" s="6"/>
      <c r="AH893" s="7">
        <v>1</v>
      </c>
      <c r="AI893" s="4"/>
      <c r="AJ893" s="4">
        <f>=ROUNDDOWN({0},0)</f>
      </c>
      <c r="AK893" s="5"/>
      <c r="AL893" s="2" t="s">
        <v>98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/>
      <c r="AW893" s="8"/>
      <c r="AX893" s="4"/>
      <c r="AY893" s="8"/>
      <c r="AZ893" s="7"/>
      <c r="BA893" s="7"/>
      <c r="BB893" s="7"/>
      <c r="BC893" s="4"/>
      <c r="BD893" s="8"/>
      <c r="BE893" s="4"/>
      <c r="BF893" s="8"/>
      <c r="BG893" s="7"/>
      <c r="BH893" s="7"/>
      <c r="BI893" s="7"/>
      <c r="BJ893" s="4">
        <v>2</v>
      </c>
      <c r="BK893" s="8">
        <v>424.93</v>
      </c>
      <c r="BL893" s="2" t="s">
        <v>1379</v>
      </c>
      <c r="BM893" s="7"/>
      <c r="BN893" s="7"/>
      <c r="BO893" s="4"/>
      <c r="BP893" s="8"/>
      <c r="BQ893" s="4"/>
      <c r="BR893" s="8"/>
      <c r="BS893" s="7"/>
      <c r="BT893" s="7"/>
      <c r="BU893" s="2" t="s">
        <v>1376</v>
      </c>
      <c r="BV893" s="2" t="s">
        <v>95</v>
      </c>
      <c r="BW893" s="2" t="s">
        <v>98</v>
      </c>
      <c r="BX893" s="2" t="s">
        <v>98</v>
      </c>
      <c r="BY893" s="2" t="s">
        <v>110</v>
      </c>
      <c r="BZ893" s="2" t="s">
        <v>98</v>
      </c>
    </row>
    <row r="894">
      <c r="A894" s="2" t="s">
        <v>4315</v>
      </c>
      <c r="B894" s="2" t="s">
        <v>1345</v>
      </c>
      <c r="C894" s="2" t="s">
        <v>1178</v>
      </c>
      <c r="D894" s="2" t="s">
        <v>3068</v>
      </c>
      <c r="E894" s="2" t="s">
        <v>3069</v>
      </c>
      <c r="F894" s="2" t="s">
        <v>4302</v>
      </c>
      <c r="G894" s="2" t="s">
        <v>4302</v>
      </c>
      <c r="H894" s="2" t="s">
        <v>4302</v>
      </c>
      <c r="I894" s="2" t="s">
        <v>4303</v>
      </c>
      <c r="J894" s="2" t="s">
        <v>93</v>
      </c>
      <c r="K894" s="2" t="s">
        <v>133</v>
      </c>
      <c r="L894" s="3">
        <v>140.25</v>
      </c>
      <c r="M894" s="3">
        <v>147.26</v>
      </c>
      <c r="N894" s="3">
        <v>299</v>
      </c>
      <c r="O894" s="2" t="s">
        <v>95</v>
      </c>
      <c r="P894" s="2" t="s">
        <v>142</v>
      </c>
      <c r="Q894" s="2" t="s">
        <v>97</v>
      </c>
      <c r="R894" s="2" t="s">
        <v>98</v>
      </c>
      <c r="S894" s="2" t="s">
        <v>98</v>
      </c>
      <c r="T894" s="2" t="s">
        <v>98</v>
      </c>
      <c r="U894" s="2" t="s">
        <v>117</v>
      </c>
      <c r="V894" s="2" t="s">
        <v>439</v>
      </c>
      <c r="W894" s="2" t="s">
        <v>102</v>
      </c>
      <c r="X894" s="2" t="s">
        <v>1181</v>
      </c>
      <c r="Y894" s="2" t="s">
        <v>2583</v>
      </c>
      <c r="Z894" s="4">
        <v>108</v>
      </c>
      <c r="AA894" s="4">
        <f>=ROUNDDOWN(27,0)</f>
      </c>
      <c r="AB894" s="5">
        <v>4</v>
      </c>
      <c r="AC894" s="2" t="s">
        <v>98</v>
      </c>
      <c r="AD894" s="4"/>
      <c r="AE894" s="4"/>
      <c r="AF894" s="6">
        <v>67</v>
      </c>
      <c r="AG894" s="6"/>
      <c r="AH894" s="7">
        <v>1</v>
      </c>
      <c r="AI894" s="4"/>
      <c r="AJ894" s="4">
        <f>=ROUNDDOWN({0},0)</f>
      </c>
      <c r="AK894" s="5"/>
      <c r="AL894" s="2" t="s">
        <v>98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/>
      <c r="AW894" s="8"/>
      <c r="AX894" s="4"/>
      <c r="AY894" s="8"/>
      <c r="AZ894" s="7"/>
      <c r="BA894" s="7"/>
      <c r="BB894" s="7"/>
      <c r="BC894" s="4"/>
      <c r="BD894" s="8"/>
      <c r="BE894" s="4"/>
      <c r="BF894" s="8"/>
      <c r="BG894" s="7"/>
      <c r="BH894" s="7"/>
      <c r="BI894" s="7"/>
      <c r="BJ894" s="4">
        <v>2</v>
      </c>
      <c r="BK894" s="8">
        <v>293.72</v>
      </c>
      <c r="BL894" s="2" t="s">
        <v>651</v>
      </c>
      <c r="BM894" s="7"/>
      <c r="BN894" s="7"/>
      <c r="BO894" s="4"/>
      <c r="BP894" s="8"/>
      <c r="BQ894" s="4"/>
      <c r="BR894" s="8"/>
      <c r="BS894" s="7"/>
      <c r="BT894" s="7"/>
      <c r="BU894" s="2" t="s">
        <v>107</v>
      </c>
      <c r="BV894" s="2" t="s">
        <v>1355</v>
      </c>
      <c r="BW894" s="2" t="s">
        <v>1584</v>
      </c>
      <c r="BX894" s="2" t="s">
        <v>98</v>
      </c>
      <c r="BY894" s="2" t="s">
        <v>110</v>
      </c>
      <c r="BZ894" s="2" t="s">
        <v>98</v>
      </c>
    </row>
    <row r="895">
      <c r="A895" s="2" t="s">
        <v>4316</v>
      </c>
      <c r="B895" s="2" t="s">
        <v>1345</v>
      </c>
      <c r="C895" s="2" t="s">
        <v>1178</v>
      </c>
      <c r="D895" s="2" t="s">
        <v>2872</v>
      </c>
      <c r="E895" s="2" t="s">
        <v>2872</v>
      </c>
      <c r="F895" s="2" t="s">
        <v>2200</v>
      </c>
      <c r="G895" s="2" t="s">
        <v>2200</v>
      </c>
      <c r="H895" s="2" t="s">
        <v>2200</v>
      </c>
      <c r="I895" s="2" t="s">
        <v>4317</v>
      </c>
      <c r="J895" s="2" t="s">
        <v>93</v>
      </c>
      <c r="K895" s="2" t="s">
        <v>4318</v>
      </c>
      <c r="L895" s="3">
        <v>270</v>
      </c>
      <c r="M895" s="3">
        <v>283.5</v>
      </c>
      <c r="N895" s="3">
        <v>559</v>
      </c>
      <c r="O895" s="2" t="s">
        <v>95</v>
      </c>
      <c r="P895" s="2" t="s">
        <v>295</v>
      </c>
      <c r="Q895" s="2" t="s">
        <v>97</v>
      </c>
      <c r="R895" s="2" t="s">
        <v>98</v>
      </c>
      <c r="S895" s="2" t="s">
        <v>98</v>
      </c>
      <c r="T895" s="2" t="s">
        <v>98</v>
      </c>
      <c r="U895" s="2" t="s">
        <v>117</v>
      </c>
      <c r="V895" s="2" t="s">
        <v>296</v>
      </c>
      <c r="W895" s="2" t="s">
        <v>119</v>
      </c>
      <c r="X895" s="2" t="s">
        <v>1186</v>
      </c>
      <c r="Y895" s="2" t="s">
        <v>98</v>
      </c>
      <c r="Z895" s="4"/>
      <c r="AA895" s="4">
        <f>=ROUNDDOWN({0},0)</f>
      </c>
      <c r="AB895" s="5"/>
      <c r="AC895" s="2" t="s">
        <v>4319</v>
      </c>
      <c r="AD895" s="4">
        <v>100</v>
      </c>
      <c r="AE895" s="4">
        <v>100</v>
      </c>
      <c r="AF895" s="6">
        <v>74</v>
      </c>
      <c r="AG895" s="6"/>
      <c r="AH895" s="7">
        <v>0</v>
      </c>
      <c r="AI895" s="4"/>
      <c r="AJ895" s="4">
        <f>=ROUNDDOWN({0},0)</f>
      </c>
      <c r="AK895" s="5"/>
      <c r="AL895" s="2" t="s">
        <v>98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/>
      <c r="AW895" s="8"/>
      <c r="AX895" s="4"/>
      <c r="AY895" s="8"/>
      <c r="AZ895" s="7"/>
      <c r="BA895" s="7"/>
      <c r="BB895" s="7"/>
      <c r="BC895" s="4"/>
      <c r="BD895" s="8"/>
      <c r="BE895" s="4"/>
      <c r="BF895" s="8"/>
      <c r="BG895" s="7"/>
      <c r="BH895" s="7"/>
      <c r="BI895" s="7"/>
      <c r="BJ895" s="4"/>
      <c r="BK895" s="8"/>
      <c r="BL895" s="2" t="s">
        <v>98</v>
      </c>
      <c r="BM895" s="7"/>
      <c r="BN895" s="7"/>
      <c r="BO895" s="4"/>
      <c r="BP895" s="8"/>
      <c r="BQ895" s="4"/>
      <c r="BR895" s="8"/>
      <c r="BS895" s="7"/>
      <c r="BT895" s="7"/>
      <c r="BU895" s="2" t="s">
        <v>1376</v>
      </c>
      <c r="BV895" s="2" t="s">
        <v>95</v>
      </c>
      <c r="BW895" s="2" t="s">
        <v>98</v>
      </c>
      <c r="BX895" s="2" t="s">
        <v>98</v>
      </c>
      <c r="BY895" s="2" t="s">
        <v>110</v>
      </c>
      <c r="BZ895" s="2" t="s">
        <v>98</v>
      </c>
    </row>
    <row r="896">
      <c r="A896" s="2" t="s">
        <v>4320</v>
      </c>
      <c r="B896" s="2" t="s">
        <v>1345</v>
      </c>
      <c r="C896" s="2" t="s">
        <v>1178</v>
      </c>
      <c r="D896" s="2" t="s">
        <v>2872</v>
      </c>
      <c r="E896" s="2" t="s">
        <v>2873</v>
      </c>
      <c r="F896" s="2" t="s">
        <v>4321</v>
      </c>
      <c r="G896" s="2" t="s">
        <v>4321</v>
      </c>
      <c r="H896" s="2" t="s">
        <v>4321</v>
      </c>
      <c r="I896" s="2" t="s">
        <v>3826</v>
      </c>
      <c r="J896" s="2" t="s">
        <v>93</v>
      </c>
      <c r="K896" s="2" t="s">
        <v>2919</v>
      </c>
      <c r="L896" s="3">
        <v>238.5</v>
      </c>
      <c r="M896" s="3">
        <v>250.42</v>
      </c>
      <c r="N896" s="3">
        <v>499</v>
      </c>
      <c r="O896" s="2" t="s">
        <v>95</v>
      </c>
      <c r="P896" s="2" t="s">
        <v>134</v>
      </c>
      <c r="Q896" s="2" t="s">
        <v>97</v>
      </c>
      <c r="R896" s="2" t="s">
        <v>98</v>
      </c>
      <c r="S896" s="2" t="s">
        <v>98</v>
      </c>
      <c r="T896" s="2" t="s">
        <v>98</v>
      </c>
      <c r="U896" s="2" t="s">
        <v>117</v>
      </c>
      <c r="V896" s="2" t="s">
        <v>439</v>
      </c>
      <c r="W896" s="2" t="s">
        <v>102</v>
      </c>
      <c r="X896" s="2" t="s">
        <v>1181</v>
      </c>
      <c r="Y896" s="2" t="s">
        <v>4322</v>
      </c>
      <c r="Z896" s="4">
        <v>48</v>
      </c>
      <c r="AA896" s="4">
        <f>=ROUNDDOWN(14.1176470588235,0)</f>
      </c>
      <c r="AB896" s="5">
        <v>3.4</v>
      </c>
      <c r="AC896" s="2" t="s">
        <v>4319</v>
      </c>
      <c r="AD896" s="4">
        <v>50</v>
      </c>
      <c r="AE896" s="4">
        <v>160</v>
      </c>
      <c r="AF896" s="6">
        <v>74</v>
      </c>
      <c r="AG896" s="6"/>
      <c r="AH896" s="7">
        <v>1</v>
      </c>
      <c r="AI896" s="4"/>
      <c r="AJ896" s="4">
        <f>=ROUNDDOWN({0},0)</f>
      </c>
      <c r="AK896" s="5"/>
      <c r="AL896" s="2" t="s">
        <v>98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/>
      <c r="AW896" s="8"/>
      <c r="AX896" s="4"/>
      <c r="AY896" s="8"/>
      <c r="AZ896" s="7"/>
      <c r="BA896" s="7"/>
      <c r="BB896" s="7"/>
      <c r="BC896" s="4"/>
      <c r="BD896" s="8"/>
      <c r="BE896" s="4"/>
      <c r="BF896" s="8"/>
      <c r="BG896" s="7"/>
      <c r="BH896" s="7"/>
      <c r="BI896" s="7"/>
      <c r="BJ896" s="4">
        <v>4</v>
      </c>
      <c r="BK896" s="8">
        <v>1122.59</v>
      </c>
      <c r="BL896" s="2" t="s">
        <v>4323</v>
      </c>
      <c r="BM896" s="7"/>
      <c r="BN896" s="7"/>
      <c r="BO896" s="4"/>
      <c r="BP896" s="8"/>
      <c r="BQ896" s="4"/>
      <c r="BR896" s="8"/>
      <c r="BS896" s="7"/>
      <c r="BT896" s="7"/>
      <c r="BU896" s="2" t="s">
        <v>1376</v>
      </c>
      <c r="BV896" s="2" t="s">
        <v>95</v>
      </c>
      <c r="BW896" s="2" t="s">
        <v>98</v>
      </c>
      <c r="BX896" s="2" t="s">
        <v>98</v>
      </c>
      <c r="BY896" s="2" t="s">
        <v>110</v>
      </c>
      <c r="BZ896" s="2" t="s">
        <v>98</v>
      </c>
    </row>
    <row r="897">
      <c r="A897" s="2" t="s">
        <v>4324</v>
      </c>
      <c r="B897" s="2" t="s">
        <v>1345</v>
      </c>
      <c r="C897" s="2" t="s">
        <v>1178</v>
      </c>
      <c r="D897" s="2" t="s">
        <v>2872</v>
      </c>
      <c r="E897" s="2" t="s">
        <v>1934</v>
      </c>
      <c r="F897" s="2" t="s">
        <v>4325</v>
      </c>
      <c r="G897" s="2" t="s">
        <v>4325</v>
      </c>
      <c r="H897" s="2" t="s">
        <v>4325</v>
      </c>
      <c r="I897" s="2" t="s">
        <v>4326</v>
      </c>
      <c r="J897" s="2" t="s">
        <v>93</v>
      </c>
      <c r="K897" s="2" t="s">
        <v>4327</v>
      </c>
      <c r="L897" s="3">
        <v>285</v>
      </c>
      <c r="M897" s="3">
        <v>299.25</v>
      </c>
      <c r="N897" s="3">
        <v>599</v>
      </c>
      <c r="O897" s="2" t="s">
        <v>95</v>
      </c>
      <c r="P897" s="2" t="s">
        <v>411</v>
      </c>
      <c r="Q897" s="2" t="s">
        <v>97</v>
      </c>
      <c r="R897" s="2" t="s">
        <v>98</v>
      </c>
      <c r="S897" s="2" t="s">
        <v>98</v>
      </c>
      <c r="T897" s="2" t="s">
        <v>98</v>
      </c>
      <c r="U897" s="2" t="s">
        <v>117</v>
      </c>
      <c r="V897" s="2" t="s">
        <v>296</v>
      </c>
      <c r="W897" s="2" t="s">
        <v>204</v>
      </c>
      <c r="X897" s="2" t="s">
        <v>1215</v>
      </c>
      <c r="Y897" s="2" t="s">
        <v>98</v>
      </c>
      <c r="Z897" s="4"/>
      <c r="AA897" s="4">
        <f>=ROUNDDOWN({0},0)</f>
      </c>
      <c r="AB897" s="5"/>
      <c r="AC897" s="2" t="s">
        <v>2575</v>
      </c>
      <c r="AD897" s="4">
        <v>1</v>
      </c>
      <c r="AE897" s="4">
        <v>100</v>
      </c>
      <c r="AF897" s="6">
        <v>74</v>
      </c>
      <c r="AG897" s="6"/>
      <c r="AH897" s="7">
        <v>0</v>
      </c>
      <c r="AI897" s="4"/>
      <c r="AJ897" s="4">
        <f>=ROUNDDOWN({0},0)</f>
      </c>
      <c r="AK897" s="5"/>
      <c r="AL897" s="2" t="s">
        <v>98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/>
      <c r="AW897" s="8"/>
      <c r="AX897" s="4"/>
      <c r="AY897" s="8"/>
      <c r="AZ897" s="7"/>
      <c r="BA897" s="7"/>
      <c r="BB897" s="7"/>
      <c r="BC897" s="4"/>
      <c r="BD897" s="8"/>
      <c r="BE897" s="4"/>
      <c r="BF897" s="8"/>
      <c r="BG897" s="7"/>
      <c r="BH897" s="7"/>
      <c r="BI897" s="7"/>
      <c r="BJ897" s="4"/>
      <c r="BK897" s="8"/>
      <c r="BL897" s="2" t="s">
        <v>98</v>
      </c>
      <c r="BM897" s="7"/>
      <c r="BN897" s="7"/>
      <c r="BO897" s="4"/>
      <c r="BP897" s="8"/>
      <c r="BQ897" s="4"/>
      <c r="BR897" s="8"/>
      <c r="BS897" s="7"/>
      <c r="BT897" s="7"/>
      <c r="BU897" s="2" t="s">
        <v>1376</v>
      </c>
      <c r="BV897" s="2" t="s">
        <v>95</v>
      </c>
      <c r="BW897" s="2" t="s">
        <v>98</v>
      </c>
      <c r="BX897" s="2" t="s">
        <v>98</v>
      </c>
      <c r="BY897" s="2" t="s">
        <v>110</v>
      </c>
      <c r="BZ897" s="2" t="s">
        <v>98</v>
      </c>
    </row>
    <row r="898">
      <c r="A898" s="2" t="s">
        <v>4328</v>
      </c>
      <c r="B898" s="2" t="s">
        <v>1345</v>
      </c>
      <c r="C898" s="2" t="s">
        <v>1178</v>
      </c>
      <c r="D898" s="2" t="s">
        <v>4134</v>
      </c>
      <c r="E898" s="2" t="s">
        <v>4134</v>
      </c>
      <c r="F898" s="2" t="s">
        <v>4329</v>
      </c>
      <c r="G898" s="2" t="s">
        <v>4329</v>
      </c>
      <c r="H898" s="2" t="s">
        <v>4329</v>
      </c>
      <c r="I898" s="2" t="s">
        <v>4330</v>
      </c>
      <c r="J898" s="2" t="s">
        <v>93</v>
      </c>
      <c r="K898" s="2" t="s">
        <v>4136</v>
      </c>
      <c r="L898" s="3">
        <v>165</v>
      </c>
      <c r="M898" s="3">
        <v>173.25</v>
      </c>
      <c r="N898" s="3">
        <v>349</v>
      </c>
      <c r="O898" s="2" t="s">
        <v>95</v>
      </c>
      <c r="P898" s="2" t="s">
        <v>134</v>
      </c>
      <c r="Q898" s="2" t="s">
        <v>97</v>
      </c>
      <c r="R898" s="2" t="s">
        <v>98</v>
      </c>
      <c r="S898" s="2" t="s">
        <v>4331</v>
      </c>
      <c r="T898" s="2" t="s">
        <v>98</v>
      </c>
      <c r="U898" s="2" t="s">
        <v>98</v>
      </c>
      <c r="V898" s="2" t="s">
        <v>296</v>
      </c>
      <c r="W898" s="2" t="s">
        <v>297</v>
      </c>
      <c r="X898" s="2" t="s">
        <v>1181</v>
      </c>
      <c r="Y898" s="2" t="s">
        <v>2709</v>
      </c>
      <c r="Z898" s="4">
        <v>23</v>
      </c>
      <c r="AA898" s="4">
        <f>=ROUNDDOWN(5.75,0)</f>
      </c>
      <c r="AB898" s="5">
        <v>4</v>
      </c>
      <c r="AC898" s="2" t="s">
        <v>1643</v>
      </c>
      <c r="AD898" s="4">
        <v>100</v>
      </c>
      <c r="AE898" s="4">
        <v>100</v>
      </c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98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/>
      <c r="AW898" s="8"/>
      <c r="AX898" s="4"/>
      <c r="AY898" s="8"/>
      <c r="AZ898" s="7"/>
      <c r="BA898" s="7"/>
      <c r="BB898" s="7"/>
      <c r="BC898" s="4"/>
      <c r="BD898" s="8"/>
      <c r="BE898" s="4"/>
      <c r="BF898" s="8"/>
      <c r="BG898" s="7"/>
      <c r="BH898" s="7"/>
      <c r="BI898" s="7"/>
      <c r="BJ898" s="4"/>
      <c r="BK898" s="8"/>
      <c r="BL898" s="2" t="s">
        <v>895</v>
      </c>
      <c r="BM898" s="7"/>
      <c r="BN898" s="7"/>
      <c r="BO898" s="4"/>
      <c r="BP898" s="8"/>
      <c r="BQ898" s="4"/>
      <c r="BR898" s="8"/>
      <c r="BS898" s="7"/>
      <c r="BT898" s="7"/>
      <c r="BU898" s="2" t="s">
        <v>107</v>
      </c>
      <c r="BV898" s="2" t="s">
        <v>1355</v>
      </c>
      <c r="BW898" s="2" t="s">
        <v>1478</v>
      </c>
      <c r="BX898" s="2" t="s">
        <v>4265</v>
      </c>
      <c r="BY898" s="2" t="s">
        <v>110</v>
      </c>
      <c r="BZ898" s="2" t="s">
        <v>98</v>
      </c>
    </row>
    <row r="899">
      <c r="A899" s="2" t="s">
        <v>4332</v>
      </c>
      <c r="B899" s="2" t="s">
        <v>1345</v>
      </c>
      <c r="C899" s="2" t="s">
        <v>1178</v>
      </c>
      <c r="D899" s="2" t="s">
        <v>2390</v>
      </c>
      <c r="E899" s="2" t="s">
        <v>2391</v>
      </c>
      <c r="F899" s="2" t="s">
        <v>4333</v>
      </c>
      <c r="G899" s="2" t="s">
        <v>4333</v>
      </c>
      <c r="H899" s="2" t="s">
        <v>4333</v>
      </c>
      <c r="I899" s="2" t="s">
        <v>4334</v>
      </c>
      <c r="J899" s="2" t="s">
        <v>93</v>
      </c>
      <c r="K899" s="2" t="s">
        <v>2139</v>
      </c>
      <c r="L899" s="3">
        <v>85.05</v>
      </c>
      <c r="M899" s="3">
        <v>89.3</v>
      </c>
      <c r="N899" s="3">
        <v>179</v>
      </c>
      <c r="O899" s="2" t="s">
        <v>95</v>
      </c>
      <c r="P899" s="2" t="s">
        <v>142</v>
      </c>
      <c r="Q899" s="2" t="s">
        <v>97</v>
      </c>
      <c r="R899" s="2" t="s">
        <v>98</v>
      </c>
      <c r="S899" s="2" t="s">
        <v>98</v>
      </c>
      <c r="T899" s="2" t="s">
        <v>98</v>
      </c>
      <c r="U899" s="2" t="s">
        <v>117</v>
      </c>
      <c r="V899" s="2" t="s">
        <v>296</v>
      </c>
      <c r="W899" s="2" t="s">
        <v>103</v>
      </c>
      <c r="X899" s="2" t="s">
        <v>1215</v>
      </c>
      <c r="Y899" s="2" t="s">
        <v>3066</v>
      </c>
      <c r="Z899" s="4">
        <v>179</v>
      </c>
      <c r="AA899" s="4">
        <f>=ROUNDDOWN(55.9375,0)</f>
      </c>
      <c r="AB899" s="5">
        <v>3.2</v>
      </c>
      <c r="AC899" s="2" t="s">
        <v>98</v>
      </c>
      <c r="AD899" s="4"/>
      <c r="AE899" s="4"/>
      <c r="AF899" s="6">
        <v>74</v>
      </c>
      <c r="AG899" s="6"/>
      <c r="AH899" s="7">
        <v>1</v>
      </c>
      <c r="AI899" s="4"/>
      <c r="AJ899" s="4">
        <f>=ROUNDDOWN({0},0)</f>
      </c>
      <c r="AK899" s="5"/>
      <c r="AL899" s="2" t="s">
        <v>98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/>
      <c r="AW899" s="8"/>
      <c r="AX899" s="4"/>
      <c r="AY899" s="8"/>
      <c r="AZ899" s="7"/>
      <c r="BA899" s="7"/>
      <c r="BB899" s="7"/>
      <c r="BC899" s="4"/>
      <c r="BD899" s="8"/>
      <c r="BE899" s="4"/>
      <c r="BF899" s="8"/>
      <c r="BG899" s="7"/>
      <c r="BH899" s="7"/>
      <c r="BI899" s="7"/>
      <c r="BJ899" s="4">
        <v>5</v>
      </c>
      <c r="BK899" s="8">
        <v>491.15</v>
      </c>
      <c r="BL899" s="2" t="s">
        <v>269</v>
      </c>
      <c r="BM899" s="7"/>
      <c r="BN899" s="7"/>
      <c r="BO899" s="4"/>
      <c r="BP899" s="8"/>
      <c r="BQ899" s="4"/>
      <c r="BR899" s="8"/>
      <c r="BS899" s="7"/>
      <c r="BT899" s="7"/>
      <c r="BU899" s="2" t="s">
        <v>1376</v>
      </c>
      <c r="BV899" s="2" t="s">
        <v>95</v>
      </c>
      <c r="BW899" s="2" t="s">
        <v>98</v>
      </c>
      <c r="BX899" s="2" t="s">
        <v>98</v>
      </c>
      <c r="BY899" s="2" t="s">
        <v>110</v>
      </c>
      <c r="BZ899" s="2" t="s">
        <v>98</v>
      </c>
    </row>
    <row r="900">
      <c r="A900" s="2" t="s">
        <v>4335</v>
      </c>
      <c r="B900" s="2" t="s">
        <v>1345</v>
      </c>
      <c r="C900" s="2" t="s">
        <v>1178</v>
      </c>
      <c r="D900" s="2" t="s">
        <v>2390</v>
      </c>
      <c r="E900" s="2" t="s">
        <v>2391</v>
      </c>
      <c r="F900" s="2" t="s">
        <v>3437</v>
      </c>
      <c r="G900" s="2" t="s">
        <v>3437</v>
      </c>
      <c r="H900" s="2" t="s">
        <v>3437</v>
      </c>
      <c r="I900" s="2" t="s">
        <v>4336</v>
      </c>
      <c r="J900" s="2" t="s">
        <v>93</v>
      </c>
      <c r="K900" s="2" t="s">
        <v>277</v>
      </c>
      <c r="L900" s="3">
        <v>132</v>
      </c>
      <c r="M900" s="3">
        <v>138.6</v>
      </c>
      <c r="N900" s="3">
        <v>279</v>
      </c>
      <c r="O900" s="2" t="s">
        <v>95</v>
      </c>
      <c r="P900" s="2" t="s">
        <v>134</v>
      </c>
      <c r="Q900" s="2" t="s">
        <v>97</v>
      </c>
      <c r="R900" s="2" t="s">
        <v>98</v>
      </c>
      <c r="S900" s="2" t="s">
        <v>98</v>
      </c>
      <c r="T900" s="2" t="s">
        <v>98</v>
      </c>
      <c r="U900" s="2" t="s">
        <v>117</v>
      </c>
      <c r="V900" s="2" t="s">
        <v>296</v>
      </c>
      <c r="W900" s="2" t="s">
        <v>98</v>
      </c>
      <c r="X900" s="2" t="s">
        <v>1215</v>
      </c>
      <c r="Y900" s="2" t="s">
        <v>441</v>
      </c>
      <c r="Z900" s="4">
        <v>96</v>
      </c>
      <c r="AA900" s="4">
        <f>=ROUNDDOWN(19.2,0)</f>
      </c>
      <c r="AB900" s="5">
        <v>5</v>
      </c>
      <c r="AC900" s="2" t="s">
        <v>4096</v>
      </c>
      <c r="AD900" s="4">
        <v>100</v>
      </c>
      <c r="AE900" s="4">
        <v>200</v>
      </c>
      <c r="AF900" s="6">
        <v>74</v>
      </c>
      <c r="AG900" s="6">
        <v>60</v>
      </c>
      <c r="AH900" s="7">
        <v>1</v>
      </c>
      <c r="AI900" s="4"/>
      <c r="AJ900" s="4">
        <f>=ROUNDDOWN({0},0)</f>
      </c>
      <c r="AK900" s="5"/>
      <c r="AL900" s="2" t="s">
        <v>98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/>
      <c r="AW900" s="8"/>
      <c r="AX900" s="4"/>
      <c r="AY900" s="8"/>
      <c r="AZ900" s="7"/>
      <c r="BA900" s="7"/>
      <c r="BB900" s="7"/>
      <c r="BC900" s="4"/>
      <c r="BD900" s="8"/>
      <c r="BE900" s="4"/>
      <c r="BF900" s="8"/>
      <c r="BG900" s="7"/>
      <c r="BH900" s="7"/>
      <c r="BI900" s="7"/>
      <c r="BJ900" s="4">
        <v>10</v>
      </c>
      <c r="BK900" s="8">
        <v>1595.16</v>
      </c>
      <c r="BL900" s="2" t="s">
        <v>1644</v>
      </c>
      <c r="BM900" s="7"/>
      <c r="BN900" s="7"/>
      <c r="BO900" s="4"/>
      <c r="BP900" s="8"/>
      <c r="BQ900" s="4"/>
      <c r="BR900" s="8"/>
      <c r="BS900" s="7"/>
      <c r="BT900" s="7"/>
      <c r="BU900" s="2" t="s">
        <v>1376</v>
      </c>
      <c r="BV900" s="2" t="s">
        <v>95</v>
      </c>
      <c r="BW900" s="2" t="s">
        <v>98</v>
      </c>
      <c r="BX900" s="2" t="s">
        <v>98</v>
      </c>
      <c r="BY900" s="2" t="s">
        <v>110</v>
      </c>
      <c r="BZ900" s="2" t="s">
        <v>98</v>
      </c>
    </row>
    <row r="901">
      <c r="A901" s="2" t="s">
        <v>4337</v>
      </c>
      <c r="B901" s="2" t="s">
        <v>1345</v>
      </c>
      <c r="C901" s="2" t="s">
        <v>1178</v>
      </c>
      <c r="D901" s="2" t="s">
        <v>2390</v>
      </c>
      <c r="E901" s="2" t="s">
        <v>2391</v>
      </c>
      <c r="F901" s="2" t="s">
        <v>4338</v>
      </c>
      <c r="G901" s="2" t="s">
        <v>4338</v>
      </c>
      <c r="H901" s="2" t="s">
        <v>4338</v>
      </c>
      <c r="I901" s="2" t="s">
        <v>2526</v>
      </c>
      <c r="J901" s="2" t="s">
        <v>93</v>
      </c>
      <c r="K901" s="2" t="s">
        <v>1915</v>
      </c>
      <c r="L901" s="3">
        <v>79.48</v>
      </c>
      <c r="M901" s="3">
        <v>83.45</v>
      </c>
      <c r="N901" s="3">
        <v>169</v>
      </c>
      <c r="O901" s="2" t="s">
        <v>155</v>
      </c>
      <c r="P901" s="2" t="s">
        <v>115</v>
      </c>
      <c r="Q901" s="2" t="s">
        <v>97</v>
      </c>
      <c r="R901" s="2" t="s">
        <v>98</v>
      </c>
      <c r="S901" s="2" t="s">
        <v>98</v>
      </c>
      <c r="T901" s="2" t="s">
        <v>98</v>
      </c>
      <c r="U901" s="2" t="s">
        <v>117</v>
      </c>
      <c r="V901" s="2" t="s">
        <v>296</v>
      </c>
      <c r="W901" s="2" t="s">
        <v>204</v>
      </c>
      <c r="X901" s="2" t="s">
        <v>1215</v>
      </c>
      <c r="Y901" s="2" t="s">
        <v>4339</v>
      </c>
      <c r="Z901" s="4">
        <v>265</v>
      </c>
      <c r="AA901" s="4">
        <f>=ROUNDDOWN(132.5,0)</f>
      </c>
      <c r="AB901" s="5">
        <v>2</v>
      </c>
      <c r="AC901" s="2" t="s">
        <v>98</v>
      </c>
      <c r="AD901" s="4"/>
      <c r="AE901" s="4"/>
      <c r="AF901" s="6">
        <v>74</v>
      </c>
      <c r="AG901" s="6">
        <v>60</v>
      </c>
      <c r="AH901" s="7">
        <v>1</v>
      </c>
      <c r="AI901" s="4"/>
      <c r="AJ901" s="4">
        <f>=ROUNDDOWN({0},0)</f>
      </c>
      <c r="AK901" s="5"/>
      <c r="AL901" s="2" t="s">
        <v>98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/>
      <c r="AW901" s="8"/>
      <c r="AX901" s="4"/>
      <c r="AY901" s="8"/>
      <c r="AZ901" s="7"/>
      <c r="BA901" s="7"/>
      <c r="BB901" s="7"/>
      <c r="BC901" s="4"/>
      <c r="BD901" s="8"/>
      <c r="BE901" s="4"/>
      <c r="BF901" s="8"/>
      <c r="BG901" s="7"/>
      <c r="BH901" s="7"/>
      <c r="BI901" s="7"/>
      <c r="BJ901" s="4"/>
      <c r="BK901" s="8"/>
      <c r="BL901" s="2" t="s">
        <v>98</v>
      </c>
      <c r="BM901" s="7"/>
      <c r="BN901" s="7"/>
      <c r="BO901" s="4"/>
      <c r="BP901" s="8"/>
      <c r="BQ901" s="4"/>
      <c r="BR901" s="8"/>
      <c r="BS901" s="7"/>
      <c r="BT901" s="7"/>
      <c r="BU901" s="2" t="s">
        <v>1376</v>
      </c>
      <c r="BV901" s="2" t="s">
        <v>95</v>
      </c>
      <c r="BW901" s="2" t="s">
        <v>98</v>
      </c>
      <c r="BX901" s="2" t="s">
        <v>98</v>
      </c>
      <c r="BY901" s="2" t="s">
        <v>110</v>
      </c>
      <c r="BZ901" s="2" t="s">
        <v>98</v>
      </c>
    </row>
    <row r="902">
      <c r="A902" s="2" t="s">
        <v>4340</v>
      </c>
      <c r="B902" s="2" t="s">
        <v>1345</v>
      </c>
      <c r="C902" s="2" t="s">
        <v>1178</v>
      </c>
      <c r="D902" s="2" t="s">
        <v>2390</v>
      </c>
      <c r="E902" s="2" t="s">
        <v>2391</v>
      </c>
      <c r="F902" s="2" t="s">
        <v>2289</v>
      </c>
      <c r="G902" s="2" t="s">
        <v>2289</v>
      </c>
      <c r="H902" s="2" t="s">
        <v>2289</v>
      </c>
      <c r="I902" s="2" t="s">
        <v>2433</v>
      </c>
      <c r="J902" s="2" t="s">
        <v>93</v>
      </c>
      <c r="K902" s="2" t="s">
        <v>4118</v>
      </c>
      <c r="L902" s="3">
        <v>95</v>
      </c>
      <c r="M902" s="3">
        <v>99.75</v>
      </c>
      <c r="N902" s="3">
        <v>199</v>
      </c>
      <c r="O902" s="2" t="s">
        <v>95</v>
      </c>
      <c r="P902" s="2" t="s">
        <v>134</v>
      </c>
      <c r="Q902" s="2" t="s">
        <v>97</v>
      </c>
      <c r="R902" s="2" t="s">
        <v>98</v>
      </c>
      <c r="S902" s="2" t="s">
        <v>98</v>
      </c>
      <c r="T902" s="2" t="s">
        <v>98</v>
      </c>
      <c r="U902" s="2" t="s">
        <v>98</v>
      </c>
      <c r="V902" s="2" t="s">
        <v>439</v>
      </c>
      <c r="W902" s="2" t="s">
        <v>102</v>
      </c>
      <c r="X902" s="2" t="s">
        <v>1181</v>
      </c>
      <c r="Y902" s="2" t="s">
        <v>4341</v>
      </c>
      <c r="Z902" s="4">
        <v>79</v>
      </c>
      <c r="AA902" s="4">
        <f>=ROUNDDOWN(11.2857142857143,0)</f>
      </c>
      <c r="AB902" s="5">
        <v>7</v>
      </c>
      <c r="AC902" s="2" t="s">
        <v>1643</v>
      </c>
      <c r="AD902" s="4">
        <v>115</v>
      </c>
      <c r="AE902" s="4">
        <v>115</v>
      </c>
      <c r="AF902" s="6">
        <v>65</v>
      </c>
      <c r="AG902" s="6">
        <v>48</v>
      </c>
      <c r="AH902" s="7">
        <v>1</v>
      </c>
      <c r="AI902" s="4"/>
      <c r="AJ902" s="4">
        <f>=ROUNDDOWN({0},0)</f>
      </c>
      <c r="AK902" s="5"/>
      <c r="AL902" s="2" t="s">
        <v>98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/>
      <c r="AW902" s="8"/>
      <c r="AX902" s="4"/>
      <c r="AY902" s="8"/>
      <c r="AZ902" s="7"/>
      <c r="BA902" s="7"/>
      <c r="BB902" s="7"/>
      <c r="BC902" s="4"/>
      <c r="BD902" s="8"/>
      <c r="BE902" s="4"/>
      <c r="BF902" s="8"/>
      <c r="BG902" s="7"/>
      <c r="BH902" s="7"/>
      <c r="BI902" s="7"/>
      <c r="BJ902" s="4">
        <v>6</v>
      </c>
      <c r="BK902" s="8">
        <v>633.98</v>
      </c>
      <c r="BL902" s="2" t="s">
        <v>1644</v>
      </c>
      <c r="BM902" s="7"/>
      <c r="BN902" s="7"/>
      <c r="BO902" s="4"/>
      <c r="BP902" s="8"/>
      <c r="BQ902" s="4"/>
      <c r="BR902" s="8"/>
      <c r="BS902" s="7"/>
      <c r="BT902" s="7"/>
      <c r="BU902" s="2" t="s">
        <v>1376</v>
      </c>
      <c r="BV902" s="2" t="s">
        <v>1355</v>
      </c>
      <c r="BW902" s="2" t="s">
        <v>98</v>
      </c>
      <c r="BX902" s="2" t="s">
        <v>98</v>
      </c>
      <c r="BY902" s="2" t="s">
        <v>110</v>
      </c>
      <c r="BZ902" s="2" t="s">
        <v>98</v>
      </c>
    </row>
    <row r="903">
      <c r="A903" s="2" t="s">
        <v>4342</v>
      </c>
      <c r="B903" s="2" t="s">
        <v>1345</v>
      </c>
      <c r="C903" s="2" t="s">
        <v>1178</v>
      </c>
      <c r="D903" s="2" t="s">
        <v>2390</v>
      </c>
      <c r="E903" s="2" t="s">
        <v>2391</v>
      </c>
      <c r="F903" s="2" t="s">
        <v>1260</v>
      </c>
      <c r="G903" s="2" t="s">
        <v>1260</v>
      </c>
      <c r="H903" s="2" t="s">
        <v>1260</v>
      </c>
      <c r="I903" s="2" t="s">
        <v>4343</v>
      </c>
      <c r="J903" s="2" t="s">
        <v>93</v>
      </c>
      <c r="K903" s="2" t="s">
        <v>127</v>
      </c>
      <c r="L903" s="3">
        <v>225</v>
      </c>
      <c r="M903" s="3">
        <v>236.25</v>
      </c>
      <c r="N903" s="3">
        <v>469</v>
      </c>
      <c r="O903" s="2" t="s">
        <v>95</v>
      </c>
      <c r="P903" s="2" t="s">
        <v>134</v>
      </c>
      <c r="Q903" s="2" t="s">
        <v>97</v>
      </c>
      <c r="R903" s="2" t="s">
        <v>98</v>
      </c>
      <c r="S903" s="2" t="s">
        <v>98</v>
      </c>
      <c r="T903" s="2" t="s">
        <v>98</v>
      </c>
      <c r="U903" s="2" t="s">
        <v>117</v>
      </c>
      <c r="V903" s="2" t="s">
        <v>296</v>
      </c>
      <c r="W903" s="2" t="s">
        <v>103</v>
      </c>
      <c r="X903" s="2" t="s">
        <v>1186</v>
      </c>
      <c r="Y903" s="2" t="s">
        <v>3616</v>
      </c>
      <c r="Z903" s="4">
        <v>188</v>
      </c>
      <c r="AA903" s="4">
        <f>=ROUNDDOWN(7.52,0)</f>
      </c>
      <c r="AB903" s="5">
        <v>25</v>
      </c>
      <c r="AC903" s="2" t="s">
        <v>4344</v>
      </c>
      <c r="AD903" s="4">
        <v>170</v>
      </c>
      <c r="AE903" s="4">
        <v>570</v>
      </c>
      <c r="AF903" s="6">
        <v>76</v>
      </c>
      <c r="AG903" s="6"/>
      <c r="AH903" s="7">
        <v>1</v>
      </c>
      <c r="AI903" s="4"/>
      <c r="AJ903" s="4">
        <f>=ROUNDDOWN({0},0)</f>
      </c>
      <c r="AK903" s="5"/>
      <c r="AL903" s="2" t="s">
        <v>98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/>
      <c r="AW903" s="8"/>
      <c r="AX903" s="4"/>
      <c r="AY903" s="8"/>
      <c r="AZ903" s="7"/>
      <c r="BA903" s="7"/>
      <c r="BB903" s="7"/>
      <c r="BC903" s="4" t="s">
        <v>98</v>
      </c>
      <c r="BD903" s="8" t="s">
        <v>98</v>
      </c>
      <c r="BE903" s="4" t="s">
        <v>98</v>
      </c>
      <c r="BF903" s="8" t="s">
        <v>98</v>
      </c>
      <c r="BG903" s="7" t="s">
        <v>98</v>
      </c>
      <c r="BH903" s="7" t="s">
        <v>98</v>
      </c>
      <c r="BI903" s="7"/>
      <c r="BJ903" s="4">
        <v>14</v>
      </c>
      <c r="BK903" s="8">
        <v>3562.7</v>
      </c>
      <c r="BL903" s="2" t="s">
        <v>2215</v>
      </c>
      <c r="BM903" s="7"/>
      <c r="BN903" s="7"/>
      <c r="BO903" s="4"/>
      <c r="BP903" s="8"/>
      <c r="BQ903" s="4"/>
      <c r="BR903" s="8"/>
      <c r="BS903" s="7"/>
      <c r="BT903" s="7"/>
      <c r="BU903" s="2" t="s">
        <v>1376</v>
      </c>
      <c r="BV903" s="2" t="s">
        <v>95</v>
      </c>
      <c r="BW903" s="2" t="s">
        <v>98</v>
      </c>
      <c r="BX903" s="2" t="s">
        <v>98</v>
      </c>
      <c r="BY903" s="2" t="s">
        <v>110</v>
      </c>
      <c r="BZ903" s="2" t="s">
        <v>98</v>
      </c>
    </row>
    <row r="904">
      <c r="A904" s="2" t="s">
        <v>4345</v>
      </c>
      <c r="B904" s="2" t="s">
        <v>1345</v>
      </c>
      <c r="C904" s="2" t="s">
        <v>1178</v>
      </c>
      <c r="D904" s="2" t="s">
        <v>2390</v>
      </c>
      <c r="E904" s="2" t="s">
        <v>2391</v>
      </c>
      <c r="F904" s="2" t="s">
        <v>1260</v>
      </c>
      <c r="G904" s="2" t="s">
        <v>1260</v>
      </c>
      <c r="H904" s="2" t="s">
        <v>1260</v>
      </c>
      <c r="I904" s="2" t="s">
        <v>4343</v>
      </c>
      <c r="J904" s="2" t="s">
        <v>93</v>
      </c>
      <c r="K904" s="2" t="s">
        <v>4346</v>
      </c>
      <c r="L904" s="3">
        <v>225</v>
      </c>
      <c r="M904" s="3">
        <v>236.25</v>
      </c>
      <c r="N904" s="3">
        <v>469</v>
      </c>
      <c r="O904" s="2" t="s">
        <v>95</v>
      </c>
      <c r="P904" s="2" t="s">
        <v>134</v>
      </c>
      <c r="Q904" s="2" t="s">
        <v>97</v>
      </c>
      <c r="R904" s="2" t="s">
        <v>98</v>
      </c>
      <c r="S904" s="2" t="s">
        <v>98</v>
      </c>
      <c r="T904" s="2" t="s">
        <v>98</v>
      </c>
      <c r="U904" s="2" t="s">
        <v>117</v>
      </c>
      <c r="V904" s="2" t="s">
        <v>296</v>
      </c>
      <c r="W904" s="2" t="s">
        <v>103</v>
      </c>
      <c r="X904" s="2" t="s">
        <v>1186</v>
      </c>
      <c r="Y904" s="2" t="s">
        <v>4347</v>
      </c>
      <c r="Z904" s="4">
        <v>41</v>
      </c>
      <c r="AA904" s="4">
        <f>=ROUNDDOWN(6.83333333333333,0)</f>
      </c>
      <c r="AB904" s="5">
        <v>6</v>
      </c>
      <c r="AC904" s="2" t="s">
        <v>4344</v>
      </c>
      <c r="AD904" s="4">
        <v>100</v>
      </c>
      <c r="AE904" s="4">
        <v>100</v>
      </c>
      <c r="AF904" s="6">
        <v>76</v>
      </c>
      <c r="AG904" s="6"/>
      <c r="AH904" s="7">
        <v>1</v>
      </c>
      <c r="AI904" s="4"/>
      <c r="AJ904" s="4">
        <f>=ROUNDDOWN({0},0)</f>
      </c>
      <c r="AK904" s="5"/>
      <c r="AL904" s="2" t="s">
        <v>98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/>
      <c r="AW904" s="8"/>
      <c r="AX904" s="4"/>
      <c r="AY904" s="8"/>
      <c r="AZ904" s="7"/>
      <c r="BA904" s="7"/>
      <c r="BB904" s="7"/>
      <c r="BC904" s="4" t="s">
        <v>98</v>
      </c>
      <c r="BD904" s="8" t="s">
        <v>98</v>
      </c>
      <c r="BE904" s="4" t="s">
        <v>98</v>
      </c>
      <c r="BF904" s="8" t="s">
        <v>98</v>
      </c>
      <c r="BG904" s="7" t="s">
        <v>98</v>
      </c>
      <c r="BH904" s="7" t="s">
        <v>98</v>
      </c>
      <c r="BI904" s="7"/>
      <c r="BJ904" s="4">
        <v>6</v>
      </c>
      <c r="BK904" s="8">
        <v>1509.66</v>
      </c>
      <c r="BL904" s="2" t="s">
        <v>1379</v>
      </c>
      <c r="BM904" s="7"/>
      <c r="BN904" s="7"/>
      <c r="BO904" s="4"/>
      <c r="BP904" s="8"/>
      <c r="BQ904" s="4"/>
      <c r="BR904" s="8"/>
      <c r="BS904" s="7"/>
      <c r="BT904" s="7"/>
      <c r="BU904" s="2" t="s">
        <v>1376</v>
      </c>
      <c r="BV904" s="2" t="s">
        <v>95</v>
      </c>
      <c r="BW904" s="2" t="s">
        <v>98</v>
      </c>
      <c r="BX904" s="2" t="s">
        <v>98</v>
      </c>
      <c r="BY904" s="2" t="s">
        <v>110</v>
      </c>
      <c r="BZ904" s="2" t="s">
        <v>98</v>
      </c>
    </row>
    <row r="905">
      <c r="A905" s="2" t="s">
        <v>4348</v>
      </c>
      <c r="B905" s="2" t="s">
        <v>1345</v>
      </c>
      <c r="C905" s="2" t="s">
        <v>1178</v>
      </c>
      <c r="D905" s="2" t="s">
        <v>2390</v>
      </c>
      <c r="E905" s="2" t="s">
        <v>2391</v>
      </c>
      <c r="F905" s="2" t="s">
        <v>4349</v>
      </c>
      <c r="G905" s="2" t="s">
        <v>4349</v>
      </c>
      <c r="H905" s="2" t="s">
        <v>4349</v>
      </c>
      <c r="I905" s="2" t="s">
        <v>4336</v>
      </c>
      <c r="J905" s="2" t="s">
        <v>93</v>
      </c>
      <c r="K905" s="2" t="s">
        <v>1262</v>
      </c>
      <c r="L905" s="3">
        <v>148.5</v>
      </c>
      <c r="M905" s="3">
        <v>155.92</v>
      </c>
      <c r="N905" s="3">
        <v>309</v>
      </c>
      <c r="O905" s="2" t="s">
        <v>155</v>
      </c>
      <c r="P905" s="2" t="s">
        <v>115</v>
      </c>
      <c r="Q905" s="2" t="s">
        <v>97</v>
      </c>
      <c r="R905" s="2" t="s">
        <v>98</v>
      </c>
      <c r="S905" s="2" t="s">
        <v>98</v>
      </c>
      <c r="T905" s="2" t="s">
        <v>98</v>
      </c>
      <c r="U905" s="2" t="s">
        <v>117</v>
      </c>
      <c r="V905" s="2" t="s">
        <v>296</v>
      </c>
      <c r="W905" s="2" t="s">
        <v>98</v>
      </c>
      <c r="X905" s="2" t="s">
        <v>1181</v>
      </c>
      <c r="Y905" s="2" t="s">
        <v>441</v>
      </c>
      <c r="Z905" s="4">
        <v>39</v>
      </c>
      <c r="AA905" s="4">
        <f>=ROUNDDOWN(20.5263157894737,0)</f>
      </c>
      <c r="AB905" s="5">
        <v>1.9</v>
      </c>
      <c r="AC905" s="2" t="s">
        <v>98</v>
      </c>
      <c r="AD905" s="4"/>
      <c r="AE905" s="4"/>
      <c r="AF905" s="6">
        <v>74</v>
      </c>
      <c r="AG905" s="6"/>
      <c r="AH905" s="7">
        <v>1</v>
      </c>
      <c r="AI905" s="4"/>
      <c r="AJ905" s="4">
        <f>=ROUNDDOWN({0},0)</f>
      </c>
      <c r="AK905" s="5"/>
      <c r="AL905" s="2" t="s">
        <v>98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/>
      <c r="AW905" s="8"/>
      <c r="AX905" s="4"/>
      <c r="AY905" s="8"/>
      <c r="AZ905" s="7"/>
      <c r="BA905" s="7"/>
      <c r="BB905" s="7"/>
      <c r="BC905" s="4"/>
      <c r="BD905" s="8"/>
      <c r="BE905" s="4"/>
      <c r="BF905" s="8"/>
      <c r="BG905" s="7"/>
      <c r="BH905" s="7"/>
      <c r="BI905" s="7"/>
      <c r="BJ905" s="4"/>
      <c r="BK905" s="8"/>
      <c r="BL905" s="2" t="s">
        <v>98</v>
      </c>
      <c r="BM905" s="7"/>
      <c r="BN905" s="7"/>
      <c r="BO905" s="4"/>
      <c r="BP905" s="8"/>
      <c r="BQ905" s="4"/>
      <c r="BR905" s="8"/>
      <c r="BS905" s="7"/>
      <c r="BT905" s="7"/>
      <c r="BU905" s="2" t="s">
        <v>1376</v>
      </c>
      <c r="BV905" s="2" t="s">
        <v>95</v>
      </c>
      <c r="BW905" s="2" t="s">
        <v>98</v>
      </c>
      <c r="BX905" s="2" t="s">
        <v>98</v>
      </c>
      <c r="BY905" s="2" t="s">
        <v>110</v>
      </c>
      <c r="BZ905" s="2" t="s">
        <v>98</v>
      </c>
    </row>
    <row r="906">
      <c r="A906" s="2" t="s">
        <v>4350</v>
      </c>
      <c r="B906" s="2" t="s">
        <v>1345</v>
      </c>
      <c r="C906" s="2" t="s">
        <v>1178</v>
      </c>
      <c r="D906" s="2" t="s">
        <v>3370</v>
      </c>
      <c r="E906" s="2" t="s">
        <v>3370</v>
      </c>
      <c r="F906" s="2" t="s">
        <v>4351</v>
      </c>
      <c r="G906" s="2" t="s">
        <v>4351</v>
      </c>
      <c r="H906" s="2" t="s">
        <v>4351</v>
      </c>
      <c r="I906" s="2" t="s">
        <v>3374</v>
      </c>
      <c r="J906" s="2" t="s">
        <v>2826</v>
      </c>
      <c r="K906" s="2" t="s">
        <v>2965</v>
      </c>
      <c r="L906" s="3">
        <v>502</v>
      </c>
      <c r="M906" s="3">
        <v>527.1</v>
      </c>
      <c r="N906" s="3">
        <v>1049</v>
      </c>
      <c r="O906" s="2" t="s">
        <v>95</v>
      </c>
      <c r="P906" s="2" t="s">
        <v>411</v>
      </c>
      <c r="Q906" s="2" t="s">
        <v>97</v>
      </c>
      <c r="R906" s="2" t="s">
        <v>98</v>
      </c>
      <c r="S906" s="2" t="s">
        <v>98</v>
      </c>
      <c r="T906" s="2" t="s">
        <v>98</v>
      </c>
      <c r="U906" s="2" t="s">
        <v>117</v>
      </c>
      <c r="V906" s="2" t="s">
        <v>296</v>
      </c>
      <c r="W906" s="2" t="s">
        <v>314</v>
      </c>
      <c r="X906" s="2" t="s">
        <v>1186</v>
      </c>
      <c r="Y906" s="2" t="s">
        <v>98</v>
      </c>
      <c r="Z906" s="4"/>
      <c r="AA906" s="4">
        <f>=ROUNDDOWN({0},0)</f>
      </c>
      <c r="AB906" s="5"/>
      <c r="AC906" s="2" t="s">
        <v>4352</v>
      </c>
      <c r="AD906" s="4">
        <v>1</v>
      </c>
      <c r="AE906" s="4">
        <v>100</v>
      </c>
      <c r="AF906" s="6">
        <v>76</v>
      </c>
      <c r="AG906" s="6"/>
      <c r="AH906" s="7">
        <v>0</v>
      </c>
      <c r="AI906" s="4"/>
      <c r="AJ906" s="4">
        <f>=ROUNDDOWN({0},0)</f>
      </c>
      <c r="AK906" s="5"/>
      <c r="AL906" s="2" t="s">
        <v>98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/>
      <c r="AW906" s="8"/>
      <c r="AX906" s="4"/>
      <c r="AY906" s="8"/>
      <c r="AZ906" s="7"/>
      <c r="BA906" s="7"/>
      <c r="BB906" s="7"/>
      <c r="BC906" s="4"/>
      <c r="BD906" s="8"/>
      <c r="BE906" s="4"/>
      <c r="BF906" s="8"/>
      <c r="BG906" s="7"/>
      <c r="BH906" s="7"/>
      <c r="BI906" s="7"/>
      <c r="BJ906" s="4"/>
      <c r="BK906" s="8"/>
      <c r="BL906" s="2" t="s">
        <v>98</v>
      </c>
      <c r="BM906" s="7"/>
      <c r="BN906" s="7"/>
      <c r="BO906" s="4"/>
      <c r="BP906" s="8"/>
      <c r="BQ906" s="4"/>
      <c r="BR906" s="8"/>
      <c r="BS906" s="7"/>
      <c r="BT906" s="7"/>
      <c r="BU906" s="2" t="s">
        <v>1376</v>
      </c>
      <c r="BV906" s="2" t="s">
        <v>95</v>
      </c>
      <c r="BW906" s="2" t="s">
        <v>98</v>
      </c>
      <c r="BX906" s="2" t="s">
        <v>98</v>
      </c>
      <c r="BY906" s="2" t="s">
        <v>110</v>
      </c>
      <c r="BZ906" s="2" t="s">
        <v>98</v>
      </c>
    </row>
    <row r="907">
      <c r="A907" s="2" t="s">
        <v>4353</v>
      </c>
      <c r="B907" s="2" t="s">
        <v>1345</v>
      </c>
      <c r="C907" s="2" t="s">
        <v>1178</v>
      </c>
      <c r="D907" s="2" t="s">
        <v>3370</v>
      </c>
      <c r="E907" s="2" t="s">
        <v>3370</v>
      </c>
      <c r="F907" s="2" t="s">
        <v>2200</v>
      </c>
      <c r="G907" s="2" t="s">
        <v>2200</v>
      </c>
      <c r="H907" s="2" t="s">
        <v>2200</v>
      </c>
      <c r="I907" s="2" t="s">
        <v>4354</v>
      </c>
      <c r="J907" s="2" t="s">
        <v>93</v>
      </c>
      <c r="K907" s="2" t="s">
        <v>4318</v>
      </c>
      <c r="L907" s="3">
        <v>530</v>
      </c>
      <c r="M907" s="3">
        <v>556.5</v>
      </c>
      <c r="N907" s="3">
        <v>1099</v>
      </c>
      <c r="O907" s="2" t="s">
        <v>95</v>
      </c>
      <c r="P907" s="2" t="s">
        <v>295</v>
      </c>
      <c r="Q907" s="2" t="s">
        <v>97</v>
      </c>
      <c r="R907" s="2" t="s">
        <v>98</v>
      </c>
      <c r="S907" s="2" t="s">
        <v>98</v>
      </c>
      <c r="T907" s="2" t="s">
        <v>98</v>
      </c>
      <c r="U907" s="2" t="s">
        <v>117</v>
      </c>
      <c r="V907" s="2" t="s">
        <v>296</v>
      </c>
      <c r="W907" s="2" t="s">
        <v>119</v>
      </c>
      <c r="X907" s="2" t="s">
        <v>1186</v>
      </c>
      <c r="Y907" s="2" t="s">
        <v>98</v>
      </c>
      <c r="Z907" s="4"/>
      <c r="AA907" s="4">
        <f>=ROUNDDOWN({0},0)</f>
      </c>
      <c r="AB907" s="5"/>
      <c r="AC907" s="2" t="s">
        <v>4352</v>
      </c>
      <c r="AD907" s="4">
        <v>1</v>
      </c>
      <c r="AE907" s="4">
        <v>100</v>
      </c>
      <c r="AF907" s="6">
        <v>74</v>
      </c>
      <c r="AG907" s="6"/>
      <c r="AH907" s="7">
        <v>0</v>
      </c>
      <c r="AI907" s="4"/>
      <c r="AJ907" s="4">
        <f>=ROUNDDOWN({0},0)</f>
      </c>
      <c r="AK907" s="5"/>
      <c r="AL907" s="2" t="s">
        <v>98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/>
      <c r="AW907" s="8"/>
      <c r="AX907" s="4"/>
      <c r="AY907" s="8"/>
      <c r="AZ907" s="7"/>
      <c r="BA907" s="7"/>
      <c r="BB907" s="7"/>
      <c r="BC907" s="4"/>
      <c r="BD907" s="8"/>
      <c r="BE907" s="4"/>
      <c r="BF907" s="8"/>
      <c r="BG907" s="7"/>
      <c r="BH907" s="7"/>
      <c r="BI907" s="7"/>
      <c r="BJ907" s="4"/>
      <c r="BK907" s="8"/>
      <c r="BL907" s="2" t="s">
        <v>98</v>
      </c>
      <c r="BM907" s="7"/>
      <c r="BN907" s="7"/>
      <c r="BO907" s="4"/>
      <c r="BP907" s="8"/>
      <c r="BQ907" s="4"/>
      <c r="BR907" s="8"/>
      <c r="BS907" s="7"/>
      <c r="BT907" s="7"/>
      <c r="BU907" s="2" t="s">
        <v>1376</v>
      </c>
      <c r="BV907" s="2" t="s">
        <v>95</v>
      </c>
      <c r="BW907" s="2" t="s">
        <v>98</v>
      </c>
      <c r="BX907" s="2" t="s">
        <v>98</v>
      </c>
      <c r="BY907" s="2" t="s">
        <v>110</v>
      </c>
      <c r="BZ907" s="2" t="s">
        <v>98</v>
      </c>
    </row>
    <row r="908">
      <c r="A908" s="2" t="s">
        <v>4355</v>
      </c>
      <c r="B908" s="2" t="s">
        <v>1345</v>
      </c>
      <c r="C908" s="2" t="s">
        <v>1178</v>
      </c>
      <c r="D908" s="2" t="s">
        <v>3406</v>
      </c>
      <c r="E908" s="2" t="s">
        <v>3406</v>
      </c>
      <c r="F908" s="2" t="s">
        <v>4356</v>
      </c>
      <c r="G908" s="2" t="s">
        <v>4356</v>
      </c>
      <c r="H908" s="2" t="s">
        <v>4356</v>
      </c>
      <c r="I908" s="2" t="s">
        <v>3412</v>
      </c>
      <c r="J908" s="2" t="s">
        <v>93</v>
      </c>
      <c r="K908" s="2" t="s">
        <v>2919</v>
      </c>
      <c r="L908" s="3">
        <v>299</v>
      </c>
      <c r="M908" s="3">
        <v>313.95</v>
      </c>
      <c r="N908" s="3">
        <v>629</v>
      </c>
      <c r="O908" s="2" t="s">
        <v>155</v>
      </c>
      <c r="P908" s="2" t="s">
        <v>115</v>
      </c>
      <c r="Q908" s="2" t="s">
        <v>97</v>
      </c>
      <c r="R908" s="2" t="s">
        <v>98</v>
      </c>
      <c r="S908" s="2" t="s">
        <v>98</v>
      </c>
      <c r="T908" s="2" t="s">
        <v>98</v>
      </c>
      <c r="U908" s="2" t="s">
        <v>117</v>
      </c>
      <c r="V908" s="2" t="s">
        <v>439</v>
      </c>
      <c r="W908" s="2" t="s">
        <v>102</v>
      </c>
      <c r="X908" s="2" t="s">
        <v>1181</v>
      </c>
      <c r="Y908" s="2" t="s">
        <v>1280</v>
      </c>
      <c r="Z908" s="4">
        <v>63</v>
      </c>
      <c r="AA908" s="4">
        <f>=ROUNDDOWN(31.5,0)</f>
      </c>
      <c r="AB908" s="5">
        <v>2</v>
      </c>
      <c r="AC908" s="2" t="s">
        <v>98</v>
      </c>
      <c r="AD908" s="4"/>
      <c r="AE908" s="4"/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98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/>
      <c r="AW908" s="8"/>
      <c r="AX908" s="4"/>
      <c r="AY908" s="8"/>
      <c r="AZ908" s="7"/>
      <c r="BA908" s="7"/>
      <c r="BB908" s="7"/>
      <c r="BC908" s="4"/>
      <c r="BD908" s="8"/>
      <c r="BE908" s="4"/>
      <c r="BF908" s="8"/>
      <c r="BG908" s="7"/>
      <c r="BH908" s="7"/>
      <c r="BI908" s="7"/>
      <c r="BJ908" s="4"/>
      <c r="BK908" s="8"/>
      <c r="BL908" s="2" t="s">
        <v>895</v>
      </c>
      <c r="BM908" s="7"/>
      <c r="BN908" s="7"/>
      <c r="BO908" s="4"/>
      <c r="BP908" s="8"/>
      <c r="BQ908" s="4"/>
      <c r="BR908" s="8"/>
      <c r="BS908" s="7"/>
      <c r="BT908" s="7"/>
      <c r="BU908" s="2" t="s">
        <v>1376</v>
      </c>
      <c r="BV908" s="2" t="s">
        <v>1355</v>
      </c>
      <c r="BW908" s="2" t="s">
        <v>98</v>
      </c>
      <c r="BX908" s="2" t="s">
        <v>98</v>
      </c>
      <c r="BY908" s="2" t="s">
        <v>110</v>
      </c>
      <c r="BZ908" s="2" t="s">
        <v>98</v>
      </c>
    </row>
    <row r="909">
      <c r="A909" s="2" t="s">
        <v>4357</v>
      </c>
      <c r="B909" s="2" t="s">
        <v>1345</v>
      </c>
      <c r="C909" s="2" t="s">
        <v>1178</v>
      </c>
      <c r="D909" s="2" t="s">
        <v>3406</v>
      </c>
      <c r="E909" s="2" t="s">
        <v>3406</v>
      </c>
      <c r="F909" s="2" t="s">
        <v>4358</v>
      </c>
      <c r="G909" s="2" t="s">
        <v>4358</v>
      </c>
      <c r="H909" s="2" t="s">
        <v>4358</v>
      </c>
      <c r="I909" s="2" t="s">
        <v>4359</v>
      </c>
      <c r="J909" s="2" t="s">
        <v>93</v>
      </c>
      <c r="K909" s="2" t="s">
        <v>127</v>
      </c>
      <c r="L909" s="3">
        <v>148.5</v>
      </c>
      <c r="M909" s="3">
        <v>155.92</v>
      </c>
      <c r="N909" s="3">
        <v>309</v>
      </c>
      <c r="O909" s="2" t="s">
        <v>95</v>
      </c>
      <c r="P909" s="2" t="s">
        <v>142</v>
      </c>
      <c r="Q909" s="2" t="s">
        <v>97</v>
      </c>
      <c r="R909" s="2" t="s">
        <v>98</v>
      </c>
      <c r="S909" s="2" t="s">
        <v>98</v>
      </c>
      <c r="T909" s="2" t="s">
        <v>98</v>
      </c>
      <c r="U909" s="2" t="s">
        <v>117</v>
      </c>
      <c r="V909" s="2" t="s">
        <v>296</v>
      </c>
      <c r="W909" s="2" t="s">
        <v>204</v>
      </c>
      <c r="X909" s="2" t="s">
        <v>1215</v>
      </c>
      <c r="Y909" s="2" t="s">
        <v>3342</v>
      </c>
      <c r="Z909" s="4">
        <v>16</v>
      </c>
      <c r="AA909" s="4">
        <f>=ROUNDDOWN(5.33333333333333,0)</f>
      </c>
      <c r="AB909" s="5">
        <v>3</v>
      </c>
      <c r="AC909" s="2" t="s">
        <v>3168</v>
      </c>
      <c r="AD909" s="4">
        <v>50</v>
      </c>
      <c r="AE909" s="4">
        <v>50</v>
      </c>
      <c r="AF909" s="6">
        <v>76</v>
      </c>
      <c r="AG909" s="6"/>
      <c r="AH909" s="7">
        <v>1</v>
      </c>
      <c r="AI909" s="4"/>
      <c r="AJ909" s="4">
        <f>=ROUNDDOWN({0},0)</f>
      </c>
      <c r="AK909" s="5"/>
      <c r="AL909" s="2" t="s">
        <v>98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/>
      <c r="AW909" s="8"/>
      <c r="AX909" s="4"/>
      <c r="AY909" s="8"/>
      <c r="AZ909" s="7"/>
      <c r="BA909" s="7"/>
      <c r="BB909" s="7"/>
      <c r="BC909" s="4"/>
      <c r="BD909" s="8"/>
      <c r="BE909" s="4"/>
      <c r="BF909" s="8"/>
      <c r="BG909" s="7"/>
      <c r="BH909" s="7"/>
      <c r="BI909" s="7"/>
      <c r="BJ909" s="4">
        <v>3</v>
      </c>
      <c r="BK909" s="8">
        <v>494.53</v>
      </c>
      <c r="BL909" s="2" t="s">
        <v>4360</v>
      </c>
      <c r="BM909" s="7"/>
      <c r="BN909" s="7"/>
      <c r="BO909" s="4"/>
      <c r="BP909" s="8"/>
      <c r="BQ909" s="4"/>
      <c r="BR909" s="8"/>
      <c r="BS909" s="7"/>
      <c r="BT909" s="7"/>
      <c r="BU909" s="2" t="s">
        <v>1376</v>
      </c>
      <c r="BV909" s="2" t="s">
        <v>95</v>
      </c>
      <c r="BW909" s="2" t="s">
        <v>98</v>
      </c>
      <c r="BX909" s="2" t="s">
        <v>98</v>
      </c>
      <c r="BY909" s="2" t="s">
        <v>110</v>
      </c>
      <c r="BZ909" s="2" t="s">
        <v>98</v>
      </c>
    </row>
    <row r="910">
      <c r="A910" s="2" t="s">
        <v>4361</v>
      </c>
      <c r="B910" s="2" t="s">
        <v>1345</v>
      </c>
      <c r="C910" s="2" t="s">
        <v>1178</v>
      </c>
      <c r="D910" s="2" t="s">
        <v>2205</v>
      </c>
      <c r="E910" s="2" t="s">
        <v>2205</v>
      </c>
      <c r="F910" s="2" t="s">
        <v>4362</v>
      </c>
      <c r="G910" s="2" t="s">
        <v>4362</v>
      </c>
      <c r="H910" s="2" t="s">
        <v>4362</v>
      </c>
      <c r="I910" s="2" t="s">
        <v>4363</v>
      </c>
      <c r="J910" s="2" t="s">
        <v>93</v>
      </c>
      <c r="K910" s="2" t="s">
        <v>4364</v>
      </c>
      <c r="L910" s="3">
        <v>184.5</v>
      </c>
      <c r="M910" s="3">
        <v>193.72</v>
      </c>
      <c r="N910" s="3">
        <v>389</v>
      </c>
      <c r="O910" s="2" t="s">
        <v>95</v>
      </c>
      <c r="P910" s="2" t="s">
        <v>295</v>
      </c>
      <c r="Q910" s="2" t="s">
        <v>97</v>
      </c>
      <c r="R910" s="2" t="s">
        <v>98</v>
      </c>
      <c r="S910" s="2" t="s">
        <v>98</v>
      </c>
      <c r="T910" s="2" t="s">
        <v>98</v>
      </c>
      <c r="U910" s="2" t="s">
        <v>117</v>
      </c>
      <c r="V910" s="2" t="s">
        <v>296</v>
      </c>
      <c r="W910" s="2" t="s">
        <v>204</v>
      </c>
      <c r="X910" s="2" t="s">
        <v>1186</v>
      </c>
      <c r="Y910" s="2" t="s">
        <v>4365</v>
      </c>
      <c r="Z910" s="4">
        <v>100</v>
      </c>
      <c r="AA910" s="4">
        <f>=ROUNDDOWN({0},0)</f>
      </c>
      <c r="AB910" s="5"/>
      <c r="AC910" s="2" t="s">
        <v>98</v>
      </c>
      <c r="AD910" s="4"/>
      <c r="AE910" s="4"/>
      <c r="AF910" s="6">
        <v>74</v>
      </c>
      <c r="AG910" s="6"/>
      <c r="AH910" s="7">
        <v>1</v>
      </c>
      <c r="AI910" s="4"/>
      <c r="AJ910" s="4">
        <f>=ROUNDDOWN({0},0)</f>
      </c>
      <c r="AK910" s="5"/>
      <c r="AL910" s="2" t="s">
        <v>98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/>
      <c r="AW910" s="8"/>
      <c r="AX910" s="4"/>
      <c r="AY910" s="8"/>
      <c r="AZ910" s="7"/>
      <c r="BA910" s="7"/>
      <c r="BB910" s="7"/>
      <c r="BC910" s="4" t="s">
        <v>98</v>
      </c>
      <c r="BD910" s="8" t="s">
        <v>98</v>
      </c>
      <c r="BE910" s="4" t="s">
        <v>98</v>
      </c>
      <c r="BF910" s="8" t="s">
        <v>98</v>
      </c>
      <c r="BG910" s="7" t="s">
        <v>98</v>
      </c>
      <c r="BH910" s="7" t="s">
        <v>98</v>
      </c>
      <c r="BI910" s="7"/>
      <c r="BJ910" s="4"/>
      <c r="BK910" s="8"/>
      <c r="BL910" s="2" t="s">
        <v>98</v>
      </c>
      <c r="BM910" s="7"/>
      <c r="BN910" s="7"/>
      <c r="BO910" s="4"/>
      <c r="BP910" s="8"/>
      <c r="BQ910" s="4"/>
      <c r="BR910" s="8"/>
      <c r="BS910" s="7"/>
      <c r="BT910" s="7"/>
      <c r="BU910" s="2" t="s">
        <v>1376</v>
      </c>
      <c r="BV910" s="2" t="s">
        <v>95</v>
      </c>
      <c r="BW910" s="2" t="s">
        <v>98</v>
      </c>
      <c r="BX910" s="2" t="s">
        <v>98</v>
      </c>
      <c r="BY910" s="2" t="s">
        <v>110</v>
      </c>
      <c r="BZ910" s="2" t="s">
        <v>98</v>
      </c>
    </row>
    <row r="911">
      <c r="A911" s="2" t="s">
        <v>4366</v>
      </c>
      <c r="B911" s="2" t="s">
        <v>1345</v>
      </c>
      <c r="C911" s="2" t="s">
        <v>1178</v>
      </c>
      <c r="D911" s="2" t="s">
        <v>2205</v>
      </c>
      <c r="E911" s="2" t="s">
        <v>2205</v>
      </c>
      <c r="F911" s="2" t="s">
        <v>4362</v>
      </c>
      <c r="G911" s="2" t="s">
        <v>4362</v>
      </c>
      <c r="H911" s="2" t="s">
        <v>4362</v>
      </c>
      <c r="I911" s="2" t="s">
        <v>4363</v>
      </c>
      <c r="J911" s="2" t="s">
        <v>93</v>
      </c>
      <c r="K911" s="2" t="s">
        <v>1371</v>
      </c>
      <c r="L911" s="3">
        <v>184.5</v>
      </c>
      <c r="M911" s="3">
        <v>193.72</v>
      </c>
      <c r="N911" s="3">
        <v>389</v>
      </c>
      <c r="O911" s="2" t="s">
        <v>95</v>
      </c>
      <c r="P911" s="2" t="s">
        <v>96</v>
      </c>
      <c r="Q911" s="2" t="s">
        <v>97</v>
      </c>
      <c r="R911" s="2" t="s">
        <v>98</v>
      </c>
      <c r="S911" s="2" t="s">
        <v>98</v>
      </c>
      <c r="T911" s="2" t="s">
        <v>98</v>
      </c>
      <c r="U911" s="2" t="s">
        <v>117</v>
      </c>
      <c r="V911" s="2" t="s">
        <v>296</v>
      </c>
      <c r="W911" s="2" t="s">
        <v>204</v>
      </c>
      <c r="X911" s="2" t="s">
        <v>1215</v>
      </c>
      <c r="Y911" s="2" t="s">
        <v>4367</v>
      </c>
      <c r="Z911" s="4">
        <v>134</v>
      </c>
      <c r="AA911" s="4">
        <f>=ROUNDDOWN(8.93333333333333,0)</f>
      </c>
      <c r="AB911" s="5">
        <v>15</v>
      </c>
      <c r="AC911" s="2" t="s">
        <v>3300</v>
      </c>
      <c r="AD911" s="4">
        <v>177</v>
      </c>
      <c r="AE911" s="4">
        <v>354</v>
      </c>
      <c r="AF911" s="6">
        <v>74</v>
      </c>
      <c r="AG911" s="6">
        <v>60</v>
      </c>
      <c r="AH911" s="7">
        <v>1</v>
      </c>
      <c r="AI911" s="4"/>
      <c r="AJ911" s="4">
        <f>=ROUNDDOWN({0},0)</f>
      </c>
      <c r="AK911" s="5"/>
      <c r="AL911" s="2" t="s">
        <v>98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/>
      <c r="AW911" s="8"/>
      <c r="AX911" s="4"/>
      <c r="AY911" s="8"/>
      <c r="AZ911" s="7"/>
      <c r="BA911" s="7"/>
      <c r="BB911" s="7"/>
      <c r="BC911" s="4" t="s">
        <v>98</v>
      </c>
      <c r="BD911" s="8" t="s">
        <v>98</v>
      </c>
      <c r="BE911" s="4" t="s">
        <v>98</v>
      </c>
      <c r="BF911" s="8" t="s">
        <v>98</v>
      </c>
      <c r="BG911" s="7" t="s">
        <v>98</v>
      </c>
      <c r="BH911" s="7" t="s">
        <v>98</v>
      </c>
      <c r="BI911" s="7"/>
      <c r="BJ911" s="4">
        <v>2</v>
      </c>
      <c r="BK911" s="8">
        <v>429.6</v>
      </c>
      <c r="BL911" s="2" t="s">
        <v>1990</v>
      </c>
      <c r="BM911" s="7"/>
      <c r="BN911" s="7"/>
      <c r="BO911" s="4"/>
      <c r="BP911" s="8"/>
      <c r="BQ911" s="4"/>
      <c r="BR911" s="8"/>
      <c r="BS911" s="7"/>
      <c r="BT911" s="7"/>
      <c r="BU911" s="2" t="s">
        <v>1376</v>
      </c>
      <c r="BV911" s="2" t="s">
        <v>1355</v>
      </c>
      <c r="BW911" s="2" t="s">
        <v>98</v>
      </c>
      <c r="BX911" s="2" t="s">
        <v>98</v>
      </c>
      <c r="BY911" s="2" t="s">
        <v>110</v>
      </c>
      <c r="BZ911" s="2" t="s">
        <v>98</v>
      </c>
    </row>
    <row r="912">
      <c r="A912" s="2" t="s">
        <v>4368</v>
      </c>
      <c r="B912" s="2" t="s">
        <v>1345</v>
      </c>
      <c r="C912" s="2" t="s">
        <v>1178</v>
      </c>
      <c r="D912" s="2" t="s">
        <v>2205</v>
      </c>
      <c r="E912" s="2" t="s">
        <v>2205</v>
      </c>
      <c r="F912" s="2" t="s">
        <v>4362</v>
      </c>
      <c r="G912" s="2" t="s">
        <v>4362</v>
      </c>
      <c r="H912" s="2" t="s">
        <v>4362</v>
      </c>
      <c r="I912" s="2" t="s">
        <v>4363</v>
      </c>
      <c r="J912" s="2" t="s">
        <v>93</v>
      </c>
      <c r="K912" s="2" t="s">
        <v>4369</v>
      </c>
      <c r="L912" s="3">
        <v>184.5</v>
      </c>
      <c r="M912" s="3">
        <v>193.72</v>
      </c>
      <c r="N912" s="3">
        <v>389</v>
      </c>
      <c r="O912" s="2" t="s">
        <v>95</v>
      </c>
      <c r="P912" s="2" t="s">
        <v>134</v>
      </c>
      <c r="Q912" s="2" t="s">
        <v>97</v>
      </c>
      <c r="R912" s="2" t="s">
        <v>98</v>
      </c>
      <c r="S912" s="2" t="s">
        <v>98</v>
      </c>
      <c r="T912" s="2" t="s">
        <v>98</v>
      </c>
      <c r="U912" s="2" t="s">
        <v>117</v>
      </c>
      <c r="V912" s="2" t="s">
        <v>296</v>
      </c>
      <c r="W912" s="2" t="s">
        <v>204</v>
      </c>
      <c r="X912" s="2" t="s">
        <v>1186</v>
      </c>
      <c r="Y912" s="2" t="s">
        <v>908</v>
      </c>
      <c r="Z912" s="4">
        <v>119</v>
      </c>
      <c r="AA912" s="4">
        <f>=ROUNDDOWN(17,0)</f>
      </c>
      <c r="AB912" s="5">
        <v>7</v>
      </c>
      <c r="AC912" s="2" t="s">
        <v>1088</v>
      </c>
      <c r="AD912" s="4">
        <v>177</v>
      </c>
      <c r="AE912" s="4">
        <v>177</v>
      </c>
      <c r="AF912" s="6">
        <v>74</v>
      </c>
      <c r="AG912" s="6"/>
      <c r="AH912" s="7">
        <v>1</v>
      </c>
      <c r="AI912" s="4"/>
      <c r="AJ912" s="4">
        <f>=ROUNDDOWN({0},0)</f>
      </c>
      <c r="AK912" s="5"/>
      <c r="AL912" s="2" t="s">
        <v>98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/>
      <c r="AW912" s="8"/>
      <c r="AX912" s="4"/>
      <c r="AY912" s="8"/>
      <c r="AZ912" s="7"/>
      <c r="BA912" s="7"/>
      <c r="BB912" s="7"/>
      <c r="BC912" s="4" t="s">
        <v>98</v>
      </c>
      <c r="BD912" s="8" t="s">
        <v>98</v>
      </c>
      <c r="BE912" s="4" t="s">
        <v>98</v>
      </c>
      <c r="BF912" s="8" t="s">
        <v>98</v>
      </c>
      <c r="BG912" s="7" t="s">
        <v>98</v>
      </c>
      <c r="BH912" s="7" t="s">
        <v>98</v>
      </c>
      <c r="BI912" s="7"/>
      <c r="BJ912" s="4">
        <v>6</v>
      </c>
      <c r="BK912" s="8">
        <v>1255.34</v>
      </c>
      <c r="BL912" s="2" t="s">
        <v>1379</v>
      </c>
      <c r="BM912" s="7"/>
      <c r="BN912" s="7"/>
      <c r="BO912" s="4"/>
      <c r="BP912" s="8"/>
      <c r="BQ912" s="4"/>
      <c r="BR912" s="8"/>
      <c r="BS912" s="7"/>
      <c r="BT912" s="7"/>
      <c r="BU912" s="2" t="s">
        <v>1376</v>
      </c>
      <c r="BV912" s="2" t="s">
        <v>95</v>
      </c>
      <c r="BW912" s="2" t="s">
        <v>98</v>
      </c>
      <c r="BX912" s="2" t="s">
        <v>98</v>
      </c>
      <c r="BY912" s="2" t="s">
        <v>110</v>
      </c>
      <c r="BZ912" s="2" t="s">
        <v>98</v>
      </c>
    </row>
    <row r="913">
      <c r="A913" s="2" t="s">
        <v>4370</v>
      </c>
      <c r="B913" s="2" t="s">
        <v>1345</v>
      </c>
      <c r="C913" s="2" t="s">
        <v>1178</v>
      </c>
      <c r="D913" s="2" t="s">
        <v>2205</v>
      </c>
      <c r="E913" s="2" t="s">
        <v>2205</v>
      </c>
      <c r="F913" s="2" t="s">
        <v>4338</v>
      </c>
      <c r="G913" s="2" t="s">
        <v>4338</v>
      </c>
      <c r="H913" s="2" t="s">
        <v>4338</v>
      </c>
      <c r="I913" s="2" t="s">
        <v>4371</v>
      </c>
      <c r="J913" s="2" t="s">
        <v>93</v>
      </c>
      <c r="K913" s="2" t="s">
        <v>1915</v>
      </c>
      <c r="L913" s="3">
        <v>145.35</v>
      </c>
      <c r="M913" s="3">
        <v>152.62</v>
      </c>
      <c r="N913" s="3">
        <v>299</v>
      </c>
      <c r="O913" s="2" t="s">
        <v>95</v>
      </c>
      <c r="P913" s="2" t="s">
        <v>142</v>
      </c>
      <c r="Q913" s="2" t="s">
        <v>97</v>
      </c>
      <c r="R913" s="2" t="s">
        <v>98</v>
      </c>
      <c r="S913" s="2" t="s">
        <v>98</v>
      </c>
      <c r="T913" s="2" t="s">
        <v>98</v>
      </c>
      <c r="U913" s="2" t="s">
        <v>100</v>
      </c>
      <c r="V913" s="2" t="s">
        <v>296</v>
      </c>
      <c r="W913" s="2" t="s">
        <v>204</v>
      </c>
      <c r="X913" s="2" t="s">
        <v>1215</v>
      </c>
      <c r="Y913" s="2" t="s">
        <v>1909</v>
      </c>
      <c r="Z913" s="4">
        <v>191</v>
      </c>
      <c r="AA913" s="4">
        <f>=ROUNDDOWN(191,0)</f>
      </c>
      <c r="AB913" s="5">
        <v>1</v>
      </c>
      <c r="AC913" s="2" t="s">
        <v>194</v>
      </c>
      <c r="AD913" s="4">
        <v>58</v>
      </c>
      <c r="AE913" s="4">
        <v>58</v>
      </c>
      <c r="AF913" s="6">
        <v>74</v>
      </c>
      <c r="AG913" s="6"/>
      <c r="AH913" s="7">
        <v>1</v>
      </c>
      <c r="AI913" s="4"/>
      <c r="AJ913" s="4">
        <f>=ROUNDDOWN({0},0)</f>
      </c>
      <c r="AK913" s="5"/>
      <c r="AL913" s="2" t="s">
        <v>98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/>
      <c r="AW913" s="8"/>
      <c r="AX913" s="4"/>
      <c r="AY913" s="8"/>
      <c r="AZ913" s="7"/>
      <c r="BA913" s="7"/>
      <c r="BB913" s="7"/>
      <c r="BC913" s="4"/>
      <c r="BD913" s="8"/>
      <c r="BE913" s="4"/>
      <c r="BF913" s="8"/>
      <c r="BG913" s="7"/>
      <c r="BH913" s="7"/>
      <c r="BI913" s="7"/>
      <c r="BJ913" s="4"/>
      <c r="BK913" s="8"/>
      <c r="BL913" s="2" t="s">
        <v>98</v>
      </c>
      <c r="BM913" s="7"/>
      <c r="BN913" s="7"/>
      <c r="BO913" s="4"/>
      <c r="BP913" s="8"/>
      <c r="BQ913" s="4"/>
      <c r="BR913" s="8"/>
      <c r="BS913" s="7"/>
      <c r="BT913" s="7"/>
      <c r="BU913" s="2" t="s">
        <v>1376</v>
      </c>
      <c r="BV913" s="2" t="s">
        <v>95</v>
      </c>
      <c r="BW913" s="2" t="s">
        <v>98</v>
      </c>
      <c r="BX913" s="2" t="s">
        <v>98</v>
      </c>
      <c r="BY913" s="2" t="s">
        <v>110</v>
      </c>
      <c r="BZ913" s="2" t="s">
        <v>98</v>
      </c>
    </row>
    <row r="914">
      <c r="A914" s="2" t="s">
        <v>4372</v>
      </c>
      <c r="B914" s="2" t="s">
        <v>1345</v>
      </c>
      <c r="C914" s="2" t="s">
        <v>1178</v>
      </c>
      <c r="D914" s="2" t="s">
        <v>2205</v>
      </c>
      <c r="E914" s="2" t="s">
        <v>2205</v>
      </c>
      <c r="F914" s="2" t="s">
        <v>4373</v>
      </c>
      <c r="G914" s="2" t="s">
        <v>4373</v>
      </c>
      <c r="H914" s="2" t="s">
        <v>4373</v>
      </c>
      <c r="I914" s="2" t="s">
        <v>2209</v>
      </c>
      <c r="J914" s="2" t="s">
        <v>93</v>
      </c>
      <c r="K914" s="2" t="s">
        <v>514</v>
      </c>
      <c r="L914" s="3">
        <v>265</v>
      </c>
      <c r="M914" s="3">
        <v>278.25</v>
      </c>
      <c r="N914" s="3">
        <v>549</v>
      </c>
      <c r="O914" s="2" t="s">
        <v>95</v>
      </c>
      <c r="P914" s="2" t="s">
        <v>134</v>
      </c>
      <c r="Q914" s="2" t="s">
        <v>97</v>
      </c>
      <c r="R914" s="2" t="s">
        <v>98</v>
      </c>
      <c r="S914" s="2" t="s">
        <v>98</v>
      </c>
      <c r="T914" s="2" t="s">
        <v>98</v>
      </c>
      <c r="U914" s="2" t="s">
        <v>117</v>
      </c>
      <c r="V914" s="2" t="s">
        <v>439</v>
      </c>
      <c r="W914" s="2" t="s">
        <v>102</v>
      </c>
      <c r="X914" s="2" t="s">
        <v>1181</v>
      </c>
      <c r="Y914" s="2" t="s">
        <v>4374</v>
      </c>
      <c r="Z914" s="4">
        <v>123</v>
      </c>
      <c r="AA914" s="4">
        <f>=ROUNDDOWN(13.6666666666667,0)</f>
      </c>
      <c r="AB914" s="5">
        <v>9</v>
      </c>
      <c r="AC914" s="2" t="s">
        <v>1748</v>
      </c>
      <c r="AD914" s="4">
        <v>100</v>
      </c>
      <c r="AE914" s="4">
        <v>296</v>
      </c>
      <c r="AF914" s="6">
        <v>74</v>
      </c>
      <c r="AG914" s="6">
        <v>60</v>
      </c>
      <c r="AH914" s="7">
        <v>1</v>
      </c>
      <c r="AI914" s="4"/>
      <c r="AJ914" s="4">
        <f>=ROUNDDOWN({0},0)</f>
      </c>
      <c r="AK914" s="5"/>
      <c r="AL914" s="2" t="s">
        <v>98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/>
      <c r="AW914" s="8"/>
      <c r="AX914" s="4"/>
      <c r="AY914" s="8"/>
      <c r="AZ914" s="7"/>
      <c r="BA914" s="7"/>
      <c r="BB914" s="7"/>
      <c r="BC914" s="4"/>
      <c r="BD914" s="8"/>
      <c r="BE914" s="4"/>
      <c r="BF914" s="8"/>
      <c r="BG914" s="7"/>
      <c r="BH914" s="7"/>
      <c r="BI914" s="7"/>
      <c r="BJ914" s="4">
        <v>6</v>
      </c>
      <c r="BK914" s="8">
        <v>1754.16</v>
      </c>
      <c r="BL914" s="2" t="s">
        <v>1379</v>
      </c>
      <c r="BM914" s="7"/>
      <c r="BN914" s="7"/>
      <c r="BO914" s="4"/>
      <c r="BP914" s="8"/>
      <c r="BQ914" s="4"/>
      <c r="BR914" s="8"/>
      <c r="BS914" s="7"/>
      <c r="BT914" s="7"/>
      <c r="BU914" s="2" t="s">
        <v>1376</v>
      </c>
      <c r="BV914" s="2" t="s">
        <v>1355</v>
      </c>
      <c r="BW914" s="2" t="s">
        <v>98</v>
      </c>
      <c r="BX914" s="2" t="s">
        <v>98</v>
      </c>
      <c r="BY914" s="2" t="s">
        <v>110</v>
      </c>
      <c r="BZ914" s="2" t="s">
        <v>98</v>
      </c>
    </row>
    <row r="915">
      <c r="A915" s="2" t="s">
        <v>4375</v>
      </c>
      <c r="B915" s="2" t="s">
        <v>1345</v>
      </c>
      <c r="C915" s="2" t="s">
        <v>1178</v>
      </c>
      <c r="D915" s="2" t="s">
        <v>2205</v>
      </c>
      <c r="E915" s="2" t="s">
        <v>2205</v>
      </c>
      <c r="F915" s="2" t="s">
        <v>4376</v>
      </c>
      <c r="G915" s="2" t="s">
        <v>4376</v>
      </c>
      <c r="H915" s="2" t="s">
        <v>4376</v>
      </c>
      <c r="I915" s="2" t="s">
        <v>4377</v>
      </c>
      <c r="J915" s="2" t="s">
        <v>93</v>
      </c>
      <c r="K915" s="2" t="s">
        <v>967</v>
      </c>
      <c r="L915" s="3">
        <v>285</v>
      </c>
      <c r="M915" s="3">
        <v>299.25</v>
      </c>
      <c r="N915" s="3">
        <v>599</v>
      </c>
      <c r="O915" s="2" t="s">
        <v>95</v>
      </c>
      <c r="P915" s="2" t="s">
        <v>163</v>
      </c>
      <c r="Q915" s="2" t="s">
        <v>97</v>
      </c>
      <c r="R915" s="2" t="s">
        <v>98</v>
      </c>
      <c r="S915" s="2" t="s">
        <v>98</v>
      </c>
      <c r="T915" s="2" t="s">
        <v>98</v>
      </c>
      <c r="U915" s="2" t="s">
        <v>100</v>
      </c>
      <c r="V915" s="2" t="s">
        <v>439</v>
      </c>
      <c r="W915" s="2" t="s">
        <v>204</v>
      </c>
      <c r="X915" s="2" t="s">
        <v>1215</v>
      </c>
      <c r="Y915" s="2" t="s">
        <v>169</v>
      </c>
      <c r="Z915" s="4">
        <v>166</v>
      </c>
      <c r="AA915" s="4">
        <f>=ROUNDDOWN(11.0666666666667,0)</f>
      </c>
      <c r="AB915" s="5">
        <v>15</v>
      </c>
      <c r="AC915" s="2" t="s">
        <v>1643</v>
      </c>
      <c r="AD915" s="4">
        <v>315</v>
      </c>
      <c r="AE915" s="4">
        <v>415</v>
      </c>
      <c r="AF915" s="6">
        <v>65</v>
      </c>
      <c r="AG915" s="6">
        <v>48</v>
      </c>
      <c r="AH915" s="7">
        <v>1</v>
      </c>
      <c r="AI915" s="4"/>
      <c r="AJ915" s="4">
        <f>=ROUNDDOWN({0},0)</f>
      </c>
      <c r="AK915" s="5"/>
      <c r="AL915" s="2" t="s">
        <v>98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/>
      <c r="AW915" s="8"/>
      <c r="AX915" s="4"/>
      <c r="AY915" s="8"/>
      <c r="AZ915" s="7"/>
      <c r="BA915" s="7"/>
      <c r="BB915" s="7"/>
      <c r="BC915" s="4" t="s">
        <v>98</v>
      </c>
      <c r="BD915" s="8" t="s">
        <v>98</v>
      </c>
      <c r="BE915" s="4" t="s">
        <v>98</v>
      </c>
      <c r="BF915" s="8" t="s">
        <v>98</v>
      </c>
      <c r="BG915" s="7" t="s">
        <v>98</v>
      </c>
      <c r="BH915" s="7" t="s">
        <v>98</v>
      </c>
      <c r="BI915" s="7"/>
      <c r="BJ915" s="4">
        <v>5</v>
      </c>
      <c r="BK915" s="8">
        <v>1437.24</v>
      </c>
      <c r="BL915" s="2" t="s">
        <v>1379</v>
      </c>
      <c r="BM915" s="7"/>
      <c r="BN915" s="7"/>
      <c r="BO915" s="4"/>
      <c r="BP915" s="8"/>
      <c r="BQ915" s="4"/>
      <c r="BR915" s="8"/>
      <c r="BS915" s="7"/>
      <c r="BT915" s="7"/>
      <c r="BU915" s="2" t="s">
        <v>1376</v>
      </c>
      <c r="BV915" s="2" t="s">
        <v>95</v>
      </c>
      <c r="BW915" s="2" t="s">
        <v>98</v>
      </c>
      <c r="BX915" s="2" t="s">
        <v>98</v>
      </c>
      <c r="BY915" s="2" t="s">
        <v>110</v>
      </c>
      <c r="BZ915" s="2" t="s">
        <v>98</v>
      </c>
    </row>
    <row r="916">
      <c r="A916" s="2" t="s">
        <v>4378</v>
      </c>
      <c r="B916" s="2" t="s">
        <v>1345</v>
      </c>
      <c r="C916" s="2" t="s">
        <v>1178</v>
      </c>
      <c r="D916" s="2" t="s">
        <v>2205</v>
      </c>
      <c r="E916" s="2" t="s">
        <v>2205</v>
      </c>
      <c r="F916" s="2" t="s">
        <v>4376</v>
      </c>
      <c r="G916" s="2" t="s">
        <v>4376</v>
      </c>
      <c r="H916" s="2" t="s">
        <v>4376</v>
      </c>
      <c r="I916" s="2" t="s">
        <v>4377</v>
      </c>
      <c r="J916" s="2" t="s">
        <v>93</v>
      </c>
      <c r="K916" s="2" t="s">
        <v>2114</v>
      </c>
      <c r="L916" s="3">
        <v>285</v>
      </c>
      <c r="M916" s="3">
        <v>299.25</v>
      </c>
      <c r="N916" s="3">
        <v>599</v>
      </c>
      <c r="O916" s="2" t="s">
        <v>95</v>
      </c>
      <c r="P916" s="2" t="s">
        <v>96</v>
      </c>
      <c r="Q916" s="2" t="s">
        <v>97</v>
      </c>
      <c r="R916" s="2" t="s">
        <v>98</v>
      </c>
      <c r="S916" s="2" t="s">
        <v>98</v>
      </c>
      <c r="T916" s="2" t="s">
        <v>98</v>
      </c>
      <c r="U916" s="2" t="s">
        <v>100</v>
      </c>
      <c r="V916" s="2" t="s">
        <v>439</v>
      </c>
      <c r="W916" s="2" t="s">
        <v>204</v>
      </c>
      <c r="X916" s="2" t="s">
        <v>1215</v>
      </c>
      <c r="Y916" s="2" t="s">
        <v>4379</v>
      </c>
      <c r="Z916" s="4">
        <v>242</v>
      </c>
      <c r="AA916" s="4">
        <f>=ROUNDDOWN(12.7368421052632,0)</f>
      </c>
      <c r="AB916" s="5">
        <v>19</v>
      </c>
      <c r="AC916" s="2" t="s">
        <v>1643</v>
      </c>
      <c r="AD916" s="4">
        <v>120</v>
      </c>
      <c r="AE916" s="4">
        <v>320</v>
      </c>
      <c r="AF916" s="6">
        <v>65</v>
      </c>
      <c r="AG916" s="6">
        <v>48</v>
      </c>
      <c r="AH916" s="7">
        <v>1</v>
      </c>
      <c r="AI916" s="4"/>
      <c r="AJ916" s="4">
        <f>=ROUNDDOWN({0},0)</f>
      </c>
      <c r="AK916" s="5"/>
      <c r="AL916" s="2" t="s">
        <v>98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/>
      <c r="AW916" s="8"/>
      <c r="AX916" s="4"/>
      <c r="AY916" s="8"/>
      <c r="AZ916" s="7"/>
      <c r="BA916" s="7"/>
      <c r="BB916" s="7"/>
      <c r="BC916" s="4" t="s">
        <v>98</v>
      </c>
      <c r="BD916" s="8" t="s">
        <v>98</v>
      </c>
      <c r="BE916" s="4" t="s">
        <v>98</v>
      </c>
      <c r="BF916" s="8" t="s">
        <v>98</v>
      </c>
      <c r="BG916" s="7" t="s">
        <v>98</v>
      </c>
      <c r="BH916" s="7" t="s">
        <v>98</v>
      </c>
      <c r="BI916" s="7"/>
      <c r="BJ916" s="4">
        <v>8</v>
      </c>
      <c r="BK916" s="8">
        <v>2118.86</v>
      </c>
      <c r="BL916" s="2" t="s">
        <v>3321</v>
      </c>
      <c r="BM916" s="7"/>
      <c r="BN916" s="7"/>
      <c r="BO916" s="4"/>
      <c r="BP916" s="8"/>
      <c r="BQ916" s="4"/>
      <c r="BR916" s="8"/>
      <c r="BS916" s="7"/>
      <c r="BT916" s="7"/>
      <c r="BU916" s="2" t="s">
        <v>1376</v>
      </c>
      <c r="BV916" s="2" t="s">
        <v>1355</v>
      </c>
      <c r="BW916" s="2" t="s">
        <v>98</v>
      </c>
      <c r="BX916" s="2" t="s">
        <v>98</v>
      </c>
      <c r="BY916" s="2" t="s">
        <v>110</v>
      </c>
      <c r="BZ916" s="2" t="s">
        <v>98</v>
      </c>
    </row>
    <row r="917">
      <c r="A917" s="2" t="s">
        <v>4380</v>
      </c>
      <c r="B917" s="2" t="s">
        <v>1345</v>
      </c>
      <c r="C917" s="2" t="s">
        <v>1178</v>
      </c>
      <c r="D917" s="2" t="s">
        <v>2205</v>
      </c>
      <c r="E917" s="2" t="s">
        <v>2205</v>
      </c>
      <c r="F917" s="2" t="s">
        <v>4376</v>
      </c>
      <c r="G917" s="2" t="s">
        <v>4376</v>
      </c>
      <c r="H917" s="2" t="s">
        <v>4376</v>
      </c>
      <c r="I917" s="2" t="s">
        <v>4377</v>
      </c>
      <c r="J917" s="2" t="s">
        <v>93</v>
      </c>
      <c r="K917" s="2" t="s">
        <v>1915</v>
      </c>
      <c r="L917" s="3">
        <v>285</v>
      </c>
      <c r="M917" s="3">
        <v>299.25</v>
      </c>
      <c r="N917" s="3">
        <v>599</v>
      </c>
      <c r="O917" s="2" t="s">
        <v>95</v>
      </c>
      <c r="P917" s="2" t="s">
        <v>134</v>
      </c>
      <c r="Q917" s="2" t="s">
        <v>97</v>
      </c>
      <c r="R917" s="2" t="s">
        <v>98</v>
      </c>
      <c r="S917" s="2" t="s">
        <v>98</v>
      </c>
      <c r="T917" s="2" t="s">
        <v>98</v>
      </c>
      <c r="U917" s="2" t="s">
        <v>100</v>
      </c>
      <c r="V917" s="2" t="s">
        <v>439</v>
      </c>
      <c r="W917" s="2" t="s">
        <v>204</v>
      </c>
      <c r="X917" s="2" t="s">
        <v>1215</v>
      </c>
      <c r="Y917" s="2" t="s">
        <v>957</v>
      </c>
      <c r="Z917" s="4">
        <v>91</v>
      </c>
      <c r="AA917" s="4">
        <f>=ROUNDDOWN(22.75,0)</f>
      </c>
      <c r="AB917" s="5">
        <v>4</v>
      </c>
      <c r="AC917" s="2" t="s">
        <v>1499</v>
      </c>
      <c r="AD917" s="4">
        <v>100</v>
      </c>
      <c r="AE917" s="4">
        <v>100</v>
      </c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98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/>
      <c r="AW917" s="8"/>
      <c r="AX917" s="4"/>
      <c r="AY917" s="8"/>
      <c r="AZ917" s="7"/>
      <c r="BA917" s="7"/>
      <c r="BB917" s="7"/>
      <c r="BC917" s="4" t="s">
        <v>98</v>
      </c>
      <c r="BD917" s="8" t="s">
        <v>98</v>
      </c>
      <c r="BE917" s="4" t="s">
        <v>98</v>
      </c>
      <c r="BF917" s="8" t="s">
        <v>98</v>
      </c>
      <c r="BG917" s="7" t="s">
        <v>98</v>
      </c>
      <c r="BH917" s="7" t="s">
        <v>98</v>
      </c>
      <c r="BI917" s="7"/>
      <c r="BJ917" s="4">
        <v>3</v>
      </c>
      <c r="BK917" s="8">
        <v>793.44</v>
      </c>
      <c r="BL917" s="2" t="s">
        <v>895</v>
      </c>
      <c r="BM917" s="7"/>
      <c r="BN917" s="7"/>
      <c r="BO917" s="4"/>
      <c r="BP917" s="8"/>
      <c r="BQ917" s="4"/>
      <c r="BR917" s="8"/>
      <c r="BS917" s="7"/>
      <c r="BT917" s="7"/>
      <c r="BU917" s="2" t="s">
        <v>1376</v>
      </c>
      <c r="BV917" s="2" t="s">
        <v>95</v>
      </c>
      <c r="BW917" s="2" t="s">
        <v>98</v>
      </c>
      <c r="BX917" s="2" t="s">
        <v>98</v>
      </c>
      <c r="BY917" s="2" t="s">
        <v>110</v>
      </c>
      <c r="BZ917" s="2" t="s">
        <v>98</v>
      </c>
    </row>
    <row r="918">
      <c r="A918" s="2" t="s">
        <v>4381</v>
      </c>
      <c r="B918" s="2" t="s">
        <v>1345</v>
      </c>
      <c r="C918" s="2" t="s">
        <v>1178</v>
      </c>
      <c r="D918" s="2" t="s">
        <v>2700</v>
      </c>
      <c r="E918" s="2" t="s">
        <v>2700</v>
      </c>
      <c r="F918" s="2" t="s">
        <v>1783</v>
      </c>
      <c r="G918" s="2" t="s">
        <v>1783</v>
      </c>
      <c r="H918" s="2" t="s">
        <v>1783</v>
      </c>
      <c r="I918" s="2" t="s">
        <v>4382</v>
      </c>
      <c r="J918" s="2" t="s">
        <v>93</v>
      </c>
      <c r="K918" s="2" t="s">
        <v>127</v>
      </c>
      <c r="L918" s="3">
        <v>240</v>
      </c>
      <c r="M918" s="3">
        <v>252</v>
      </c>
      <c r="N918" s="3">
        <v>499</v>
      </c>
      <c r="O918" s="2" t="s">
        <v>95</v>
      </c>
      <c r="P918" s="2" t="s">
        <v>295</v>
      </c>
      <c r="Q918" s="2" t="s">
        <v>97</v>
      </c>
      <c r="R918" s="2" t="s">
        <v>98</v>
      </c>
      <c r="S918" s="2" t="s">
        <v>98</v>
      </c>
      <c r="T918" s="2" t="s">
        <v>98</v>
      </c>
      <c r="U918" s="2" t="s">
        <v>117</v>
      </c>
      <c r="V918" s="2" t="s">
        <v>296</v>
      </c>
      <c r="W918" s="2" t="s">
        <v>204</v>
      </c>
      <c r="X918" s="2" t="s">
        <v>1215</v>
      </c>
      <c r="Y918" s="2" t="s">
        <v>532</v>
      </c>
      <c r="Z918" s="4">
        <v>100</v>
      </c>
      <c r="AA918" s="4">
        <f>=ROUNDDOWN({0},0)</f>
      </c>
      <c r="AB918" s="5"/>
      <c r="AC918" s="2" t="s">
        <v>98</v>
      </c>
      <c r="AD918" s="4"/>
      <c r="AE918" s="4"/>
      <c r="AF918" s="6">
        <v>76</v>
      </c>
      <c r="AG918" s="6"/>
      <c r="AH918" s="7">
        <v>1</v>
      </c>
      <c r="AI918" s="4"/>
      <c r="AJ918" s="4">
        <f>=ROUNDDOWN({0},0)</f>
      </c>
      <c r="AK918" s="5"/>
      <c r="AL918" s="2" t="s">
        <v>98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/>
      <c r="AW918" s="8"/>
      <c r="AX918" s="4"/>
      <c r="AY918" s="8"/>
      <c r="AZ918" s="7"/>
      <c r="BA918" s="7"/>
      <c r="BB918" s="7"/>
      <c r="BC918" s="4"/>
      <c r="BD918" s="8"/>
      <c r="BE918" s="4"/>
      <c r="BF918" s="8"/>
      <c r="BG918" s="7"/>
      <c r="BH918" s="7"/>
      <c r="BI918" s="7"/>
      <c r="BJ918" s="4"/>
      <c r="BK918" s="8"/>
      <c r="BL918" s="2" t="s">
        <v>98</v>
      </c>
      <c r="BM918" s="7"/>
      <c r="BN918" s="7"/>
      <c r="BO918" s="4"/>
      <c r="BP918" s="8"/>
      <c r="BQ918" s="4"/>
      <c r="BR918" s="8"/>
      <c r="BS918" s="7"/>
      <c r="BT918" s="7"/>
      <c r="BU918" s="2" t="s">
        <v>1376</v>
      </c>
      <c r="BV918" s="2" t="s">
        <v>95</v>
      </c>
      <c r="BW918" s="2" t="s">
        <v>98</v>
      </c>
      <c r="BX918" s="2" t="s">
        <v>98</v>
      </c>
      <c r="BY918" s="2" t="s">
        <v>110</v>
      </c>
      <c r="BZ918" s="2" t="s">
        <v>98</v>
      </c>
    </row>
    <row r="919">
      <c r="A919" s="2" t="s">
        <v>4383</v>
      </c>
      <c r="B919" s="2" t="s">
        <v>1345</v>
      </c>
      <c r="C919" s="2" t="s">
        <v>1178</v>
      </c>
      <c r="D919" s="2" t="s">
        <v>2700</v>
      </c>
      <c r="E919" s="2" t="s">
        <v>2700</v>
      </c>
      <c r="F919" s="2" t="s">
        <v>4338</v>
      </c>
      <c r="G919" s="2" t="s">
        <v>4338</v>
      </c>
      <c r="H919" s="2" t="s">
        <v>4338</v>
      </c>
      <c r="I919" s="2" t="s">
        <v>4384</v>
      </c>
      <c r="J919" s="2" t="s">
        <v>93</v>
      </c>
      <c r="K919" s="2" t="s">
        <v>4385</v>
      </c>
      <c r="L919" s="3">
        <v>229.5</v>
      </c>
      <c r="M919" s="3">
        <v>240.98</v>
      </c>
      <c r="N919" s="3">
        <v>479</v>
      </c>
      <c r="O919" s="2" t="s">
        <v>95</v>
      </c>
      <c r="P919" s="2" t="s">
        <v>142</v>
      </c>
      <c r="Q919" s="2" t="s">
        <v>97</v>
      </c>
      <c r="R919" s="2" t="s">
        <v>98</v>
      </c>
      <c r="S919" s="2" t="s">
        <v>98</v>
      </c>
      <c r="T919" s="2" t="s">
        <v>98</v>
      </c>
      <c r="U919" s="2" t="s">
        <v>117</v>
      </c>
      <c r="V919" s="2" t="s">
        <v>439</v>
      </c>
      <c r="W919" s="2" t="s">
        <v>204</v>
      </c>
      <c r="X919" s="2" t="s">
        <v>1215</v>
      </c>
      <c r="Y919" s="2" t="s">
        <v>3066</v>
      </c>
      <c r="Z919" s="4">
        <v>140</v>
      </c>
      <c r="AA919" s="4">
        <f>=ROUNDDOWN(70,0)</f>
      </c>
      <c r="AB919" s="5">
        <v>2</v>
      </c>
      <c r="AC919" s="2" t="s">
        <v>98</v>
      </c>
      <c r="AD919" s="4"/>
      <c r="AE919" s="4"/>
      <c r="AF919" s="6">
        <v>74</v>
      </c>
      <c r="AG919" s="6"/>
      <c r="AH919" s="7">
        <v>1</v>
      </c>
      <c r="AI919" s="4"/>
      <c r="AJ919" s="4">
        <f>=ROUNDDOWN({0},0)</f>
      </c>
      <c r="AK919" s="5"/>
      <c r="AL919" s="2" t="s">
        <v>98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/>
      <c r="AW919" s="8"/>
      <c r="AX919" s="4"/>
      <c r="AY919" s="8"/>
      <c r="AZ919" s="7"/>
      <c r="BA919" s="7"/>
      <c r="BB919" s="7"/>
      <c r="BC919" s="4"/>
      <c r="BD919" s="8"/>
      <c r="BE919" s="4"/>
      <c r="BF919" s="8"/>
      <c r="BG919" s="7"/>
      <c r="BH919" s="7"/>
      <c r="BI919" s="7"/>
      <c r="BJ919" s="4">
        <v>2</v>
      </c>
      <c r="BK919" s="8">
        <v>530.14</v>
      </c>
      <c r="BL919" s="2" t="s">
        <v>269</v>
      </c>
      <c r="BM919" s="7"/>
      <c r="BN919" s="7"/>
      <c r="BO919" s="4"/>
      <c r="BP919" s="8"/>
      <c r="BQ919" s="4"/>
      <c r="BR919" s="8"/>
      <c r="BS919" s="7"/>
      <c r="BT919" s="7"/>
      <c r="BU919" s="2" t="s">
        <v>1376</v>
      </c>
      <c r="BV919" s="2" t="s">
        <v>95</v>
      </c>
      <c r="BW919" s="2" t="s">
        <v>98</v>
      </c>
      <c r="BX919" s="2" t="s">
        <v>98</v>
      </c>
      <c r="BY919" s="2" t="s">
        <v>110</v>
      </c>
      <c r="BZ919" s="2" t="s">
        <v>98</v>
      </c>
    </row>
    <row r="920">
      <c r="A920" s="2" t="s">
        <v>4386</v>
      </c>
      <c r="B920" s="2" t="s">
        <v>1345</v>
      </c>
      <c r="C920" s="2" t="s">
        <v>1178</v>
      </c>
      <c r="D920" s="2" t="s">
        <v>2700</v>
      </c>
      <c r="E920" s="2" t="s">
        <v>2700</v>
      </c>
      <c r="F920" s="2" t="s">
        <v>4387</v>
      </c>
      <c r="G920" s="2" t="s">
        <v>4387</v>
      </c>
      <c r="H920" s="2" t="s">
        <v>4387</v>
      </c>
      <c r="I920" s="2" t="s">
        <v>4388</v>
      </c>
      <c r="J920" s="2" t="s">
        <v>93</v>
      </c>
      <c r="K920" s="2" t="s">
        <v>937</v>
      </c>
      <c r="L920" s="3">
        <v>318.25</v>
      </c>
      <c r="M920" s="3">
        <v>334.16</v>
      </c>
      <c r="N920" s="3">
        <v>669</v>
      </c>
      <c r="O920" s="2" t="s">
        <v>155</v>
      </c>
      <c r="P920" s="2" t="s">
        <v>115</v>
      </c>
      <c r="Q920" s="2" t="s">
        <v>97</v>
      </c>
      <c r="R920" s="2" t="s">
        <v>98</v>
      </c>
      <c r="S920" s="2" t="s">
        <v>98</v>
      </c>
      <c r="T920" s="2" t="s">
        <v>98</v>
      </c>
      <c r="U920" s="2" t="s">
        <v>117</v>
      </c>
      <c r="V920" s="2" t="s">
        <v>439</v>
      </c>
      <c r="W920" s="2" t="s">
        <v>204</v>
      </c>
      <c r="X920" s="2" t="s">
        <v>1215</v>
      </c>
      <c r="Y920" s="2" t="s">
        <v>1226</v>
      </c>
      <c r="Z920" s="4">
        <v>7</v>
      </c>
      <c r="AA920" s="4">
        <f>=ROUNDDOWN(2.33333333333333,0)</f>
      </c>
      <c r="AB920" s="5">
        <v>3</v>
      </c>
      <c r="AC920" s="2" t="s">
        <v>98</v>
      </c>
      <c r="AD920" s="4"/>
      <c r="AE920" s="4"/>
      <c r="AF920" s="6">
        <v>74</v>
      </c>
      <c r="AG920" s="6"/>
      <c r="AH920" s="7">
        <v>1</v>
      </c>
      <c r="AI920" s="4"/>
      <c r="AJ920" s="4">
        <f>=ROUNDDOWN({0},0)</f>
      </c>
      <c r="AK920" s="5"/>
      <c r="AL920" s="2" t="s">
        <v>98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/>
      <c r="AW920" s="8"/>
      <c r="AX920" s="4"/>
      <c r="AY920" s="8"/>
      <c r="AZ920" s="7"/>
      <c r="BA920" s="7"/>
      <c r="BB920" s="7"/>
      <c r="BC920" s="4"/>
      <c r="BD920" s="8"/>
      <c r="BE920" s="4"/>
      <c r="BF920" s="8"/>
      <c r="BG920" s="7"/>
      <c r="BH920" s="7"/>
      <c r="BI920" s="7"/>
      <c r="BJ920" s="4"/>
      <c r="BK920" s="8"/>
      <c r="BL920" s="2" t="s">
        <v>269</v>
      </c>
      <c r="BM920" s="7"/>
      <c r="BN920" s="7"/>
      <c r="BO920" s="4"/>
      <c r="BP920" s="8"/>
      <c r="BQ920" s="4"/>
      <c r="BR920" s="8"/>
      <c r="BS920" s="7"/>
      <c r="BT920" s="7"/>
      <c r="BU920" s="2" t="s">
        <v>1376</v>
      </c>
      <c r="BV920" s="2" t="s">
        <v>95</v>
      </c>
      <c r="BW920" s="2" t="s">
        <v>98</v>
      </c>
      <c r="BX920" s="2" t="s">
        <v>98</v>
      </c>
      <c r="BY920" s="2" t="s">
        <v>110</v>
      </c>
      <c r="BZ920" s="2" t="s">
        <v>98</v>
      </c>
    </row>
    <row r="921">
      <c r="A921" s="2" t="s">
        <v>4389</v>
      </c>
      <c r="B921" s="2" t="s">
        <v>1345</v>
      </c>
      <c r="C921" s="2" t="s">
        <v>1178</v>
      </c>
      <c r="D921" s="2" t="s">
        <v>2821</v>
      </c>
      <c r="E921" s="2" t="s">
        <v>2821</v>
      </c>
      <c r="F921" s="2" t="s">
        <v>2376</v>
      </c>
      <c r="G921" s="2" t="s">
        <v>2376</v>
      </c>
      <c r="H921" s="2" t="s">
        <v>2376</v>
      </c>
      <c r="I921" s="2" t="s">
        <v>4390</v>
      </c>
      <c r="J921" s="2" t="s">
        <v>2826</v>
      </c>
      <c r="K921" s="2" t="s">
        <v>967</v>
      </c>
      <c r="L921" s="3">
        <v>131.75</v>
      </c>
      <c r="M921" s="3">
        <v>138.34</v>
      </c>
      <c r="N921" s="3">
        <v>279</v>
      </c>
      <c r="O921" s="2" t="s">
        <v>95</v>
      </c>
      <c r="P921" s="2" t="s">
        <v>115</v>
      </c>
      <c r="Q921" s="2" t="s">
        <v>97</v>
      </c>
      <c r="R921" s="2" t="s">
        <v>98</v>
      </c>
      <c r="S921" s="2" t="s">
        <v>98</v>
      </c>
      <c r="T921" s="2" t="s">
        <v>98</v>
      </c>
      <c r="U921" s="2" t="s">
        <v>117</v>
      </c>
      <c r="V921" s="2" t="s">
        <v>296</v>
      </c>
      <c r="W921" s="2" t="s">
        <v>102</v>
      </c>
      <c r="X921" s="2" t="s">
        <v>1181</v>
      </c>
      <c r="Y921" s="2" t="s">
        <v>3191</v>
      </c>
      <c r="Z921" s="4">
        <v>13</v>
      </c>
      <c r="AA921" s="4">
        <f>=ROUNDDOWN(6.5,0)</f>
      </c>
      <c r="AB921" s="5">
        <v>2</v>
      </c>
      <c r="AC921" s="2" t="s">
        <v>98</v>
      </c>
      <c r="AD921" s="4"/>
      <c r="AE921" s="4"/>
      <c r="AF921" s="6">
        <v>65</v>
      </c>
      <c r="AG921" s="6"/>
      <c r="AH921" s="7">
        <v>1</v>
      </c>
      <c r="AI921" s="4"/>
      <c r="AJ921" s="4">
        <f>=ROUNDDOWN({0},0)</f>
      </c>
      <c r="AK921" s="5"/>
      <c r="AL921" s="2" t="s">
        <v>98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98</v>
      </c>
      <c r="AW921" s="8" t="s">
        <v>98</v>
      </c>
      <c r="AX921" s="4" t="s">
        <v>98</v>
      </c>
      <c r="AY921" s="8" t="s">
        <v>98</v>
      </c>
      <c r="AZ921" s="7" t="s">
        <v>98</v>
      </c>
      <c r="BA921" s="7" t="s">
        <v>98</v>
      </c>
      <c r="BB921" s="7"/>
      <c r="BC921" s="4" t="s">
        <v>98</v>
      </c>
      <c r="BD921" s="8" t="s">
        <v>98</v>
      </c>
      <c r="BE921" s="4" t="s">
        <v>98</v>
      </c>
      <c r="BF921" s="8" t="s">
        <v>98</v>
      </c>
      <c r="BG921" s="7" t="s">
        <v>98</v>
      </c>
      <c r="BH921" s="7" t="s">
        <v>98</v>
      </c>
      <c r="BI921" s="7"/>
      <c r="BJ921" s="4">
        <v>2</v>
      </c>
      <c r="BK921" s="8">
        <v>284.98</v>
      </c>
      <c r="BL921" s="2" t="s">
        <v>1379</v>
      </c>
      <c r="BM921" s="7"/>
      <c r="BN921" s="7"/>
      <c r="BO921" s="4"/>
      <c r="BP921" s="8"/>
      <c r="BQ921" s="4"/>
      <c r="BR921" s="8"/>
      <c r="BS921" s="7"/>
      <c r="BT921" s="7"/>
      <c r="BU921" s="2" t="s">
        <v>1376</v>
      </c>
      <c r="BV921" s="2" t="s">
        <v>95</v>
      </c>
      <c r="BW921" s="2" t="s">
        <v>98</v>
      </c>
      <c r="BX921" s="2" t="s">
        <v>98</v>
      </c>
      <c r="BY921" s="2" t="s">
        <v>110</v>
      </c>
      <c r="BZ921" s="2" t="s">
        <v>98</v>
      </c>
    </row>
    <row r="922">
      <c r="A922" s="2" t="s">
        <v>4391</v>
      </c>
      <c r="B922" s="2" t="s">
        <v>1345</v>
      </c>
      <c r="C922" s="2" t="s">
        <v>1178</v>
      </c>
      <c r="D922" s="2" t="s">
        <v>2821</v>
      </c>
      <c r="E922" s="2" t="s">
        <v>2821</v>
      </c>
      <c r="F922" s="2" t="s">
        <v>2376</v>
      </c>
      <c r="G922" s="2" t="s">
        <v>2376</v>
      </c>
      <c r="H922" s="2" t="s">
        <v>2376</v>
      </c>
      <c r="I922" s="2" t="s">
        <v>4392</v>
      </c>
      <c r="J922" s="2" t="s">
        <v>2831</v>
      </c>
      <c r="K922" s="2" t="s">
        <v>967</v>
      </c>
      <c r="L922" s="3">
        <v>153</v>
      </c>
      <c r="M922" s="3">
        <v>160.65</v>
      </c>
      <c r="N922" s="3">
        <v>319</v>
      </c>
      <c r="O922" s="2" t="s">
        <v>95</v>
      </c>
      <c r="P922" s="2" t="s">
        <v>115</v>
      </c>
      <c r="Q922" s="2" t="s">
        <v>97</v>
      </c>
      <c r="R922" s="2" t="s">
        <v>98</v>
      </c>
      <c r="S922" s="2" t="s">
        <v>98</v>
      </c>
      <c r="T922" s="2" t="s">
        <v>98</v>
      </c>
      <c r="U922" s="2" t="s">
        <v>117</v>
      </c>
      <c r="V922" s="2" t="s">
        <v>296</v>
      </c>
      <c r="W922" s="2" t="s">
        <v>102</v>
      </c>
      <c r="X922" s="2" t="s">
        <v>1181</v>
      </c>
      <c r="Y922" s="2" t="s">
        <v>3191</v>
      </c>
      <c r="Z922" s="4">
        <v>20</v>
      </c>
      <c r="AA922" s="4">
        <f>=ROUNDDOWN(10,0)</f>
      </c>
      <c r="AB922" s="5">
        <v>2</v>
      </c>
      <c r="AC922" s="2" t="s">
        <v>98</v>
      </c>
      <c r="AD922" s="4"/>
      <c r="AE922" s="4"/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98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 t="s">
        <v>98</v>
      </c>
      <c r="AW922" s="8" t="s">
        <v>98</v>
      </c>
      <c r="AX922" s="4" t="s">
        <v>98</v>
      </c>
      <c r="AY922" s="8" t="s">
        <v>98</v>
      </c>
      <c r="AZ922" s="7" t="s">
        <v>98</v>
      </c>
      <c r="BA922" s="7" t="s">
        <v>98</v>
      </c>
      <c r="BB922" s="7"/>
      <c r="BC922" s="4" t="s">
        <v>98</v>
      </c>
      <c r="BD922" s="8" t="s">
        <v>98</v>
      </c>
      <c r="BE922" s="4" t="s">
        <v>98</v>
      </c>
      <c r="BF922" s="8" t="s">
        <v>98</v>
      </c>
      <c r="BG922" s="7" t="s">
        <v>98</v>
      </c>
      <c r="BH922" s="7" t="s">
        <v>98</v>
      </c>
      <c r="BI922" s="7"/>
      <c r="BJ922" s="4">
        <v>3</v>
      </c>
      <c r="BK922" s="8">
        <v>507.66</v>
      </c>
      <c r="BL922" s="2" t="s">
        <v>1379</v>
      </c>
      <c r="BM922" s="7"/>
      <c r="BN922" s="7"/>
      <c r="BO922" s="4"/>
      <c r="BP922" s="8"/>
      <c r="BQ922" s="4"/>
      <c r="BR922" s="8"/>
      <c r="BS922" s="7"/>
      <c r="BT922" s="7"/>
      <c r="BU922" s="2" t="s">
        <v>1376</v>
      </c>
      <c r="BV922" s="2" t="s">
        <v>95</v>
      </c>
      <c r="BW922" s="2" t="s">
        <v>98</v>
      </c>
      <c r="BX922" s="2" t="s">
        <v>98</v>
      </c>
      <c r="BY922" s="2" t="s">
        <v>110</v>
      </c>
      <c r="BZ922" s="2" t="s">
        <v>98</v>
      </c>
    </row>
    <row r="923">
      <c r="A923" s="2" t="s">
        <v>4393</v>
      </c>
      <c r="B923" s="2" t="s">
        <v>1345</v>
      </c>
      <c r="C923" s="2" t="s">
        <v>1178</v>
      </c>
      <c r="D923" s="2" t="s">
        <v>3434</v>
      </c>
      <c r="E923" s="2" t="s">
        <v>3435</v>
      </c>
      <c r="F923" s="2" t="s">
        <v>4257</v>
      </c>
      <c r="G923" s="2" t="s">
        <v>4257</v>
      </c>
      <c r="H923" s="2" t="s">
        <v>4257</v>
      </c>
      <c r="I923" s="2" t="s">
        <v>3990</v>
      </c>
      <c r="J923" s="2" t="s">
        <v>93</v>
      </c>
      <c r="K923" s="2" t="s">
        <v>4258</v>
      </c>
      <c r="L923" s="3">
        <v>278</v>
      </c>
      <c r="M923" s="3">
        <v>291.9</v>
      </c>
      <c r="N923" s="3">
        <v>599</v>
      </c>
      <c r="O923" s="2" t="s">
        <v>95</v>
      </c>
      <c r="P923" s="2" t="s">
        <v>411</v>
      </c>
      <c r="Q923" s="2" t="s">
        <v>97</v>
      </c>
      <c r="R923" s="2" t="s">
        <v>98</v>
      </c>
      <c r="S923" s="2" t="s">
        <v>98</v>
      </c>
      <c r="T923" s="2" t="s">
        <v>98</v>
      </c>
      <c r="U923" s="2" t="s">
        <v>117</v>
      </c>
      <c r="V923" s="2" t="s">
        <v>296</v>
      </c>
      <c r="W923" s="2" t="s">
        <v>314</v>
      </c>
      <c r="X923" s="2" t="s">
        <v>1186</v>
      </c>
      <c r="Y923" s="2" t="s">
        <v>98</v>
      </c>
      <c r="Z923" s="4"/>
      <c r="AA923" s="4">
        <f>=ROUNDDOWN({0},0)</f>
      </c>
      <c r="AB923" s="5"/>
      <c r="AC923" s="2" t="s">
        <v>2575</v>
      </c>
      <c r="AD923" s="4">
        <v>1</v>
      </c>
      <c r="AE923" s="4">
        <v>100</v>
      </c>
      <c r="AF923" s="6">
        <v>74</v>
      </c>
      <c r="AG923" s="6"/>
      <c r="AH923" s="7">
        <v>0</v>
      </c>
      <c r="AI923" s="4"/>
      <c r="AJ923" s="4">
        <f>=ROUNDDOWN({0},0)</f>
      </c>
      <c r="AK923" s="5"/>
      <c r="AL923" s="2" t="s">
        <v>98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/>
      <c r="AW923" s="8"/>
      <c r="AX923" s="4"/>
      <c r="AY923" s="8"/>
      <c r="AZ923" s="7"/>
      <c r="BA923" s="7"/>
      <c r="BB923" s="7"/>
      <c r="BC923" s="4"/>
      <c r="BD923" s="8"/>
      <c r="BE923" s="4"/>
      <c r="BF923" s="8"/>
      <c r="BG923" s="7"/>
      <c r="BH923" s="7"/>
      <c r="BI923" s="7"/>
      <c r="BJ923" s="4"/>
      <c r="BK923" s="8"/>
      <c r="BL923" s="2" t="s">
        <v>98</v>
      </c>
      <c r="BM923" s="7"/>
      <c r="BN923" s="7"/>
      <c r="BO923" s="4"/>
      <c r="BP923" s="8"/>
      <c r="BQ923" s="4"/>
      <c r="BR923" s="8"/>
      <c r="BS923" s="7"/>
      <c r="BT923" s="7"/>
      <c r="BU923" s="2" t="s">
        <v>1376</v>
      </c>
      <c r="BV923" s="2" t="s">
        <v>95</v>
      </c>
      <c r="BW923" s="2" t="s">
        <v>98</v>
      </c>
      <c r="BX923" s="2" t="s">
        <v>98</v>
      </c>
      <c r="BY923" s="2" t="s">
        <v>110</v>
      </c>
      <c r="BZ923" s="2" t="s">
        <v>98</v>
      </c>
    </row>
    <row r="924">
      <c r="A924" s="2" t="s">
        <v>4394</v>
      </c>
      <c r="B924" s="2" t="s">
        <v>1345</v>
      </c>
      <c r="C924" s="2" t="s">
        <v>1178</v>
      </c>
      <c r="D924" s="2" t="s">
        <v>4011</v>
      </c>
      <c r="E924" s="2" t="s">
        <v>4011</v>
      </c>
      <c r="F924" s="2" t="s">
        <v>4351</v>
      </c>
      <c r="G924" s="2" t="s">
        <v>4351</v>
      </c>
      <c r="H924" s="2" t="s">
        <v>4351</v>
      </c>
      <c r="I924" s="2" t="s">
        <v>4023</v>
      </c>
      <c r="J924" s="2" t="s">
        <v>93</v>
      </c>
      <c r="K924" s="2" t="s">
        <v>2965</v>
      </c>
      <c r="L924" s="3">
        <v>127</v>
      </c>
      <c r="M924" s="3">
        <v>133.35</v>
      </c>
      <c r="N924" s="3">
        <v>269</v>
      </c>
      <c r="O924" s="2" t="s">
        <v>95</v>
      </c>
      <c r="P924" s="2" t="s">
        <v>411</v>
      </c>
      <c r="Q924" s="2" t="s">
        <v>97</v>
      </c>
      <c r="R924" s="2" t="s">
        <v>98</v>
      </c>
      <c r="S924" s="2" t="s">
        <v>98</v>
      </c>
      <c r="T924" s="2" t="s">
        <v>98</v>
      </c>
      <c r="U924" s="2" t="s">
        <v>117</v>
      </c>
      <c r="V924" s="2" t="s">
        <v>296</v>
      </c>
      <c r="W924" s="2" t="s">
        <v>314</v>
      </c>
      <c r="X924" s="2" t="s">
        <v>1186</v>
      </c>
      <c r="Y924" s="2" t="s">
        <v>98</v>
      </c>
      <c r="Z924" s="4"/>
      <c r="AA924" s="4">
        <f>=ROUNDDOWN({0},0)</f>
      </c>
      <c r="AB924" s="5"/>
      <c r="AC924" s="2" t="s">
        <v>2575</v>
      </c>
      <c r="AD924" s="4">
        <v>1</v>
      </c>
      <c r="AE924" s="4">
        <v>100</v>
      </c>
      <c r="AF924" s="6">
        <v>76</v>
      </c>
      <c r="AG924" s="6"/>
      <c r="AH924" s="7">
        <v>0</v>
      </c>
      <c r="AI924" s="4"/>
      <c r="AJ924" s="4">
        <f>=ROUNDDOWN({0},0)</f>
      </c>
      <c r="AK924" s="5"/>
      <c r="AL924" s="2" t="s">
        <v>98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/>
      <c r="AW924" s="8"/>
      <c r="AX924" s="4"/>
      <c r="AY924" s="8"/>
      <c r="AZ924" s="7"/>
      <c r="BA924" s="7"/>
      <c r="BB924" s="7"/>
      <c r="BC924" s="4"/>
      <c r="BD924" s="8"/>
      <c r="BE924" s="4"/>
      <c r="BF924" s="8"/>
      <c r="BG924" s="7"/>
      <c r="BH924" s="7"/>
      <c r="BI924" s="7"/>
      <c r="BJ924" s="4"/>
      <c r="BK924" s="8"/>
      <c r="BL924" s="2" t="s">
        <v>98</v>
      </c>
      <c r="BM924" s="7"/>
      <c r="BN924" s="7"/>
      <c r="BO924" s="4"/>
      <c r="BP924" s="8"/>
      <c r="BQ924" s="4"/>
      <c r="BR924" s="8"/>
      <c r="BS924" s="7"/>
      <c r="BT924" s="7"/>
      <c r="BU924" s="2" t="s">
        <v>1376</v>
      </c>
      <c r="BV924" s="2" t="s">
        <v>95</v>
      </c>
      <c r="BW924" s="2" t="s">
        <v>98</v>
      </c>
      <c r="BX924" s="2" t="s">
        <v>98</v>
      </c>
      <c r="BY924" s="2" t="s">
        <v>110</v>
      </c>
      <c r="BZ924" s="2" t="s">
        <v>98</v>
      </c>
    </row>
    <row r="925">
      <c r="A925" s="2" t="s">
        <v>4395</v>
      </c>
      <c r="B925" s="2" t="s">
        <v>1345</v>
      </c>
      <c r="C925" s="2" t="s">
        <v>1178</v>
      </c>
      <c r="D925" s="2" t="s">
        <v>4011</v>
      </c>
      <c r="E925" s="2" t="s">
        <v>4011</v>
      </c>
      <c r="F925" s="2" t="s">
        <v>2200</v>
      </c>
      <c r="G925" s="2" t="s">
        <v>2200</v>
      </c>
      <c r="H925" s="2" t="s">
        <v>2200</v>
      </c>
      <c r="I925" s="2" t="s">
        <v>4396</v>
      </c>
      <c r="J925" s="2" t="s">
        <v>93</v>
      </c>
      <c r="K925" s="2" t="s">
        <v>4318</v>
      </c>
      <c r="L925" s="3">
        <v>125</v>
      </c>
      <c r="M925" s="3">
        <v>131.25</v>
      </c>
      <c r="N925" s="3">
        <v>259</v>
      </c>
      <c r="O925" s="2" t="s">
        <v>95</v>
      </c>
      <c r="P925" s="2" t="s">
        <v>295</v>
      </c>
      <c r="Q925" s="2" t="s">
        <v>97</v>
      </c>
      <c r="R925" s="2" t="s">
        <v>98</v>
      </c>
      <c r="S925" s="2" t="s">
        <v>98</v>
      </c>
      <c r="T925" s="2" t="s">
        <v>98</v>
      </c>
      <c r="U925" s="2" t="s">
        <v>117</v>
      </c>
      <c r="V925" s="2" t="s">
        <v>296</v>
      </c>
      <c r="W925" s="2" t="s">
        <v>119</v>
      </c>
      <c r="X925" s="2" t="s">
        <v>1186</v>
      </c>
      <c r="Y925" s="2" t="s">
        <v>98</v>
      </c>
      <c r="Z925" s="4"/>
      <c r="AA925" s="4">
        <f>=ROUNDDOWN({0},0)</f>
      </c>
      <c r="AB925" s="5"/>
      <c r="AC925" s="2" t="s">
        <v>2575</v>
      </c>
      <c r="AD925" s="4">
        <v>1</v>
      </c>
      <c r="AE925" s="4">
        <v>100</v>
      </c>
      <c r="AF925" s="6">
        <v>74</v>
      </c>
      <c r="AG925" s="6"/>
      <c r="AH925" s="7">
        <v>0</v>
      </c>
      <c r="AI925" s="4"/>
      <c r="AJ925" s="4">
        <f>=ROUNDDOWN({0},0)</f>
      </c>
      <c r="AK925" s="5"/>
      <c r="AL925" s="2" t="s">
        <v>98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/>
      <c r="AW925" s="8"/>
      <c r="AX925" s="4"/>
      <c r="AY925" s="8"/>
      <c r="AZ925" s="7"/>
      <c r="BA925" s="7"/>
      <c r="BB925" s="7"/>
      <c r="BC925" s="4"/>
      <c r="BD925" s="8"/>
      <c r="BE925" s="4"/>
      <c r="BF925" s="8"/>
      <c r="BG925" s="7"/>
      <c r="BH925" s="7"/>
      <c r="BI925" s="7"/>
      <c r="BJ925" s="4"/>
      <c r="BK925" s="8"/>
      <c r="BL925" s="2" t="s">
        <v>98</v>
      </c>
      <c r="BM925" s="7"/>
      <c r="BN925" s="7"/>
      <c r="BO925" s="4"/>
      <c r="BP925" s="8"/>
      <c r="BQ925" s="4"/>
      <c r="BR925" s="8"/>
      <c r="BS925" s="7"/>
      <c r="BT925" s="7"/>
      <c r="BU925" s="2" t="s">
        <v>1376</v>
      </c>
      <c r="BV925" s="2" t="s">
        <v>95</v>
      </c>
      <c r="BW925" s="2" t="s">
        <v>98</v>
      </c>
      <c r="BX925" s="2" t="s">
        <v>98</v>
      </c>
      <c r="BY925" s="2" t="s">
        <v>110</v>
      </c>
      <c r="BZ925" s="2" t="s">
        <v>98</v>
      </c>
    </row>
    <row r="926">
      <c r="A926" s="2" t="s">
        <v>4397</v>
      </c>
      <c r="B926" s="2" t="s">
        <v>1345</v>
      </c>
      <c r="C926" s="2" t="s">
        <v>1178</v>
      </c>
      <c r="D926" s="2" t="s">
        <v>2728</v>
      </c>
      <c r="E926" s="2" t="s">
        <v>4398</v>
      </c>
      <c r="F926" s="2" t="s">
        <v>4399</v>
      </c>
      <c r="G926" s="2" t="s">
        <v>4399</v>
      </c>
      <c r="H926" s="2" t="s">
        <v>4399</v>
      </c>
      <c r="I926" s="2" t="s">
        <v>4400</v>
      </c>
      <c r="J926" s="2" t="s">
        <v>93</v>
      </c>
      <c r="K926" s="2" t="s">
        <v>4327</v>
      </c>
      <c r="L926" s="3">
        <v>103.5</v>
      </c>
      <c r="M926" s="3">
        <v>108.68</v>
      </c>
      <c r="N926" s="3">
        <v>219</v>
      </c>
      <c r="O926" s="2" t="s">
        <v>95</v>
      </c>
      <c r="P926" s="2" t="s">
        <v>134</v>
      </c>
      <c r="Q926" s="2" t="s">
        <v>97</v>
      </c>
      <c r="R926" s="2" t="s">
        <v>98</v>
      </c>
      <c r="S926" s="2" t="s">
        <v>4401</v>
      </c>
      <c r="T926" s="2" t="s">
        <v>98</v>
      </c>
      <c r="U926" s="2" t="s">
        <v>117</v>
      </c>
      <c r="V926" s="2" t="s">
        <v>296</v>
      </c>
      <c r="W926" s="2" t="s">
        <v>204</v>
      </c>
      <c r="X926" s="2" t="s">
        <v>1215</v>
      </c>
      <c r="Y926" s="2" t="s">
        <v>2125</v>
      </c>
      <c r="Z926" s="4">
        <v>168</v>
      </c>
      <c r="AA926" s="4">
        <f>=ROUNDDOWN(12.9230769230769,0)</f>
      </c>
      <c r="AB926" s="5">
        <v>13</v>
      </c>
      <c r="AC926" s="2" t="s">
        <v>222</v>
      </c>
      <c r="AD926" s="4">
        <v>149</v>
      </c>
      <c r="AE926" s="4">
        <v>280</v>
      </c>
      <c r="AF926" s="6">
        <v>65</v>
      </c>
      <c r="AG926" s="6">
        <v>48</v>
      </c>
      <c r="AH926" s="7">
        <v>1</v>
      </c>
      <c r="AI926" s="4"/>
      <c r="AJ926" s="4">
        <f>=ROUNDDOWN({0},0)</f>
      </c>
      <c r="AK926" s="5"/>
      <c r="AL926" s="2" t="s">
        <v>98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/>
      <c r="AW926" s="8"/>
      <c r="AX926" s="4"/>
      <c r="AY926" s="8"/>
      <c r="AZ926" s="7"/>
      <c r="BA926" s="7"/>
      <c r="BB926" s="7"/>
      <c r="BC926" s="4"/>
      <c r="BD926" s="8"/>
      <c r="BE926" s="4"/>
      <c r="BF926" s="8"/>
      <c r="BG926" s="7"/>
      <c r="BH926" s="7"/>
      <c r="BI926" s="7"/>
      <c r="BJ926" s="4">
        <v>5</v>
      </c>
      <c r="BK926" s="8">
        <v>595.64</v>
      </c>
      <c r="BL926" s="2" t="s">
        <v>1329</v>
      </c>
      <c r="BM926" s="7"/>
      <c r="BN926" s="7"/>
      <c r="BO926" s="4"/>
      <c r="BP926" s="8"/>
      <c r="BQ926" s="4"/>
      <c r="BR926" s="8"/>
      <c r="BS926" s="7"/>
      <c r="BT926" s="7"/>
      <c r="BU926" s="2" t="s">
        <v>107</v>
      </c>
      <c r="BV926" s="2" t="s">
        <v>1355</v>
      </c>
      <c r="BW926" s="2" t="s">
        <v>1478</v>
      </c>
      <c r="BX926" s="2" t="s">
        <v>98</v>
      </c>
      <c r="BY926" s="2" t="s">
        <v>110</v>
      </c>
      <c r="BZ926" s="2" t="s">
        <v>98</v>
      </c>
    </row>
    <row r="927">
      <c r="A927" s="2" t="s">
        <v>4402</v>
      </c>
      <c r="B927" s="2" t="s">
        <v>1345</v>
      </c>
      <c r="C927" s="2" t="s">
        <v>1178</v>
      </c>
      <c r="D927" s="2" t="s">
        <v>2728</v>
      </c>
      <c r="E927" s="2" t="s">
        <v>4398</v>
      </c>
      <c r="F927" s="2" t="s">
        <v>4403</v>
      </c>
      <c r="G927" s="2" t="s">
        <v>4403</v>
      </c>
      <c r="H927" s="2" t="s">
        <v>4403</v>
      </c>
      <c r="I927" s="2" t="s">
        <v>4400</v>
      </c>
      <c r="J927" s="2" t="s">
        <v>93</v>
      </c>
      <c r="K927" s="2" t="s">
        <v>4327</v>
      </c>
      <c r="L927" s="3">
        <v>112.2</v>
      </c>
      <c r="M927" s="3">
        <v>117.81</v>
      </c>
      <c r="N927" s="3">
        <v>239</v>
      </c>
      <c r="O927" s="2" t="s">
        <v>95</v>
      </c>
      <c r="P927" s="2" t="s">
        <v>134</v>
      </c>
      <c r="Q927" s="2" t="s">
        <v>97</v>
      </c>
      <c r="R927" s="2" t="s">
        <v>98</v>
      </c>
      <c r="S927" s="2" t="s">
        <v>4404</v>
      </c>
      <c r="T927" s="2" t="s">
        <v>98</v>
      </c>
      <c r="U927" s="2" t="s">
        <v>117</v>
      </c>
      <c r="V927" s="2" t="s">
        <v>439</v>
      </c>
      <c r="W927" s="2" t="s">
        <v>204</v>
      </c>
      <c r="X927" s="2" t="s">
        <v>1215</v>
      </c>
      <c r="Y927" s="2" t="s">
        <v>2125</v>
      </c>
      <c r="Z927" s="4">
        <v>122</v>
      </c>
      <c r="AA927" s="4">
        <f>=ROUNDDOWN(10.1666666666667,0)</f>
      </c>
      <c r="AB927" s="5">
        <v>12</v>
      </c>
      <c r="AC927" s="2" t="s">
        <v>1643</v>
      </c>
      <c r="AD927" s="4">
        <v>180</v>
      </c>
      <c r="AE927" s="4">
        <v>280</v>
      </c>
      <c r="AF927" s="6">
        <v>65</v>
      </c>
      <c r="AG927" s="6">
        <v>48</v>
      </c>
      <c r="AH927" s="7">
        <v>1</v>
      </c>
      <c r="AI927" s="4"/>
      <c r="AJ927" s="4">
        <f>=ROUNDDOWN({0},0)</f>
      </c>
      <c r="AK927" s="5"/>
      <c r="AL927" s="2" t="s">
        <v>98</v>
      </c>
      <c r="AM927" s="4"/>
      <c r="AN927" s="4"/>
      <c r="AO927" s="7">
        <v>0</v>
      </c>
      <c r="AP927" s="4"/>
      <c r="AQ927" s="8"/>
      <c r="AR927" s="4">
        <v>1</v>
      </c>
      <c r="AS927" s="8">
        <v>132.34</v>
      </c>
      <c r="AT927" s="7">
        <v>-1</v>
      </c>
      <c r="AU927" s="7">
        <v>-1</v>
      </c>
      <c r="AV927" s="4"/>
      <c r="AW927" s="8"/>
      <c r="AX927" s="4">
        <v>1</v>
      </c>
      <c r="AY927" s="8">
        <v>132.34</v>
      </c>
      <c r="AZ927" s="7">
        <v>-1</v>
      </c>
      <c r="BA927" s="7">
        <v>-1</v>
      </c>
      <c r="BB927" s="7"/>
      <c r="BC927" s="4"/>
      <c r="BD927" s="8"/>
      <c r="BE927" s="4">
        <v>1</v>
      </c>
      <c r="BF927" s="8">
        <v>132.34</v>
      </c>
      <c r="BG927" s="7">
        <v>-1</v>
      </c>
      <c r="BH927" s="7">
        <v>-1</v>
      </c>
      <c r="BI927" s="7"/>
      <c r="BJ927" s="4">
        <v>10</v>
      </c>
      <c r="BK927" s="8">
        <v>1283.87</v>
      </c>
      <c r="BL927" s="2" t="s">
        <v>4405</v>
      </c>
      <c r="BM927" s="7"/>
      <c r="BN927" s="7"/>
      <c r="BO927" s="4"/>
      <c r="BP927" s="8"/>
      <c r="BQ927" s="4">
        <v>1</v>
      </c>
      <c r="BR927" s="8">
        <v>132.34</v>
      </c>
      <c r="BS927" s="7">
        <v>-1</v>
      </c>
      <c r="BT927" s="7">
        <v>-1</v>
      </c>
      <c r="BU927" s="2" t="s">
        <v>107</v>
      </c>
      <c r="BV927" s="2" t="s">
        <v>1355</v>
      </c>
      <c r="BW927" s="2" t="s">
        <v>1478</v>
      </c>
      <c r="BX927" s="2" t="s">
        <v>98</v>
      </c>
      <c r="BY927" s="2" t="s">
        <v>110</v>
      </c>
      <c r="BZ927" s="2" t="s">
        <v>98</v>
      </c>
    </row>
    <row r="928">
      <c r="A928" s="2" t="s">
        <v>4406</v>
      </c>
      <c r="B928" s="2" t="s">
        <v>1345</v>
      </c>
      <c r="C928" s="2" t="s">
        <v>1178</v>
      </c>
      <c r="D928" s="2" t="s">
        <v>2728</v>
      </c>
      <c r="E928" s="2" t="s">
        <v>4398</v>
      </c>
      <c r="F928" s="2" t="s">
        <v>4407</v>
      </c>
      <c r="G928" s="2" t="s">
        <v>4407</v>
      </c>
      <c r="H928" s="2" t="s">
        <v>4407</v>
      </c>
      <c r="I928" s="2" t="s">
        <v>4400</v>
      </c>
      <c r="J928" s="2" t="s">
        <v>93</v>
      </c>
      <c r="K928" s="2" t="s">
        <v>4408</v>
      </c>
      <c r="L928" s="3">
        <v>85.5</v>
      </c>
      <c r="M928" s="3">
        <v>89.78</v>
      </c>
      <c r="N928" s="3">
        <v>179</v>
      </c>
      <c r="O928" s="2" t="s">
        <v>95</v>
      </c>
      <c r="P928" s="2" t="s">
        <v>142</v>
      </c>
      <c r="Q928" s="2" t="s">
        <v>97</v>
      </c>
      <c r="R928" s="2" t="s">
        <v>98</v>
      </c>
      <c r="S928" s="2" t="s">
        <v>4409</v>
      </c>
      <c r="T928" s="2" t="s">
        <v>98</v>
      </c>
      <c r="U928" s="2" t="s">
        <v>117</v>
      </c>
      <c r="V928" s="2" t="s">
        <v>439</v>
      </c>
      <c r="W928" s="2" t="s">
        <v>204</v>
      </c>
      <c r="X928" s="2" t="s">
        <v>1215</v>
      </c>
      <c r="Y928" s="2" t="s">
        <v>4410</v>
      </c>
      <c r="Z928" s="4">
        <v>102</v>
      </c>
      <c r="AA928" s="4">
        <f>=ROUNDDOWN(12.75,0)</f>
      </c>
      <c r="AB928" s="5">
        <v>8</v>
      </c>
      <c r="AC928" s="2" t="s">
        <v>177</v>
      </c>
      <c r="AD928" s="4">
        <v>100</v>
      </c>
      <c r="AE928" s="4">
        <v>100</v>
      </c>
      <c r="AF928" s="6">
        <v>74</v>
      </c>
      <c r="AG928" s="6">
        <v>60</v>
      </c>
      <c r="AH928" s="7">
        <v>1</v>
      </c>
      <c r="AI928" s="4"/>
      <c r="AJ928" s="4">
        <f>=ROUNDDOWN({0},0)</f>
      </c>
      <c r="AK928" s="5"/>
      <c r="AL928" s="2" t="s">
        <v>98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/>
      <c r="AW928" s="8"/>
      <c r="AX928" s="4"/>
      <c r="AY928" s="8"/>
      <c r="AZ928" s="7"/>
      <c r="BA928" s="7"/>
      <c r="BB928" s="7"/>
      <c r="BC928" s="4"/>
      <c r="BD928" s="8"/>
      <c r="BE928" s="4"/>
      <c r="BF928" s="8"/>
      <c r="BG928" s="7"/>
      <c r="BH928" s="7"/>
      <c r="BI928" s="7"/>
      <c r="BJ928" s="4">
        <v>4</v>
      </c>
      <c r="BK928" s="8">
        <v>436.65</v>
      </c>
      <c r="BL928" s="2" t="s">
        <v>4323</v>
      </c>
      <c r="BM928" s="7"/>
      <c r="BN928" s="7"/>
      <c r="BO928" s="4"/>
      <c r="BP928" s="8"/>
      <c r="BQ928" s="4"/>
      <c r="BR928" s="8"/>
      <c r="BS928" s="7"/>
      <c r="BT928" s="7"/>
      <c r="BU928" s="2" t="s">
        <v>107</v>
      </c>
      <c r="BV928" s="2" t="s">
        <v>1355</v>
      </c>
      <c r="BW928" s="2" t="s">
        <v>4199</v>
      </c>
      <c r="BX928" s="2" t="s">
        <v>4411</v>
      </c>
      <c r="BY928" s="2" t="s">
        <v>110</v>
      </c>
      <c r="BZ928" s="2" t="s">
        <v>98</v>
      </c>
    </row>
    <row r="929">
      <c r="A929" s="2" t="s">
        <v>4412</v>
      </c>
      <c r="B929" s="2" t="s">
        <v>1345</v>
      </c>
      <c r="C929" s="2" t="s">
        <v>1178</v>
      </c>
      <c r="D929" s="2" t="s">
        <v>2728</v>
      </c>
      <c r="E929" s="2" t="s">
        <v>4398</v>
      </c>
      <c r="F929" s="2" t="s">
        <v>4413</v>
      </c>
      <c r="G929" s="2" t="s">
        <v>4413</v>
      </c>
      <c r="H929" s="2" t="s">
        <v>4413</v>
      </c>
      <c r="I929" s="2" t="s">
        <v>4414</v>
      </c>
      <c r="J929" s="2" t="s">
        <v>93</v>
      </c>
      <c r="K929" s="2" t="s">
        <v>2734</v>
      </c>
      <c r="L929" s="3">
        <v>85.63</v>
      </c>
      <c r="M929" s="3">
        <v>89.91</v>
      </c>
      <c r="N929" s="3">
        <v>179</v>
      </c>
      <c r="O929" s="2" t="s">
        <v>95</v>
      </c>
      <c r="P929" s="2" t="s">
        <v>142</v>
      </c>
      <c r="Q929" s="2" t="s">
        <v>97</v>
      </c>
      <c r="R929" s="2" t="s">
        <v>98</v>
      </c>
      <c r="S929" s="2" t="s">
        <v>4415</v>
      </c>
      <c r="T929" s="2" t="s">
        <v>98</v>
      </c>
      <c r="U929" s="2" t="s">
        <v>117</v>
      </c>
      <c r="V929" s="2" t="s">
        <v>439</v>
      </c>
      <c r="W929" s="2" t="s">
        <v>103</v>
      </c>
      <c r="X929" s="2" t="s">
        <v>1215</v>
      </c>
      <c r="Y929" s="2" t="s">
        <v>4416</v>
      </c>
      <c r="Z929" s="4">
        <v>77</v>
      </c>
      <c r="AA929" s="4">
        <f>=ROUNDDOWN(12.8333333333333,0)</f>
      </c>
      <c r="AB929" s="5">
        <v>6</v>
      </c>
      <c r="AC929" s="2" t="s">
        <v>1643</v>
      </c>
      <c r="AD929" s="4">
        <v>110</v>
      </c>
      <c r="AE929" s="4">
        <v>110</v>
      </c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98</v>
      </c>
      <c r="AM929" s="4"/>
      <c r="AN929" s="4"/>
      <c r="AO929" s="7">
        <v>0</v>
      </c>
      <c r="AP929" s="4"/>
      <c r="AQ929" s="8"/>
      <c r="AR929" s="4">
        <v>2</v>
      </c>
      <c r="AS929" s="8">
        <v>180.46</v>
      </c>
      <c r="AT929" s="7">
        <v>-1</v>
      </c>
      <c r="AU929" s="7">
        <v>-1</v>
      </c>
      <c r="AV929" s="4"/>
      <c r="AW929" s="8"/>
      <c r="AX929" s="4">
        <v>2</v>
      </c>
      <c r="AY929" s="8">
        <v>180.46</v>
      </c>
      <c r="AZ929" s="7">
        <v>-1</v>
      </c>
      <c r="BA929" s="7">
        <v>-1</v>
      </c>
      <c r="BB929" s="7"/>
      <c r="BC929" s="4"/>
      <c r="BD929" s="8"/>
      <c r="BE929" s="4">
        <v>2</v>
      </c>
      <c r="BF929" s="8">
        <v>180.46</v>
      </c>
      <c r="BG929" s="7">
        <v>-1</v>
      </c>
      <c r="BH929" s="7">
        <v>-1</v>
      </c>
      <c r="BI929" s="7"/>
      <c r="BJ929" s="4">
        <v>2</v>
      </c>
      <c r="BK929" s="8">
        <v>215.09</v>
      </c>
      <c r="BL929" s="2" t="s">
        <v>4417</v>
      </c>
      <c r="BM929" s="7"/>
      <c r="BN929" s="7"/>
      <c r="BO929" s="4"/>
      <c r="BP929" s="8"/>
      <c r="BQ929" s="4">
        <v>2</v>
      </c>
      <c r="BR929" s="8">
        <v>180.46</v>
      </c>
      <c r="BS929" s="7">
        <v>-1</v>
      </c>
      <c r="BT929" s="7">
        <v>-1</v>
      </c>
      <c r="BU929" s="2" t="s">
        <v>107</v>
      </c>
      <c r="BV929" s="2" t="s">
        <v>1355</v>
      </c>
      <c r="BW929" s="2" t="s">
        <v>1478</v>
      </c>
      <c r="BX929" s="2" t="s">
        <v>98</v>
      </c>
      <c r="BY929" s="2" t="s">
        <v>110</v>
      </c>
      <c r="BZ929" s="2" t="s">
        <v>98</v>
      </c>
    </row>
    <row r="930">
      <c r="A930" s="2" t="s">
        <v>4418</v>
      </c>
      <c r="B930" s="2" t="s">
        <v>1345</v>
      </c>
      <c r="C930" s="2" t="s">
        <v>1178</v>
      </c>
      <c r="D930" s="2" t="s">
        <v>2728</v>
      </c>
      <c r="E930" s="2" t="s">
        <v>2729</v>
      </c>
      <c r="F930" s="2" t="s">
        <v>4325</v>
      </c>
      <c r="G930" s="2" t="s">
        <v>4325</v>
      </c>
      <c r="H930" s="2" t="s">
        <v>4325</v>
      </c>
      <c r="I930" s="2" t="s">
        <v>4419</v>
      </c>
      <c r="J930" s="2" t="s">
        <v>93</v>
      </c>
      <c r="K930" s="2" t="s">
        <v>4420</v>
      </c>
      <c r="L930" s="3">
        <v>185</v>
      </c>
      <c r="M930" s="3">
        <v>194.25</v>
      </c>
      <c r="N930" s="3">
        <v>399</v>
      </c>
      <c r="O930" s="2" t="s">
        <v>95</v>
      </c>
      <c r="P930" s="2" t="s">
        <v>295</v>
      </c>
      <c r="Q930" s="2" t="s">
        <v>97</v>
      </c>
      <c r="R930" s="2" t="s">
        <v>98</v>
      </c>
      <c r="S930" s="2" t="s">
        <v>98</v>
      </c>
      <c r="T930" s="2" t="s">
        <v>98</v>
      </c>
      <c r="U930" s="2" t="s">
        <v>117</v>
      </c>
      <c r="V930" s="2" t="s">
        <v>296</v>
      </c>
      <c r="W930" s="2" t="s">
        <v>4421</v>
      </c>
      <c r="X930" s="2" t="s">
        <v>1215</v>
      </c>
      <c r="Y930" s="2" t="s">
        <v>98</v>
      </c>
      <c r="Z930" s="4"/>
      <c r="AA930" s="4">
        <f>=ROUNDDOWN({0},0)</f>
      </c>
      <c r="AB930" s="5"/>
      <c r="AC930" s="2" t="s">
        <v>1353</v>
      </c>
      <c r="AD930" s="4">
        <v>69</v>
      </c>
      <c r="AE930" s="4">
        <v>100</v>
      </c>
      <c r="AF930" s="6">
        <v>74</v>
      </c>
      <c r="AG930" s="6"/>
      <c r="AH930" s="7">
        <v>0</v>
      </c>
      <c r="AI930" s="4"/>
      <c r="AJ930" s="4">
        <f>=ROUNDDOWN({0},0)</f>
      </c>
      <c r="AK930" s="5"/>
      <c r="AL930" s="2" t="s">
        <v>98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/>
      <c r="AW930" s="8"/>
      <c r="AX930" s="4"/>
      <c r="AY930" s="8"/>
      <c r="AZ930" s="7"/>
      <c r="BA930" s="7"/>
      <c r="BB930" s="7"/>
      <c r="BC930" s="4"/>
      <c r="BD930" s="8"/>
      <c r="BE930" s="4"/>
      <c r="BF930" s="8"/>
      <c r="BG930" s="7"/>
      <c r="BH930" s="7"/>
      <c r="BI930" s="7"/>
      <c r="BJ930" s="4"/>
      <c r="BK930" s="8"/>
      <c r="BL930" s="2" t="s">
        <v>98</v>
      </c>
      <c r="BM930" s="7"/>
      <c r="BN930" s="7"/>
      <c r="BO930" s="4"/>
      <c r="BP930" s="8"/>
      <c r="BQ930" s="4"/>
      <c r="BR930" s="8"/>
      <c r="BS930" s="7"/>
      <c r="BT930" s="7"/>
      <c r="BU930" s="2" t="s">
        <v>1376</v>
      </c>
      <c r="BV930" s="2" t="s">
        <v>95</v>
      </c>
      <c r="BW930" s="2" t="s">
        <v>98</v>
      </c>
      <c r="BX930" s="2" t="s">
        <v>98</v>
      </c>
      <c r="BY930" s="2" t="s">
        <v>110</v>
      </c>
      <c r="BZ930" s="2" t="s">
        <v>98</v>
      </c>
    </row>
    <row r="931">
      <c r="A931" s="2" t="s">
        <v>4422</v>
      </c>
      <c r="B931" s="2" t="s">
        <v>1345</v>
      </c>
      <c r="C931" s="2" t="s">
        <v>1178</v>
      </c>
      <c r="D931" s="2" t="s">
        <v>2728</v>
      </c>
      <c r="E931" s="2" t="s">
        <v>2729</v>
      </c>
      <c r="F931" s="2" t="s">
        <v>4423</v>
      </c>
      <c r="G931" s="2" t="s">
        <v>4423</v>
      </c>
      <c r="H931" s="2" t="s">
        <v>4423</v>
      </c>
      <c r="I931" s="2" t="s">
        <v>4424</v>
      </c>
      <c r="J931" s="2" t="s">
        <v>93</v>
      </c>
      <c r="K931" s="2" t="s">
        <v>127</v>
      </c>
      <c r="L931" s="3">
        <v>175</v>
      </c>
      <c r="M931" s="3">
        <v>183.75</v>
      </c>
      <c r="N931" s="3">
        <v>369</v>
      </c>
      <c r="O931" s="2" t="s">
        <v>95</v>
      </c>
      <c r="P931" s="2" t="s">
        <v>134</v>
      </c>
      <c r="Q931" s="2" t="s">
        <v>97</v>
      </c>
      <c r="R931" s="2" t="s">
        <v>98</v>
      </c>
      <c r="S931" s="2" t="s">
        <v>98</v>
      </c>
      <c r="T931" s="2" t="s">
        <v>98</v>
      </c>
      <c r="U931" s="2" t="s">
        <v>117</v>
      </c>
      <c r="V931" s="2" t="s">
        <v>439</v>
      </c>
      <c r="W931" s="2" t="s">
        <v>204</v>
      </c>
      <c r="X931" s="2" t="s">
        <v>1215</v>
      </c>
      <c r="Y931" s="2" t="s">
        <v>4425</v>
      </c>
      <c r="Z931" s="4">
        <v>174</v>
      </c>
      <c r="AA931" s="4">
        <f>=ROUNDDOWN(29,0)</f>
      </c>
      <c r="AB931" s="5">
        <v>6</v>
      </c>
      <c r="AC931" s="2" t="s">
        <v>98</v>
      </c>
      <c r="AD931" s="4"/>
      <c r="AE931" s="4"/>
      <c r="AF931" s="6">
        <v>74</v>
      </c>
      <c r="AG931" s="6"/>
      <c r="AH931" s="7">
        <v>1</v>
      </c>
      <c r="AI931" s="4"/>
      <c r="AJ931" s="4">
        <f>=ROUNDDOWN({0},0)</f>
      </c>
      <c r="AK931" s="5"/>
      <c r="AL931" s="2" t="s">
        <v>98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/>
      <c r="AW931" s="8"/>
      <c r="AX931" s="4"/>
      <c r="AY931" s="8"/>
      <c r="AZ931" s="7"/>
      <c r="BA931" s="7"/>
      <c r="BB931" s="7"/>
      <c r="BC931" s="4"/>
      <c r="BD931" s="8"/>
      <c r="BE931" s="4"/>
      <c r="BF931" s="8"/>
      <c r="BG931" s="7"/>
      <c r="BH931" s="7"/>
      <c r="BI931" s="7"/>
      <c r="BJ931" s="4">
        <v>4</v>
      </c>
      <c r="BK931" s="8">
        <v>774.95</v>
      </c>
      <c r="BL931" s="2" t="s">
        <v>215</v>
      </c>
      <c r="BM931" s="7"/>
      <c r="BN931" s="7"/>
      <c r="BO931" s="4"/>
      <c r="BP931" s="8"/>
      <c r="BQ931" s="4"/>
      <c r="BR931" s="8"/>
      <c r="BS931" s="7"/>
      <c r="BT931" s="7"/>
      <c r="BU931" s="2" t="s">
        <v>1376</v>
      </c>
      <c r="BV931" s="2" t="s">
        <v>95</v>
      </c>
      <c r="BW931" s="2" t="s">
        <v>98</v>
      </c>
      <c r="BX931" s="2" t="s">
        <v>98</v>
      </c>
      <c r="BY931" s="2" t="s">
        <v>110</v>
      </c>
      <c r="BZ931" s="2" t="s">
        <v>98</v>
      </c>
    </row>
    <row r="932">
      <c r="A932" s="2" t="s">
        <v>4426</v>
      </c>
      <c r="B932" s="2" t="s">
        <v>1345</v>
      </c>
      <c r="C932" s="2" t="s">
        <v>1178</v>
      </c>
      <c r="D932" s="2" t="s">
        <v>2728</v>
      </c>
      <c r="E932" s="2" t="s">
        <v>2729</v>
      </c>
      <c r="F932" s="2" t="s">
        <v>4257</v>
      </c>
      <c r="G932" s="2" t="s">
        <v>4257</v>
      </c>
      <c r="H932" s="2" t="s">
        <v>4257</v>
      </c>
      <c r="I932" s="2" t="s">
        <v>3787</v>
      </c>
      <c r="J932" s="2" t="s">
        <v>93</v>
      </c>
      <c r="K932" s="2" t="s">
        <v>1052</v>
      </c>
      <c r="L932" s="3">
        <v>212</v>
      </c>
      <c r="M932" s="3">
        <v>222.6</v>
      </c>
      <c r="N932" s="3">
        <v>449</v>
      </c>
      <c r="O932" s="2" t="s">
        <v>95</v>
      </c>
      <c r="P932" s="2" t="s">
        <v>411</v>
      </c>
      <c r="Q932" s="2" t="s">
        <v>97</v>
      </c>
      <c r="R932" s="2" t="s">
        <v>98</v>
      </c>
      <c r="S932" s="2" t="s">
        <v>98</v>
      </c>
      <c r="T932" s="2" t="s">
        <v>98</v>
      </c>
      <c r="U932" s="2" t="s">
        <v>117</v>
      </c>
      <c r="V932" s="2" t="s">
        <v>296</v>
      </c>
      <c r="W932" s="2" t="s">
        <v>4427</v>
      </c>
      <c r="X932" s="2" t="s">
        <v>1186</v>
      </c>
      <c r="Y932" s="2" t="s">
        <v>98</v>
      </c>
      <c r="Z932" s="4"/>
      <c r="AA932" s="4">
        <f>=ROUNDDOWN({0},0)</f>
      </c>
      <c r="AB932" s="5"/>
      <c r="AC932" s="2" t="s">
        <v>3168</v>
      </c>
      <c r="AD932" s="4">
        <v>50</v>
      </c>
      <c r="AE932" s="4">
        <v>100</v>
      </c>
      <c r="AF932" s="6">
        <v>76</v>
      </c>
      <c r="AG932" s="6"/>
      <c r="AH932" s="7">
        <v>0</v>
      </c>
      <c r="AI932" s="4"/>
      <c r="AJ932" s="4">
        <f>=ROUNDDOWN({0},0)</f>
      </c>
      <c r="AK932" s="5"/>
      <c r="AL932" s="2" t="s">
        <v>98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/>
      <c r="AW932" s="8"/>
      <c r="AX932" s="4"/>
      <c r="AY932" s="8"/>
      <c r="AZ932" s="7"/>
      <c r="BA932" s="7"/>
      <c r="BB932" s="7"/>
      <c r="BC932" s="4"/>
      <c r="BD932" s="8"/>
      <c r="BE932" s="4"/>
      <c r="BF932" s="8"/>
      <c r="BG932" s="7"/>
      <c r="BH932" s="7"/>
      <c r="BI932" s="7"/>
      <c r="BJ932" s="4"/>
      <c r="BK932" s="8"/>
      <c r="BL932" s="2" t="s">
        <v>98</v>
      </c>
      <c r="BM932" s="7"/>
      <c r="BN932" s="7"/>
      <c r="BO932" s="4"/>
      <c r="BP932" s="8"/>
      <c r="BQ932" s="4"/>
      <c r="BR932" s="8"/>
      <c r="BS932" s="7"/>
      <c r="BT932" s="7"/>
      <c r="BU932" s="2" t="s">
        <v>1376</v>
      </c>
      <c r="BV932" s="2" t="s">
        <v>95</v>
      </c>
      <c r="BW932" s="2" t="s">
        <v>98</v>
      </c>
      <c r="BX932" s="2" t="s">
        <v>98</v>
      </c>
      <c r="BY932" s="2" t="s">
        <v>110</v>
      </c>
      <c r="BZ932" s="2" t="s">
        <v>98</v>
      </c>
    </row>
    <row r="933">
      <c r="A933" s="2" t="s">
        <v>4428</v>
      </c>
      <c r="B933" s="2" t="s">
        <v>1345</v>
      </c>
      <c r="C933" s="2" t="s">
        <v>1178</v>
      </c>
      <c r="D933" s="2" t="s">
        <v>2728</v>
      </c>
      <c r="E933" s="2" t="s">
        <v>2799</v>
      </c>
      <c r="F933" s="2" t="s">
        <v>2193</v>
      </c>
      <c r="G933" s="2" t="s">
        <v>2193</v>
      </c>
      <c r="H933" s="2" t="s">
        <v>2193</v>
      </c>
      <c r="I933" s="2" t="s">
        <v>4429</v>
      </c>
      <c r="J933" s="2" t="s">
        <v>93</v>
      </c>
      <c r="K933" s="2" t="s">
        <v>3734</v>
      </c>
      <c r="L933" s="3">
        <v>250</v>
      </c>
      <c r="M933" s="3">
        <v>262.5</v>
      </c>
      <c r="N933" s="3">
        <v>529</v>
      </c>
      <c r="O933" s="2" t="s">
        <v>95</v>
      </c>
      <c r="P933" s="2" t="s">
        <v>295</v>
      </c>
      <c r="Q933" s="2" t="s">
        <v>97</v>
      </c>
      <c r="R933" s="2" t="s">
        <v>98</v>
      </c>
      <c r="S933" s="2" t="s">
        <v>98</v>
      </c>
      <c r="T933" s="2" t="s">
        <v>98</v>
      </c>
      <c r="U933" s="2" t="s">
        <v>117</v>
      </c>
      <c r="V933" s="2" t="s">
        <v>296</v>
      </c>
      <c r="W933" s="2" t="s">
        <v>4430</v>
      </c>
      <c r="X933" s="2" t="s">
        <v>1186</v>
      </c>
      <c r="Y933" s="2" t="s">
        <v>98</v>
      </c>
      <c r="Z933" s="4"/>
      <c r="AA933" s="4">
        <f>=ROUNDDOWN({0},0)</f>
      </c>
      <c r="AB933" s="5"/>
      <c r="AC933" s="2" t="s">
        <v>1516</v>
      </c>
      <c r="AD933" s="4">
        <v>1</v>
      </c>
      <c r="AE933" s="4">
        <v>100</v>
      </c>
      <c r="AF933" s="6">
        <v>65</v>
      </c>
      <c r="AG933" s="6"/>
      <c r="AH933" s="7">
        <v>0</v>
      </c>
      <c r="AI933" s="4"/>
      <c r="AJ933" s="4">
        <f>=ROUNDDOWN({0},0)</f>
      </c>
      <c r="AK933" s="5"/>
      <c r="AL933" s="2" t="s">
        <v>98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/>
      <c r="AW933" s="8"/>
      <c r="AX933" s="4"/>
      <c r="AY933" s="8"/>
      <c r="AZ933" s="7"/>
      <c r="BA933" s="7"/>
      <c r="BB933" s="7"/>
      <c r="BC933" s="4"/>
      <c r="BD933" s="8"/>
      <c r="BE933" s="4"/>
      <c r="BF933" s="8"/>
      <c r="BG933" s="7"/>
      <c r="BH933" s="7"/>
      <c r="BI933" s="7"/>
      <c r="BJ933" s="4"/>
      <c r="BK933" s="8"/>
      <c r="BL933" s="2" t="s">
        <v>98</v>
      </c>
      <c r="BM933" s="7"/>
      <c r="BN933" s="7"/>
      <c r="BO933" s="4"/>
      <c r="BP933" s="8"/>
      <c r="BQ933" s="4"/>
      <c r="BR933" s="8"/>
      <c r="BS933" s="7"/>
      <c r="BT933" s="7"/>
      <c r="BU933" s="2" t="s">
        <v>1376</v>
      </c>
      <c r="BV933" s="2" t="s">
        <v>95</v>
      </c>
      <c r="BW933" s="2" t="s">
        <v>98</v>
      </c>
      <c r="BX933" s="2" t="s">
        <v>98</v>
      </c>
      <c r="BY933" s="2" t="s">
        <v>110</v>
      </c>
      <c r="BZ933" s="2" t="s">
        <v>98</v>
      </c>
    </row>
    <row r="934">
      <c r="A934" s="2" t="s">
        <v>4431</v>
      </c>
      <c r="B934" s="2" t="s">
        <v>1345</v>
      </c>
      <c r="C934" s="2" t="s">
        <v>1178</v>
      </c>
      <c r="D934" s="2" t="s">
        <v>2728</v>
      </c>
      <c r="E934" s="2" t="s">
        <v>2816</v>
      </c>
      <c r="F934" s="2" t="s">
        <v>4432</v>
      </c>
      <c r="G934" s="2" t="s">
        <v>4432</v>
      </c>
      <c r="H934" s="2" t="s">
        <v>4432</v>
      </c>
      <c r="I934" s="2" t="s">
        <v>4433</v>
      </c>
      <c r="J934" s="2" t="s">
        <v>93</v>
      </c>
      <c r="K934" s="2" t="s">
        <v>473</v>
      </c>
      <c r="L934" s="3">
        <v>160</v>
      </c>
      <c r="M934" s="3">
        <v>168</v>
      </c>
      <c r="N934" s="3">
        <v>339</v>
      </c>
      <c r="O934" s="2" t="s">
        <v>155</v>
      </c>
      <c r="P934" s="2" t="s">
        <v>115</v>
      </c>
      <c r="Q934" s="2" t="s">
        <v>97</v>
      </c>
      <c r="R934" s="2" t="s">
        <v>98</v>
      </c>
      <c r="S934" s="2" t="s">
        <v>98</v>
      </c>
      <c r="T934" s="2" t="s">
        <v>98</v>
      </c>
      <c r="U934" s="2" t="s">
        <v>117</v>
      </c>
      <c r="V934" s="2" t="s">
        <v>439</v>
      </c>
      <c r="W934" s="2" t="s">
        <v>102</v>
      </c>
      <c r="X934" s="2" t="s">
        <v>1181</v>
      </c>
      <c r="Y934" s="2" t="s">
        <v>4434</v>
      </c>
      <c r="Z934" s="4">
        <v>181</v>
      </c>
      <c r="AA934" s="4">
        <f>=ROUNDDOWN(603.333333333333,0)</f>
      </c>
      <c r="AB934" s="5">
        <v>0.3</v>
      </c>
      <c r="AC934" s="2" t="s">
        <v>98</v>
      </c>
      <c r="AD934" s="4"/>
      <c r="AE934" s="4"/>
      <c r="AF934" s="6">
        <v>74</v>
      </c>
      <c r="AG934" s="6">
        <v>60</v>
      </c>
      <c r="AH934" s="7">
        <v>1</v>
      </c>
      <c r="AI934" s="4"/>
      <c r="AJ934" s="4">
        <f>=ROUNDDOWN({0},0)</f>
      </c>
      <c r="AK934" s="5"/>
      <c r="AL934" s="2" t="s">
        <v>98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/>
      <c r="AW934" s="8"/>
      <c r="AX934" s="4"/>
      <c r="AY934" s="8"/>
      <c r="AZ934" s="7"/>
      <c r="BA934" s="7"/>
      <c r="BB934" s="7"/>
      <c r="BC934" s="4"/>
      <c r="BD934" s="8"/>
      <c r="BE934" s="4"/>
      <c r="BF934" s="8"/>
      <c r="BG934" s="7"/>
      <c r="BH934" s="7"/>
      <c r="BI934" s="7"/>
      <c r="BJ934" s="4"/>
      <c r="BK934" s="8"/>
      <c r="BL934" s="2" t="s">
        <v>2662</v>
      </c>
      <c r="BM934" s="7"/>
      <c r="BN934" s="7"/>
      <c r="BO934" s="4"/>
      <c r="BP934" s="8"/>
      <c r="BQ934" s="4"/>
      <c r="BR934" s="8"/>
      <c r="BS934" s="7"/>
      <c r="BT934" s="7"/>
      <c r="BU934" s="2" t="s">
        <v>1376</v>
      </c>
      <c r="BV934" s="2" t="s">
        <v>95</v>
      </c>
      <c r="BW934" s="2" t="s">
        <v>98</v>
      </c>
      <c r="BX934" s="2" t="s">
        <v>98</v>
      </c>
      <c r="BY934" s="2" t="s">
        <v>110</v>
      </c>
      <c r="BZ934" s="2" t="s">
        <v>98</v>
      </c>
    </row>
    <row r="935">
      <c r="A935" s="2" t="s">
        <v>4435</v>
      </c>
      <c r="B935" s="2" t="s">
        <v>1345</v>
      </c>
      <c r="C935" s="2" t="s">
        <v>1178</v>
      </c>
      <c r="D935" s="2" t="s">
        <v>2728</v>
      </c>
      <c r="E935" s="2" t="s">
        <v>2816</v>
      </c>
      <c r="F935" s="2" t="s">
        <v>4436</v>
      </c>
      <c r="G935" s="2" t="s">
        <v>4436</v>
      </c>
      <c r="H935" s="2" t="s">
        <v>4436</v>
      </c>
      <c r="I935" s="2" t="s">
        <v>4437</v>
      </c>
      <c r="J935" s="2" t="s">
        <v>4438</v>
      </c>
      <c r="K935" s="2" t="s">
        <v>4327</v>
      </c>
      <c r="L935" s="3">
        <v>215</v>
      </c>
      <c r="M935" s="3">
        <v>225.75</v>
      </c>
      <c r="N935" s="3">
        <v>449</v>
      </c>
      <c r="O935" s="2" t="s">
        <v>95</v>
      </c>
      <c r="P935" s="2" t="s">
        <v>295</v>
      </c>
      <c r="Q935" s="2" t="s">
        <v>97</v>
      </c>
      <c r="R935" s="2" t="s">
        <v>98</v>
      </c>
      <c r="S935" s="2" t="s">
        <v>98</v>
      </c>
      <c r="T935" s="2" t="s">
        <v>98</v>
      </c>
      <c r="U935" s="2" t="s">
        <v>117</v>
      </c>
      <c r="V935" s="2" t="s">
        <v>296</v>
      </c>
      <c r="W935" s="2" t="s">
        <v>314</v>
      </c>
      <c r="X935" s="2" t="s">
        <v>1215</v>
      </c>
      <c r="Y935" s="2" t="s">
        <v>4013</v>
      </c>
      <c r="Z935" s="4">
        <v>98</v>
      </c>
      <c r="AA935" s="4">
        <f>=ROUNDDOWN(32.6666666666667,0)</f>
      </c>
      <c r="AB935" s="5">
        <v>3</v>
      </c>
      <c r="AC935" s="2" t="s">
        <v>98</v>
      </c>
      <c r="AD935" s="4"/>
      <c r="AE935" s="4"/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98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 t="s">
        <v>98</v>
      </c>
      <c r="AW935" s="8" t="s">
        <v>98</v>
      </c>
      <c r="AX935" s="4" t="s">
        <v>98</v>
      </c>
      <c r="AY935" s="8" t="s">
        <v>98</v>
      </c>
      <c r="AZ935" s="7" t="s">
        <v>98</v>
      </c>
      <c r="BA935" s="7" t="s">
        <v>98</v>
      </c>
      <c r="BB935" s="7"/>
      <c r="BC935" s="4" t="s">
        <v>98</v>
      </c>
      <c r="BD935" s="8" t="s">
        <v>98</v>
      </c>
      <c r="BE935" s="4" t="s">
        <v>98</v>
      </c>
      <c r="BF935" s="8" t="s">
        <v>98</v>
      </c>
      <c r="BG935" s="7" t="s">
        <v>98</v>
      </c>
      <c r="BH935" s="7" t="s">
        <v>98</v>
      </c>
      <c r="BI935" s="7"/>
      <c r="BJ935" s="4"/>
      <c r="BK935" s="8"/>
      <c r="BL935" s="2" t="s">
        <v>98</v>
      </c>
      <c r="BM935" s="7"/>
      <c r="BN935" s="7"/>
      <c r="BO935" s="4"/>
      <c r="BP935" s="8"/>
      <c r="BQ935" s="4"/>
      <c r="BR935" s="8"/>
      <c r="BS935" s="7"/>
      <c r="BT935" s="7"/>
      <c r="BU935" s="2" t="s">
        <v>1376</v>
      </c>
      <c r="BV935" s="2" t="s">
        <v>95</v>
      </c>
      <c r="BW935" s="2" t="s">
        <v>98</v>
      </c>
      <c r="BX935" s="2" t="s">
        <v>98</v>
      </c>
      <c r="BY935" s="2" t="s">
        <v>110</v>
      </c>
      <c r="BZ935" s="2" t="s">
        <v>98</v>
      </c>
    </row>
    <row r="936">
      <c r="A936" s="2" t="s">
        <v>4439</v>
      </c>
      <c r="B936" s="2" t="s">
        <v>1345</v>
      </c>
      <c r="C936" s="2" t="s">
        <v>1178</v>
      </c>
      <c r="D936" s="2" t="s">
        <v>2728</v>
      </c>
      <c r="E936" s="2" t="s">
        <v>2816</v>
      </c>
      <c r="F936" s="2" t="s">
        <v>4436</v>
      </c>
      <c r="G936" s="2" t="s">
        <v>4436</v>
      </c>
      <c r="H936" s="2" t="s">
        <v>4436</v>
      </c>
      <c r="I936" s="2" t="s">
        <v>4440</v>
      </c>
      <c r="J936" s="2" t="s">
        <v>4441</v>
      </c>
      <c r="K936" s="2" t="s">
        <v>4327</v>
      </c>
      <c r="L936" s="3">
        <v>190</v>
      </c>
      <c r="M936" s="3">
        <v>199.5</v>
      </c>
      <c r="N936" s="3">
        <v>399</v>
      </c>
      <c r="O936" s="2" t="s">
        <v>95</v>
      </c>
      <c r="P936" s="2" t="s">
        <v>134</v>
      </c>
      <c r="Q936" s="2" t="s">
        <v>97</v>
      </c>
      <c r="R936" s="2" t="s">
        <v>98</v>
      </c>
      <c r="S936" s="2" t="s">
        <v>98</v>
      </c>
      <c r="T936" s="2" t="s">
        <v>98</v>
      </c>
      <c r="U936" s="2" t="s">
        <v>117</v>
      </c>
      <c r="V936" s="2" t="s">
        <v>296</v>
      </c>
      <c r="W936" s="2" t="s">
        <v>314</v>
      </c>
      <c r="X936" s="2" t="s">
        <v>1215</v>
      </c>
      <c r="Y936" s="2" t="s">
        <v>1076</v>
      </c>
      <c r="Z936" s="4">
        <v>135</v>
      </c>
      <c r="AA936" s="4">
        <f>=ROUNDDOWN(9.64285714285714,0)</f>
      </c>
      <c r="AB936" s="5">
        <v>14</v>
      </c>
      <c r="AC936" s="2" t="s">
        <v>1525</v>
      </c>
      <c r="AD936" s="4">
        <v>100</v>
      </c>
      <c r="AE936" s="4">
        <v>200</v>
      </c>
      <c r="AF936" s="6">
        <v>65</v>
      </c>
      <c r="AG936" s="6">
        <v>48</v>
      </c>
      <c r="AH936" s="7">
        <v>1</v>
      </c>
      <c r="AI936" s="4"/>
      <c r="AJ936" s="4">
        <f>=ROUNDDOWN({0},0)</f>
      </c>
      <c r="AK936" s="5"/>
      <c r="AL936" s="2" t="s">
        <v>98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 t="s">
        <v>98</v>
      </c>
      <c r="AW936" s="8" t="s">
        <v>98</v>
      </c>
      <c r="AX936" s="4" t="s">
        <v>98</v>
      </c>
      <c r="AY936" s="8" t="s">
        <v>98</v>
      </c>
      <c r="AZ936" s="7" t="s">
        <v>98</v>
      </c>
      <c r="BA936" s="7" t="s">
        <v>98</v>
      </c>
      <c r="BB936" s="7"/>
      <c r="BC936" s="4" t="s">
        <v>98</v>
      </c>
      <c r="BD936" s="8" t="s">
        <v>98</v>
      </c>
      <c r="BE936" s="4" t="s">
        <v>98</v>
      </c>
      <c r="BF936" s="8" t="s">
        <v>98</v>
      </c>
      <c r="BG936" s="7" t="s">
        <v>98</v>
      </c>
      <c r="BH936" s="7" t="s">
        <v>98</v>
      </c>
      <c r="BI936" s="7"/>
      <c r="BJ936" s="4">
        <v>10</v>
      </c>
      <c r="BK936" s="8">
        <v>1963.91</v>
      </c>
      <c r="BL936" s="2" t="s">
        <v>4442</v>
      </c>
      <c r="BM936" s="7"/>
      <c r="BN936" s="7"/>
      <c r="BO936" s="4"/>
      <c r="BP936" s="8"/>
      <c r="BQ936" s="4"/>
      <c r="BR936" s="8"/>
      <c r="BS936" s="7"/>
      <c r="BT936" s="7"/>
      <c r="BU936" s="2" t="s">
        <v>1376</v>
      </c>
      <c r="BV936" s="2" t="s">
        <v>95</v>
      </c>
      <c r="BW936" s="2" t="s">
        <v>98</v>
      </c>
      <c r="BX936" s="2" t="s">
        <v>98</v>
      </c>
      <c r="BY936" s="2" t="s">
        <v>110</v>
      </c>
      <c r="BZ936" s="2" t="s">
        <v>98</v>
      </c>
    </row>
    <row r="937">
      <c r="A937" s="2" t="s">
        <v>4443</v>
      </c>
      <c r="B937" s="2" t="s">
        <v>1345</v>
      </c>
      <c r="C937" s="2" t="s">
        <v>1178</v>
      </c>
      <c r="D937" s="2" t="s">
        <v>2728</v>
      </c>
      <c r="E937" s="2" t="s">
        <v>2816</v>
      </c>
      <c r="F937" s="2" t="s">
        <v>4351</v>
      </c>
      <c r="G937" s="2" t="s">
        <v>4351</v>
      </c>
      <c r="H937" s="2" t="s">
        <v>4351</v>
      </c>
      <c r="I937" s="2" t="s">
        <v>4444</v>
      </c>
      <c r="J937" s="2" t="s">
        <v>93</v>
      </c>
      <c r="K937" s="2" t="s">
        <v>1052</v>
      </c>
      <c r="L937" s="3">
        <v>168</v>
      </c>
      <c r="M937" s="3">
        <v>176.4</v>
      </c>
      <c r="N937" s="3">
        <v>359</v>
      </c>
      <c r="O937" s="2" t="s">
        <v>95</v>
      </c>
      <c r="P937" s="2" t="s">
        <v>295</v>
      </c>
      <c r="Q937" s="2" t="s">
        <v>97</v>
      </c>
      <c r="R937" s="2" t="s">
        <v>98</v>
      </c>
      <c r="S937" s="2" t="s">
        <v>98</v>
      </c>
      <c r="T937" s="2" t="s">
        <v>98</v>
      </c>
      <c r="U937" s="2" t="s">
        <v>117</v>
      </c>
      <c r="V937" s="2" t="s">
        <v>296</v>
      </c>
      <c r="W937" s="2" t="s">
        <v>314</v>
      </c>
      <c r="X937" s="2" t="s">
        <v>1186</v>
      </c>
      <c r="Y937" s="2" t="s">
        <v>4445</v>
      </c>
      <c r="Z937" s="4">
        <v>116</v>
      </c>
      <c r="AA937" s="4">
        <f>=ROUNDDOWN(58,0)</f>
      </c>
      <c r="AB937" s="5">
        <v>2</v>
      </c>
      <c r="AC937" s="2" t="s">
        <v>98</v>
      </c>
      <c r="AD937" s="4"/>
      <c r="AE937" s="4"/>
      <c r="AF937" s="6">
        <v>76</v>
      </c>
      <c r="AG937" s="6"/>
      <c r="AH937" s="7">
        <v>1</v>
      </c>
      <c r="AI937" s="4"/>
      <c r="AJ937" s="4">
        <f>=ROUNDDOWN({0},0)</f>
      </c>
      <c r="AK937" s="5"/>
      <c r="AL937" s="2" t="s">
        <v>98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 t="s">
        <v>98</v>
      </c>
      <c r="AW937" s="8" t="s">
        <v>98</v>
      </c>
      <c r="AX937" s="4" t="s">
        <v>98</v>
      </c>
      <c r="AY937" s="8" t="s">
        <v>98</v>
      </c>
      <c r="AZ937" s="7" t="s">
        <v>98</v>
      </c>
      <c r="BA937" s="7" t="s">
        <v>98</v>
      </c>
      <c r="BB937" s="7" t="s">
        <v>98</v>
      </c>
      <c r="BC937" s="4" t="s">
        <v>98</v>
      </c>
      <c r="BD937" s="8" t="s">
        <v>98</v>
      </c>
      <c r="BE937" s="4" t="s">
        <v>98</v>
      </c>
      <c r="BF937" s="8" t="s">
        <v>98</v>
      </c>
      <c r="BG937" s="7" t="s">
        <v>98</v>
      </c>
      <c r="BH937" s="7" t="s">
        <v>98</v>
      </c>
      <c r="BI937" s="7"/>
      <c r="BJ937" s="4"/>
      <c r="BK937" s="8"/>
      <c r="BL937" s="2" t="s">
        <v>98</v>
      </c>
      <c r="BM937" s="7"/>
      <c r="BN937" s="7"/>
      <c r="BO937" s="4"/>
      <c r="BP937" s="8"/>
      <c r="BQ937" s="4"/>
      <c r="BR937" s="8"/>
      <c r="BS937" s="7"/>
      <c r="BT937" s="7"/>
      <c r="BU937" s="2" t="s">
        <v>1376</v>
      </c>
      <c r="BV937" s="2" t="s">
        <v>95</v>
      </c>
      <c r="BW937" s="2" t="s">
        <v>98</v>
      </c>
      <c r="BX937" s="2" t="s">
        <v>98</v>
      </c>
      <c r="BY937" s="2" t="s">
        <v>110</v>
      </c>
      <c r="BZ937" s="2" t="s">
        <v>98</v>
      </c>
    </row>
    <row r="938">
      <c r="A938" s="2" t="s">
        <v>4446</v>
      </c>
      <c r="B938" s="2" t="s">
        <v>1345</v>
      </c>
      <c r="C938" s="2" t="s">
        <v>1178</v>
      </c>
      <c r="D938" s="2" t="s">
        <v>2728</v>
      </c>
      <c r="E938" s="2" t="s">
        <v>2816</v>
      </c>
      <c r="F938" s="2" t="s">
        <v>4351</v>
      </c>
      <c r="G938" s="2" t="s">
        <v>4351</v>
      </c>
      <c r="H938" s="2" t="s">
        <v>4351</v>
      </c>
      <c r="I938" s="2" t="s">
        <v>4447</v>
      </c>
      <c r="J938" s="2" t="s">
        <v>93</v>
      </c>
      <c r="K938" s="2" t="s">
        <v>1052</v>
      </c>
      <c r="L938" s="3">
        <v>168</v>
      </c>
      <c r="M938" s="3">
        <v>176.4</v>
      </c>
      <c r="N938" s="3">
        <v>359</v>
      </c>
      <c r="O938" s="2" t="s">
        <v>95</v>
      </c>
      <c r="P938" s="2" t="s">
        <v>295</v>
      </c>
      <c r="Q938" s="2" t="s">
        <v>97</v>
      </c>
      <c r="R938" s="2" t="s">
        <v>98</v>
      </c>
      <c r="S938" s="2" t="s">
        <v>98</v>
      </c>
      <c r="T938" s="2" t="s">
        <v>98</v>
      </c>
      <c r="U938" s="2" t="s">
        <v>117</v>
      </c>
      <c r="V938" s="2" t="s">
        <v>296</v>
      </c>
      <c r="W938" s="2" t="s">
        <v>314</v>
      </c>
      <c r="X938" s="2" t="s">
        <v>1186</v>
      </c>
      <c r="Y938" s="2" t="s">
        <v>4445</v>
      </c>
      <c r="Z938" s="4">
        <v>116</v>
      </c>
      <c r="AA938" s="4">
        <f>=ROUNDDOWN(58,0)</f>
      </c>
      <c r="AB938" s="5">
        <v>2</v>
      </c>
      <c r="AC938" s="2" t="s">
        <v>98</v>
      </c>
      <c r="AD938" s="4"/>
      <c r="AE938" s="4"/>
      <c r="AF938" s="6">
        <v>76</v>
      </c>
      <c r="AG938" s="6"/>
      <c r="AH938" s="7">
        <v>1</v>
      </c>
      <c r="AI938" s="4"/>
      <c r="AJ938" s="4">
        <f>=ROUNDDOWN({0},0)</f>
      </c>
      <c r="AK938" s="5"/>
      <c r="AL938" s="2" t="s">
        <v>98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 t="s">
        <v>98</v>
      </c>
      <c r="AW938" s="8" t="s">
        <v>98</v>
      </c>
      <c r="AX938" s="4" t="s">
        <v>98</v>
      </c>
      <c r="AY938" s="8" t="s">
        <v>98</v>
      </c>
      <c r="AZ938" s="7" t="s">
        <v>98</v>
      </c>
      <c r="BA938" s="7" t="s">
        <v>98</v>
      </c>
      <c r="BB938" s="7" t="s">
        <v>98</v>
      </c>
      <c r="BC938" s="4" t="s">
        <v>98</v>
      </c>
      <c r="BD938" s="8" t="s">
        <v>98</v>
      </c>
      <c r="BE938" s="4" t="s">
        <v>98</v>
      </c>
      <c r="BF938" s="8" t="s">
        <v>98</v>
      </c>
      <c r="BG938" s="7" t="s">
        <v>98</v>
      </c>
      <c r="BH938" s="7" t="s">
        <v>98</v>
      </c>
      <c r="BI938" s="7"/>
      <c r="BJ938" s="4">
        <v>4</v>
      </c>
      <c r="BK938" s="8">
        <v>739.11</v>
      </c>
      <c r="BL938" s="2" t="s">
        <v>1379</v>
      </c>
      <c r="BM938" s="7"/>
      <c r="BN938" s="7"/>
      <c r="BO938" s="4"/>
      <c r="BP938" s="8"/>
      <c r="BQ938" s="4"/>
      <c r="BR938" s="8"/>
      <c r="BS938" s="7"/>
      <c r="BT938" s="7"/>
      <c r="BU938" s="2" t="s">
        <v>1376</v>
      </c>
      <c r="BV938" s="2" t="s">
        <v>95</v>
      </c>
      <c r="BW938" s="2" t="s">
        <v>98</v>
      </c>
      <c r="BX938" s="2" t="s">
        <v>98</v>
      </c>
      <c r="BY938" s="2" t="s">
        <v>110</v>
      </c>
      <c r="BZ938" s="2" t="s">
        <v>98</v>
      </c>
    </row>
    <row r="939">
      <c r="A939" s="2" t="s">
        <v>4448</v>
      </c>
      <c r="B939" s="2" t="s">
        <v>1345</v>
      </c>
      <c r="C939" s="2" t="s">
        <v>1178</v>
      </c>
      <c r="D939" s="2" t="s">
        <v>2728</v>
      </c>
      <c r="E939" s="2" t="s">
        <v>2816</v>
      </c>
      <c r="F939" s="2" t="s">
        <v>4449</v>
      </c>
      <c r="G939" s="2" t="s">
        <v>4449</v>
      </c>
      <c r="H939" s="2" t="s">
        <v>4449</v>
      </c>
      <c r="I939" s="2" t="s">
        <v>4450</v>
      </c>
      <c r="J939" s="2" t="s">
        <v>93</v>
      </c>
      <c r="K939" s="2" t="s">
        <v>1052</v>
      </c>
      <c r="L939" s="3">
        <v>165</v>
      </c>
      <c r="M939" s="3">
        <v>173.25</v>
      </c>
      <c r="N939" s="3">
        <v>349</v>
      </c>
      <c r="O939" s="2" t="s">
        <v>95</v>
      </c>
      <c r="P939" s="2" t="s">
        <v>96</v>
      </c>
      <c r="Q939" s="2" t="s">
        <v>97</v>
      </c>
      <c r="R939" s="2" t="s">
        <v>98</v>
      </c>
      <c r="S939" s="2" t="s">
        <v>98</v>
      </c>
      <c r="T939" s="2" t="s">
        <v>98</v>
      </c>
      <c r="U939" s="2" t="s">
        <v>117</v>
      </c>
      <c r="V939" s="2" t="s">
        <v>296</v>
      </c>
      <c r="W939" s="2" t="s">
        <v>102</v>
      </c>
      <c r="X939" s="2" t="s">
        <v>1181</v>
      </c>
      <c r="Y939" s="2" t="s">
        <v>3862</v>
      </c>
      <c r="Z939" s="4">
        <v>183</v>
      </c>
      <c r="AA939" s="4">
        <f>=ROUNDDOWN(13.0714285714286,0)</f>
      </c>
      <c r="AB939" s="5">
        <v>14</v>
      </c>
      <c r="AC939" s="2" t="s">
        <v>1643</v>
      </c>
      <c r="AD939" s="4">
        <v>120</v>
      </c>
      <c r="AE939" s="4">
        <v>250</v>
      </c>
      <c r="AF939" s="6">
        <v>65</v>
      </c>
      <c r="AG939" s="6">
        <v>48</v>
      </c>
      <c r="AH939" s="7">
        <v>1</v>
      </c>
      <c r="AI939" s="4"/>
      <c r="AJ939" s="4">
        <f>=ROUNDDOWN({0},0)</f>
      </c>
      <c r="AK939" s="5"/>
      <c r="AL939" s="2" t="s">
        <v>98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/>
      <c r="AW939" s="8"/>
      <c r="AX939" s="4"/>
      <c r="AY939" s="8"/>
      <c r="AZ939" s="7"/>
      <c r="BA939" s="7"/>
      <c r="BB939" s="7"/>
      <c r="BC939" s="4"/>
      <c r="BD939" s="8"/>
      <c r="BE939" s="4"/>
      <c r="BF939" s="8"/>
      <c r="BG939" s="7"/>
      <c r="BH939" s="7"/>
      <c r="BI939" s="7"/>
      <c r="BJ939" s="4">
        <v>13</v>
      </c>
      <c r="BK939" s="8">
        <v>2408.54</v>
      </c>
      <c r="BL939" s="2" t="s">
        <v>4451</v>
      </c>
      <c r="BM939" s="7"/>
      <c r="BN939" s="7"/>
      <c r="BO939" s="4"/>
      <c r="BP939" s="8"/>
      <c r="BQ939" s="4"/>
      <c r="BR939" s="8"/>
      <c r="BS939" s="7"/>
      <c r="BT939" s="7"/>
      <c r="BU939" s="2" t="s">
        <v>1376</v>
      </c>
      <c r="BV939" s="2" t="s">
        <v>95</v>
      </c>
      <c r="BW939" s="2" t="s">
        <v>98</v>
      </c>
      <c r="BX939" s="2" t="s">
        <v>98</v>
      </c>
      <c r="BY939" s="2" t="s">
        <v>110</v>
      </c>
      <c r="BZ939" s="2" t="s">
        <v>98</v>
      </c>
    </row>
    <row r="940">
      <c r="A940" s="2" t="s">
        <v>4452</v>
      </c>
      <c r="B940" s="2" t="s">
        <v>1345</v>
      </c>
      <c r="C940" s="2" t="s">
        <v>1178</v>
      </c>
      <c r="D940" s="2" t="s">
        <v>3213</v>
      </c>
      <c r="E940" s="2" t="s">
        <v>3213</v>
      </c>
      <c r="F940" s="2" t="s">
        <v>4453</v>
      </c>
      <c r="G940" s="2" t="s">
        <v>4453</v>
      </c>
      <c r="H940" s="2" t="s">
        <v>4453</v>
      </c>
      <c r="I940" s="2" t="s">
        <v>4454</v>
      </c>
      <c r="J940" s="2" t="s">
        <v>93</v>
      </c>
      <c r="K940" s="2" t="s">
        <v>277</v>
      </c>
      <c r="L940" s="3">
        <v>124.27</v>
      </c>
      <c r="M940" s="3">
        <v>130.48</v>
      </c>
      <c r="N940" s="3">
        <v>259</v>
      </c>
      <c r="O940" s="2" t="s">
        <v>95</v>
      </c>
      <c r="P940" s="2" t="s">
        <v>142</v>
      </c>
      <c r="Q940" s="2" t="s">
        <v>97</v>
      </c>
      <c r="R940" s="2" t="s">
        <v>98</v>
      </c>
      <c r="S940" s="2" t="s">
        <v>98</v>
      </c>
      <c r="T940" s="2" t="s">
        <v>98</v>
      </c>
      <c r="U940" s="2" t="s">
        <v>117</v>
      </c>
      <c r="V940" s="2" t="s">
        <v>296</v>
      </c>
      <c r="W940" s="2" t="s">
        <v>103</v>
      </c>
      <c r="X940" s="2" t="s">
        <v>1215</v>
      </c>
      <c r="Y940" s="2" t="s">
        <v>3191</v>
      </c>
      <c r="Z940" s="4">
        <v>32</v>
      </c>
      <c r="AA940" s="4">
        <f>=ROUNDDOWN(16,0)</f>
      </c>
      <c r="AB940" s="5">
        <v>2</v>
      </c>
      <c r="AC940" s="2" t="s">
        <v>98</v>
      </c>
      <c r="AD940" s="4"/>
      <c r="AE940" s="4"/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98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 t="s">
        <v>98</v>
      </c>
      <c r="BD940" s="8" t="s">
        <v>98</v>
      </c>
      <c r="BE940" s="4" t="s">
        <v>98</v>
      </c>
      <c r="BF940" s="8" t="s">
        <v>98</v>
      </c>
      <c r="BG940" s="7" t="s">
        <v>98</v>
      </c>
      <c r="BH940" s="7" t="s">
        <v>98</v>
      </c>
      <c r="BI940" s="7"/>
      <c r="BJ940" s="4">
        <v>2</v>
      </c>
      <c r="BK940" s="8">
        <v>280.54</v>
      </c>
      <c r="BL940" s="2" t="s">
        <v>3886</v>
      </c>
      <c r="BM940" s="7"/>
      <c r="BN940" s="7"/>
      <c r="BO940" s="4"/>
      <c r="BP940" s="8"/>
      <c r="BQ940" s="4"/>
      <c r="BR940" s="8"/>
      <c r="BS940" s="7"/>
      <c r="BT940" s="7"/>
      <c r="BU940" s="2" t="s">
        <v>1376</v>
      </c>
      <c r="BV940" s="2" t="s">
        <v>95</v>
      </c>
      <c r="BW940" s="2" t="s">
        <v>98</v>
      </c>
      <c r="BX940" s="2" t="s">
        <v>98</v>
      </c>
      <c r="BY940" s="2" t="s">
        <v>110</v>
      </c>
      <c r="BZ940" s="2" t="s">
        <v>98</v>
      </c>
    </row>
    <row r="941">
      <c r="A941" s="2" t="s">
        <v>4455</v>
      </c>
      <c r="B941" s="2" t="s">
        <v>1345</v>
      </c>
      <c r="C941" s="2" t="s">
        <v>1178</v>
      </c>
      <c r="D941" s="2" t="s">
        <v>3213</v>
      </c>
      <c r="E941" s="2" t="s">
        <v>3213</v>
      </c>
      <c r="F941" s="2" t="s">
        <v>4453</v>
      </c>
      <c r="G941" s="2" t="s">
        <v>4453</v>
      </c>
      <c r="H941" s="2" t="s">
        <v>4453</v>
      </c>
      <c r="I941" s="2" t="s">
        <v>4454</v>
      </c>
      <c r="J941" s="2" t="s">
        <v>93</v>
      </c>
      <c r="K941" s="2" t="s">
        <v>2058</v>
      </c>
      <c r="L941" s="3">
        <v>124.27</v>
      </c>
      <c r="M941" s="3">
        <v>130.48</v>
      </c>
      <c r="N941" s="3">
        <v>259</v>
      </c>
      <c r="O941" s="2" t="s">
        <v>95</v>
      </c>
      <c r="P941" s="2" t="s">
        <v>115</v>
      </c>
      <c r="Q941" s="2" t="s">
        <v>97</v>
      </c>
      <c r="R941" s="2" t="s">
        <v>98</v>
      </c>
      <c r="S941" s="2" t="s">
        <v>98</v>
      </c>
      <c r="T941" s="2" t="s">
        <v>98</v>
      </c>
      <c r="U941" s="2" t="s">
        <v>117</v>
      </c>
      <c r="V941" s="2" t="s">
        <v>296</v>
      </c>
      <c r="W941" s="2" t="s">
        <v>103</v>
      </c>
      <c r="X941" s="2" t="s">
        <v>1215</v>
      </c>
      <c r="Y941" s="2" t="s">
        <v>3191</v>
      </c>
      <c r="Z941" s="4">
        <v>36</v>
      </c>
      <c r="AA941" s="4">
        <f>=ROUNDDOWN(25.7142857142857,0)</f>
      </c>
      <c r="AB941" s="5">
        <v>1.4</v>
      </c>
      <c r="AC941" s="2" t="s">
        <v>98</v>
      </c>
      <c r="AD941" s="4"/>
      <c r="AE941" s="4"/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98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/>
      <c r="AW941" s="8"/>
      <c r="AX941" s="4"/>
      <c r="AY941" s="8"/>
      <c r="AZ941" s="7"/>
      <c r="BA941" s="7"/>
      <c r="BB941" s="7"/>
      <c r="BC941" s="4" t="s">
        <v>98</v>
      </c>
      <c r="BD941" s="8" t="s">
        <v>98</v>
      </c>
      <c r="BE941" s="4" t="s">
        <v>98</v>
      </c>
      <c r="BF941" s="8" t="s">
        <v>98</v>
      </c>
      <c r="BG941" s="7" t="s">
        <v>98</v>
      </c>
      <c r="BH941" s="7" t="s">
        <v>98</v>
      </c>
      <c r="BI941" s="7"/>
      <c r="BJ941" s="4"/>
      <c r="BK941" s="8"/>
      <c r="BL941" s="2" t="s">
        <v>1379</v>
      </c>
      <c r="BM941" s="7"/>
      <c r="BN941" s="7"/>
      <c r="BO941" s="4"/>
      <c r="BP941" s="8"/>
      <c r="BQ941" s="4"/>
      <c r="BR941" s="8"/>
      <c r="BS941" s="7"/>
      <c r="BT941" s="7"/>
      <c r="BU941" s="2" t="s">
        <v>1376</v>
      </c>
      <c r="BV941" s="2" t="s">
        <v>95</v>
      </c>
      <c r="BW941" s="2" t="s">
        <v>98</v>
      </c>
      <c r="BX941" s="2" t="s">
        <v>98</v>
      </c>
      <c r="BY941" s="2" t="s">
        <v>110</v>
      </c>
      <c r="BZ941" s="2" t="s">
        <v>98</v>
      </c>
    </row>
    <row r="942">
      <c r="A942" s="2" t="s">
        <v>4456</v>
      </c>
      <c r="B942" s="2" t="s">
        <v>1345</v>
      </c>
      <c r="C942" s="2" t="s">
        <v>1178</v>
      </c>
      <c r="D942" s="2" t="s">
        <v>3213</v>
      </c>
      <c r="E942" s="2" t="s">
        <v>3213</v>
      </c>
      <c r="F942" s="2" t="s">
        <v>4457</v>
      </c>
      <c r="G942" s="2" t="s">
        <v>4457</v>
      </c>
      <c r="H942" s="2" t="s">
        <v>4457</v>
      </c>
      <c r="I942" s="2" t="s">
        <v>4458</v>
      </c>
      <c r="J942" s="2" t="s">
        <v>93</v>
      </c>
      <c r="K942" s="2" t="s">
        <v>1439</v>
      </c>
      <c r="L942" s="3">
        <v>193.5</v>
      </c>
      <c r="M942" s="3">
        <v>203.18</v>
      </c>
      <c r="N942" s="3">
        <v>399</v>
      </c>
      <c r="O942" s="2" t="s">
        <v>95</v>
      </c>
      <c r="P942" s="2" t="s">
        <v>134</v>
      </c>
      <c r="Q942" s="2" t="s">
        <v>97</v>
      </c>
      <c r="R942" s="2" t="s">
        <v>98</v>
      </c>
      <c r="S942" s="2" t="s">
        <v>98</v>
      </c>
      <c r="T942" s="2" t="s">
        <v>98</v>
      </c>
      <c r="U942" s="2" t="s">
        <v>117</v>
      </c>
      <c r="V942" s="2" t="s">
        <v>439</v>
      </c>
      <c r="W942" s="2" t="s">
        <v>103</v>
      </c>
      <c r="X942" s="2" t="s">
        <v>1215</v>
      </c>
      <c r="Y942" s="2" t="s">
        <v>4459</v>
      </c>
      <c r="Z942" s="4">
        <v>29</v>
      </c>
      <c r="AA942" s="4">
        <f>=ROUNDDOWN(5.8,0)</f>
      </c>
      <c r="AB942" s="5">
        <v>5</v>
      </c>
      <c r="AC942" s="2" t="s">
        <v>1516</v>
      </c>
      <c r="AD942" s="4">
        <v>89</v>
      </c>
      <c r="AE942" s="4">
        <v>100</v>
      </c>
      <c r="AF942" s="6">
        <v>65</v>
      </c>
      <c r="AG942" s="6">
        <v>48</v>
      </c>
      <c r="AH942" s="7">
        <v>1</v>
      </c>
      <c r="AI942" s="4"/>
      <c r="AJ942" s="4">
        <f>=ROUNDDOWN({0},0)</f>
      </c>
      <c r="AK942" s="5"/>
      <c r="AL942" s="2" t="s">
        <v>98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/>
      <c r="AW942" s="8"/>
      <c r="AX942" s="4"/>
      <c r="AY942" s="8"/>
      <c r="AZ942" s="7"/>
      <c r="BA942" s="7"/>
      <c r="BB942" s="7"/>
      <c r="BC942" s="4"/>
      <c r="BD942" s="8"/>
      <c r="BE942" s="4"/>
      <c r="BF942" s="8"/>
      <c r="BG942" s="7"/>
      <c r="BH942" s="7"/>
      <c r="BI942" s="7"/>
      <c r="BJ942" s="4">
        <v>3</v>
      </c>
      <c r="BK942" s="8">
        <v>601.82</v>
      </c>
      <c r="BL942" s="2" t="s">
        <v>4211</v>
      </c>
      <c r="BM942" s="7"/>
      <c r="BN942" s="7"/>
      <c r="BO942" s="4"/>
      <c r="BP942" s="8"/>
      <c r="BQ942" s="4"/>
      <c r="BR942" s="8"/>
      <c r="BS942" s="7"/>
      <c r="BT942" s="7"/>
      <c r="BU942" s="2" t="s">
        <v>1376</v>
      </c>
      <c r="BV942" s="2" t="s">
        <v>95</v>
      </c>
      <c r="BW942" s="2" t="s">
        <v>98</v>
      </c>
      <c r="BX942" s="2" t="s">
        <v>98</v>
      </c>
      <c r="BY942" s="2" t="s">
        <v>110</v>
      </c>
      <c r="BZ942" s="2" t="s">
        <v>98</v>
      </c>
    </row>
    <row r="943">
      <c r="A943" s="2" t="s">
        <v>4460</v>
      </c>
      <c r="B943" s="2" t="s">
        <v>1345</v>
      </c>
      <c r="C943" s="2" t="s">
        <v>1178</v>
      </c>
      <c r="D943" s="2" t="s">
        <v>3213</v>
      </c>
      <c r="E943" s="2" t="s">
        <v>3213</v>
      </c>
      <c r="F943" s="2" t="s">
        <v>4461</v>
      </c>
      <c r="G943" s="2" t="s">
        <v>4461</v>
      </c>
      <c r="H943" s="2" t="s">
        <v>4461</v>
      </c>
      <c r="I943" s="2" t="s">
        <v>4458</v>
      </c>
      <c r="J943" s="2" t="s">
        <v>93</v>
      </c>
      <c r="K943" s="2" t="s">
        <v>1371</v>
      </c>
      <c r="L943" s="3">
        <v>135.58</v>
      </c>
      <c r="M943" s="3">
        <v>142.36</v>
      </c>
      <c r="N943" s="3">
        <v>289</v>
      </c>
      <c r="O943" s="2" t="s">
        <v>95</v>
      </c>
      <c r="P943" s="2" t="s">
        <v>134</v>
      </c>
      <c r="Q943" s="2" t="s">
        <v>97</v>
      </c>
      <c r="R943" s="2" t="s">
        <v>98</v>
      </c>
      <c r="S943" s="2" t="s">
        <v>4462</v>
      </c>
      <c r="T943" s="2" t="s">
        <v>98</v>
      </c>
      <c r="U943" s="2" t="s">
        <v>117</v>
      </c>
      <c r="V943" s="2" t="s">
        <v>439</v>
      </c>
      <c r="W943" s="2" t="s">
        <v>204</v>
      </c>
      <c r="X943" s="2" t="s">
        <v>1215</v>
      </c>
      <c r="Y943" s="2" t="s">
        <v>612</v>
      </c>
      <c r="Z943" s="4">
        <v>99</v>
      </c>
      <c r="AA943" s="4">
        <f>=ROUNDDOWN(24.75,0)</f>
      </c>
      <c r="AB943" s="5">
        <v>4</v>
      </c>
      <c r="AC943" s="2" t="s">
        <v>1396</v>
      </c>
      <c r="AD943" s="4">
        <v>102</v>
      </c>
      <c r="AE943" s="4">
        <v>205</v>
      </c>
      <c r="AF943" s="6">
        <v>65</v>
      </c>
      <c r="AG943" s="6">
        <v>48</v>
      </c>
      <c r="AH943" s="7">
        <v>1</v>
      </c>
      <c r="AI943" s="4"/>
      <c r="AJ943" s="4">
        <f>=ROUNDDOWN({0},0)</f>
      </c>
      <c r="AK943" s="5"/>
      <c r="AL943" s="2" t="s">
        <v>98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/>
      <c r="AW943" s="8"/>
      <c r="AX943" s="4"/>
      <c r="AY943" s="8"/>
      <c r="AZ943" s="7"/>
      <c r="BA943" s="7"/>
      <c r="BB943" s="7"/>
      <c r="BC943" s="4"/>
      <c r="BD943" s="8"/>
      <c r="BE943" s="4"/>
      <c r="BF943" s="8"/>
      <c r="BG943" s="7"/>
      <c r="BH943" s="7"/>
      <c r="BI943" s="7"/>
      <c r="BJ943" s="4">
        <v>3</v>
      </c>
      <c r="BK943" s="8">
        <v>496.32</v>
      </c>
      <c r="BL943" s="2" t="s">
        <v>428</v>
      </c>
      <c r="BM943" s="7"/>
      <c r="BN943" s="7"/>
      <c r="BO943" s="4"/>
      <c r="BP943" s="8"/>
      <c r="BQ943" s="4"/>
      <c r="BR943" s="8"/>
      <c r="BS943" s="7"/>
      <c r="BT943" s="7"/>
      <c r="BU943" s="2" t="s">
        <v>107</v>
      </c>
      <c r="BV943" s="2" t="s">
        <v>1355</v>
      </c>
      <c r="BW943" s="2" t="s">
        <v>1478</v>
      </c>
      <c r="BX943" s="2" t="s">
        <v>4463</v>
      </c>
      <c r="BY943" s="2" t="s">
        <v>110</v>
      </c>
      <c r="BZ943" s="2" t="s">
        <v>98</v>
      </c>
    </row>
    <row r="944">
      <c r="A944" s="2" t="s">
        <v>4464</v>
      </c>
      <c r="B944" s="2" t="s">
        <v>1345</v>
      </c>
      <c r="C944" s="2" t="s">
        <v>1178</v>
      </c>
      <c r="D944" s="2" t="s">
        <v>3213</v>
      </c>
      <c r="E944" s="2" t="s">
        <v>3213</v>
      </c>
      <c r="F944" s="2" t="s">
        <v>4465</v>
      </c>
      <c r="G944" s="2" t="s">
        <v>4465</v>
      </c>
      <c r="H944" s="2" t="s">
        <v>4465</v>
      </c>
      <c r="I944" s="2" t="s">
        <v>4458</v>
      </c>
      <c r="J944" s="2" t="s">
        <v>93</v>
      </c>
      <c r="K944" s="2" t="s">
        <v>127</v>
      </c>
      <c r="L944" s="3">
        <v>70.3</v>
      </c>
      <c r="M944" s="3">
        <v>73.82</v>
      </c>
      <c r="N944" s="3">
        <v>149</v>
      </c>
      <c r="O944" s="2" t="s">
        <v>95</v>
      </c>
      <c r="P944" s="2" t="s">
        <v>134</v>
      </c>
      <c r="Q944" s="2" t="s">
        <v>97</v>
      </c>
      <c r="R944" s="2" t="s">
        <v>98</v>
      </c>
      <c r="S944" s="2" t="s">
        <v>4466</v>
      </c>
      <c r="T944" s="2" t="s">
        <v>98</v>
      </c>
      <c r="U944" s="2" t="s">
        <v>117</v>
      </c>
      <c r="V944" s="2" t="s">
        <v>439</v>
      </c>
      <c r="W944" s="2" t="s">
        <v>204</v>
      </c>
      <c r="X944" s="2" t="s">
        <v>1215</v>
      </c>
      <c r="Y944" s="2" t="s">
        <v>4467</v>
      </c>
      <c r="Z944" s="4">
        <v>135</v>
      </c>
      <c r="AA944" s="4">
        <f>=ROUNDDOWN(10.3846153846154,0)</f>
      </c>
      <c r="AB944" s="5">
        <v>13</v>
      </c>
      <c r="AC944" s="2" t="s">
        <v>1396</v>
      </c>
      <c r="AD944" s="4">
        <v>183</v>
      </c>
      <c r="AE944" s="4">
        <v>279</v>
      </c>
      <c r="AF944" s="6">
        <v>65</v>
      </c>
      <c r="AG944" s="6">
        <v>48</v>
      </c>
      <c r="AH944" s="7">
        <v>1</v>
      </c>
      <c r="AI944" s="4"/>
      <c r="AJ944" s="4">
        <f>=ROUNDDOWN({0},0)</f>
      </c>
      <c r="AK944" s="5"/>
      <c r="AL944" s="2" t="s">
        <v>98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 t="s">
        <v>98</v>
      </c>
      <c r="AW944" s="8" t="s">
        <v>98</v>
      </c>
      <c r="AX944" s="4" t="s">
        <v>98</v>
      </c>
      <c r="AY944" s="8" t="s">
        <v>98</v>
      </c>
      <c r="AZ944" s="7" t="s">
        <v>98</v>
      </c>
      <c r="BA944" s="7" t="s">
        <v>98</v>
      </c>
      <c r="BB944" s="7" t="s">
        <v>98</v>
      </c>
      <c r="BC944" s="4" t="s">
        <v>98</v>
      </c>
      <c r="BD944" s="8" t="s">
        <v>98</v>
      </c>
      <c r="BE944" s="4" t="s">
        <v>98</v>
      </c>
      <c r="BF944" s="8" t="s">
        <v>98</v>
      </c>
      <c r="BG944" s="7" t="s">
        <v>98</v>
      </c>
      <c r="BH944" s="7" t="s">
        <v>98</v>
      </c>
      <c r="BI944" s="7"/>
      <c r="BJ944" s="4">
        <v>7</v>
      </c>
      <c r="BK944" s="8">
        <v>547.81</v>
      </c>
      <c r="BL944" s="2" t="s">
        <v>4451</v>
      </c>
      <c r="BM944" s="7"/>
      <c r="BN944" s="7"/>
      <c r="BO944" s="4"/>
      <c r="BP944" s="8"/>
      <c r="BQ944" s="4"/>
      <c r="BR944" s="8"/>
      <c r="BS944" s="7"/>
      <c r="BT944" s="7"/>
      <c r="BU944" s="2" t="s">
        <v>107</v>
      </c>
      <c r="BV944" s="2" t="s">
        <v>1355</v>
      </c>
      <c r="BW944" s="2" t="s">
        <v>1478</v>
      </c>
      <c r="BX944" s="2" t="s">
        <v>4468</v>
      </c>
      <c r="BY944" s="2" t="s">
        <v>110</v>
      </c>
      <c r="BZ944" s="2" t="s">
        <v>98</v>
      </c>
    </row>
    <row r="945">
      <c r="A945" s="2" t="s">
        <v>4469</v>
      </c>
      <c r="B945" s="2" t="s">
        <v>1345</v>
      </c>
      <c r="C945" s="2" t="s">
        <v>1178</v>
      </c>
      <c r="D945" s="2" t="s">
        <v>3213</v>
      </c>
      <c r="E945" s="2" t="s">
        <v>3213</v>
      </c>
      <c r="F945" s="2" t="s">
        <v>4465</v>
      </c>
      <c r="G945" s="2" t="s">
        <v>4465</v>
      </c>
      <c r="H945" s="2" t="s">
        <v>4465</v>
      </c>
      <c r="I945" s="2" t="s">
        <v>4470</v>
      </c>
      <c r="J945" s="2" t="s">
        <v>93</v>
      </c>
      <c r="K945" s="2" t="s">
        <v>127</v>
      </c>
      <c r="L945" s="3">
        <v>144</v>
      </c>
      <c r="M945" s="3">
        <v>151.2</v>
      </c>
      <c r="N945" s="3">
        <v>299</v>
      </c>
      <c r="O945" s="2" t="s">
        <v>95</v>
      </c>
      <c r="P945" s="2" t="s">
        <v>142</v>
      </c>
      <c r="Q945" s="2" t="s">
        <v>97</v>
      </c>
      <c r="R945" s="2" t="s">
        <v>98</v>
      </c>
      <c r="S945" s="2" t="s">
        <v>4466</v>
      </c>
      <c r="T945" s="2" t="s">
        <v>98</v>
      </c>
      <c r="U945" s="2" t="s">
        <v>117</v>
      </c>
      <c r="V945" s="2" t="s">
        <v>439</v>
      </c>
      <c r="W945" s="2" t="s">
        <v>204</v>
      </c>
      <c r="X945" s="2" t="s">
        <v>1215</v>
      </c>
      <c r="Y945" s="2" t="s">
        <v>612</v>
      </c>
      <c r="Z945" s="4">
        <v>102</v>
      </c>
      <c r="AA945" s="4">
        <f>=ROUNDDOWN(25.5,0)</f>
      </c>
      <c r="AB945" s="5">
        <v>4</v>
      </c>
      <c r="AC945" s="2" t="s">
        <v>1983</v>
      </c>
      <c r="AD945" s="4">
        <v>81</v>
      </c>
      <c r="AE945" s="4">
        <v>102</v>
      </c>
      <c r="AF945" s="6">
        <v>65</v>
      </c>
      <c r="AG945" s="6">
        <v>48</v>
      </c>
      <c r="AH945" s="7">
        <v>1</v>
      </c>
      <c r="AI945" s="4"/>
      <c r="AJ945" s="4">
        <f>=ROUNDDOWN({0},0)</f>
      </c>
      <c r="AK945" s="5"/>
      <c r="AL945" s="2" t="s">
        <v>98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98</v>
      </c>
      <c r="AW945" s="8" t="s">
        <v>98</v>
      </c>
      <c r="AX945" s="4" t="s">
        <v>98</v>
      </c>
      <c r="AY945" s="8" t="s">
        <v>98</v>
      </c>
      <c r="AZ945" s="7" t="s">
        <v>98</v>
      </c>
      <c r="BA945" s="7" t="s">
        <v>98</v>
      </c>
      <c r="BB945" s="7" t="s">
        <v>98</v>
      </c>
      <c r="BC945" s="4" t="s">
        <v>98</v>
      </c>
      <c r="BD945" s="8" t="s">
        <v>98</v>
      </c>
      <c r="BE945" s="4" t="s">
        <v>98</v>
      </c>
      <c r="BF945" s="8" t="s">
        <v>98</v>
      </c>
      <c r="BG945" s="7" t="s">
        <v>98</v>
      </c>
      <c r="BH945" s="7" t="s">
        <v>98</v>
      </c>
      <c r="BI945" s="7"/>
      <c r="BJ945" s="4">
        <v>1</v>
      </c>
      <c r="BK945" s="8">
        <v>149.06</v>
      </c>
      <c r="BL945" s="2" t="s">
        <v>895</v>
      </c>
      <c r="BM945" s="7"/>
      <c r="BN945" s="7"/>
      <c r="BO945" s="4"/>
      <c r="BP945" s="8"/>
      <c r="BQ945" s="4"/>
      <c r="BR945" s="8"/>
      <c r="BS945" s="7"/>
      <c r="BT945" s="7"/>
      <c r="BU945" s="2" t="s">
        <v>107</v>
      </c>
      <c r="BV945" s="2" t="s">
        <v>1355</v>
      </c>
      <c r="BW945" s="2" t="s">
        <v>1478</v>
      </c>
      <c r="BX945" s="2" t="s">
        <v>4471</v>
      </c>
      <c r="BY945" s="2" t="s">
        <v>110</v>
      </c>
      <c r="BZ945" s="2" t="s">
        <v>98</v>
      </c>
    </row>
    <row r="946">
      <c r="A946" s="2" t="s">
        <v>4472</v>
      </c>
      <c r="B946" s="2" t="s">
        <v>1345</v>
      </c>
      <c r="C946" s="2" t="s">
        <v>1178</v>
      </c>
      <c r="D946" s="2" t="s">
        <v>3213</v>
      </c>
      <c r="E946" s="2" t="s">
        <v>3213</v>
      </c>
      <c r="F946" s="2" t="s">
        <v>4473</v>
      </c>
      <c r="G946" s="2" t="s">
        <v>4473</v>
      </c>
      <c r="H946" s="2" t="s">
        <v>4473</v>
      </c>
      <c r="I946" s="2" t="s">
        <v>4474</v>
      </c>
      <c r="J946" s="2" t="s">
        <v>93</v>
      </c>
      <c r="K946" s="2" t="s">
        <v>277</v>
      </c>
      <c r="L946" s="3">
        <v>140.25</v>
      </c>
      <c r="M946" s="3">
        <v>147.26</v>
      </c>
      <c r="N946" s="3">
        <v>299</v>
      </c>
      <c r="O946" s="2" t="s">
        <v>95</v>
      </c>
      <c r="P946" s="2" t="s">
        <v>134</v>
      </c>
      <c r="Q946" s="2" t="s">
        <v>97</v>
      </c>
      <c r="R946" s="2" t="s">
        <v>98</v>
      </c>
      <c r="S946" s="2" t="s">
        <v>98</v>
      </c>
      <c r="T946" s="2" t="s">
        <v>98</v>
      </c>
      <c r="U946" s="2" t="s">
        <v>117</v>
      </c>
      <c r="V946" s="2" t="s">
        <v>296</v>
      </c>
      <c r="W946" s="2" t="s">
        <v>98</v>
      </c>
      <c r="X946" s="2" t="s">
        <v>1215</v>
      </c>
      <c r="Y946" s="2" t="s">
        <v>3290</v>
      </c>
      <c r="Z946" s="4">
        <v>3</v>
      </c>
      <c r="AA946" s="4">
        <f>=ROUNDDOWN(0.5,0)</f>
      </c>
      <c r="AB946" s="5">
        <v>6</v>
      </c>
      <c r="AC946" s="2" t="s">
        <v>323</v>
      </c>
      <c r="AD946" s="4">
        <v>360</v>
      </c>
      <c r="AE946" s="4">
        <v>456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98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/>
      <c r="BD946" s="8"/>
      <c r="BE946" s="4"/>
      <c r="BF946" s="8"/>
      <c r="BG946" s="7"/>
      <c r="BH946" s="7"/>
      <c r="BI946" s="7"/>
      <c r="BJ946" s="4">
        <v>3</v>
      </c>
      <c r="BK946" s="8">
        <v>475.76</v>
      </c>
      <c r="BL946" s="2" t="s">
        <v>4475</v>
      </c>
      <c r="BM946" s="7"/>
      <c r="BN946" s="7"/>
      <c r="BO946" s="4"/>
      <c r="BP946" s="8"/>
      <c r="BQ946" s="4"/>
      <c r="BR946" s="8"/>
      <c r="BS946" s="7"/>
      <c r="BT946" s="7"/>
      <c r="BU946" s="2" t="s">
        <v>1376</v>
      </c>
      <c r="BV946" s="2" t="s">
        <v>95</v>
      </c>
      <c r="BW946" s="2" t="s">
        <v>98</v>
      </c>
      <c r="BX946" s="2" t="s">
        <v>98</v>
      </c>
      <c r="BY946" s="2" t="s">
        <v>110</v>
      </c>
      <c r="BZ946" s="2" t="s">
        <v>98</v>
      </c>
    </row>
    <row r="947">
      <c r="A947" s="2" t="s">
        <v>4476</v>
      </c>
      <c r="B947" s="2" t="s">
        <v>1345</v>
      </c>
      <c r="C947" s="2" t="s">
        <v>4477</v>
      </c>
      <c r="D947" s="2" t="s">
        <v>2205</v>
      </c>
      <c r="E947" s="2" t="s">
        <v>2205</v>
      </c>
      <c r="F947" s="2" t="s">
        <v>4478</v>
      </c>
      <c r="G947" s="2" t="s">
        <v>4478</v>
      </c>
      <c r="H947" s="2" t="s">
        <v>4478</v>
      </c>
      <c r="I947" s="2" t="s">
        <v>4479</v>
      </c>
      <c r="J947" s="2" t="s">
        <v>93</v>
      </c>
      <c r="K947" s="2" t="s">
        <v>133</v>
      </c>
      <c r="L947" s="3">
        <v>102.6</v>
      </c>
      <c r="M947" s="3">
        <v>107.73</v>
      </c>
      <c r="N947" s="3">
        <v>219</v>
      </c>
      <c r="O947" s="2" t="s">
        <v>95</v>
      </c>
      <c r="P947" s="2" t="s">
        <v>295</v>
      </c>
      <c r="Q947" s="2" t="s">
        <v>97</v>
      </c>
      <c r="R947" s="2" t="s">
        <v>98</v>
      </c>
      <c r="S947" s="2" t="s">
        <v>98</v>
      </c>
      <c r="T947" s="2" t="s">
        <v>98</v>
      </c>
      <c r="U947" s="2" t="s">
        <v>100</v>
      </c>
      <c r="V947" s="2" t="s">
        <v>296</v>
      </c>
      <c r="W947" s="2" t="s">
        <v>103</v>
      </c>
      <c r="X947" s="2" t="s">
        <v>102</v>
      </c>
      <c r="Y947" s="2" t="s">
        <v>4480</v>
      </c>
      <c r="Z947" s="4">
        <v>88</v>
      </c>
      <c r="AA947" s="4">
        <f>=ROUNDDOWN(16.6037735849057,0)</f>
      </c>
      <c r="AB947" s="5">
        <v>5.3</v>
      </c>
      <c r="AC947" s="2" t="s">
        <v>98</v>
      </c>
      <c r="AD947" s="4"/>
      <c r="AE947" s="4"/>
      <c r="AF947" s="6">
        <v>76</v>
      </c>
      <c r="AG947" s="6"/>
      <c r="AH947" s="7">
        <v>1</v>
      </c>
      <c r="AI947" s="4"/>
      <c r="AJ947" s="4">
        <f>=ROUNDDOWN({0},0)</f>
      </c>
      <c r="AK947" s="5"/>
      <c r="AL947" s="2" t="s">
        <v>98</v>
      </c>
      <c r="AM947" s="4"/>
      <c r="AN947" s="4"/>
      <c r="AO947" s="7">
        <v>0</v>
      </c>
      <c r="AP947" s="4">
        <v>2</v>
      </c>
      <c r="AQ947" s="8">
        <v>214.32</v>
      </c>
      <c r="AR947" s="4"/>
      <c r="AS947" s="8"/>
      <c r="AT947" s="7"/>
      <c r="AU947" s="7"/>
      <c r="AV947" s="4">
        <v>2</v>
      </c>
      <c r="AW947" s="8">
        <v>214.32</v>
      </c>
      <c r="AX947" s="4"/>
      <c r="AY947" s="8"/>
      <c r="AZ947" s="7"/>
      <c r="BA947" s="7"/>
      <c r="BB947" s="7">
        <v>1</v>
      </c>
      <c r="BC947" s="4">
        <v>2</v>
      </c>
      <c r="BD947" s="8">
        <v>214.32</v>
      </c>
      <c r="BE947" s="4" t="s">
        <v>98</v>
      </c>
      <c r="BF947" s="8" t="s">
        <v>98</v>
      </c>
      <c r="BG947" s="7" t="s">
        <v>98</v>
      </c>
      <c r="BH947" s="7" t="s">
        <v>98</v>
      </c>
      <c r="BI947" s="7">
        <v>1</v>
      </c>
      <c r="BJ947" s="4">
        <v>3</v>
      </c>
      <c r="BK947" s="8">
        <v>325.28</v>
      </c>
      <c r="BL947" s="2" t="s">
        <v>1445</v>
      </c>
      <c r="BM947" s="7">
        <v>0.6667</v>
      </c>
      <c r="BN947" s="7">
        <v>0.6589</v>
      </c>
      <c r="BO947" s="4">
        <v>2</v>
      </c>
      <c r="BP947" s="8">
        <v>214.32</v>
      </c>
      <c r="BQ947" s="4"/>
      <c r="BR947" s="8"/>
      <c r="BS947" s="7"/>
      <c r="BT947" s="7"/>
      <c r="BU947" s="2" t="s">
        <v>1376</v>
      </c>
      <c r="BV947" s="2" t="s">
        <v>95</v>
      </c>
      <c r="BW947" s="2" t="s">
        <v>98</v>
      </c>
      <c r="BX947" s="2" t="s">
        <v>98</v>
      </c>
      <c r="BY947" s="2" t="s">
        <v>110</v>
      </c>
      <c r="BZ947" s="2" t="s">
        <v>98</v>
      </c>
    </row>
    <row r="948">
      <c r="A948" s="2" t="s">
        <v>4481</v>
      </c>
      <c r="B948" s="2" t="s">
        <v>1345</v>
      </c>
      <c r="C948" s="2" t="s">
        <v>4477</v>
      </c>
      <c r="D948" s="2" t="s">
        <v>2205</v>
      </c>
      <c r="E948" s="2" t="s">
        <v>2205</v>
      </c>
      <c r="F948" s="2" t="s">
        <v>4478</v>
      </c>
      <c r="G948" s="2" t="s">
        <v>4478</v>
      </c>
      <c r="H948" s="2" t="s">
        <v>4478</v>
      </c>
      <c r="I948" s="2" t="s">
        <v>4479</v>
      </c>
      <c r="J948" s="2" t="s">
        <v>93</v>
      </c>
      <c r="K948" s="2" t="s">
        <v>4482</v>
      </c>
      <c r="L948" s="3">
        <v>102.6</v>
      </c>
      <c r="M948" s="3">
        <v>107.73</v>
      </c>
      <c r="N948" s="3">
        <v>219</v>
      </c>
      <c r="O948" s="2" t="s">
        <v>95</v>
      </c>
      <c r="P948" s="2" t="s">
        <v>295</v>
      </c>
      <c r="Q948" s="2" t="s">
        <v>97</v>
      </c>
      <c r="R948" s="2" t="s">
        <v>98</v>
      </c>
      <c r="S948" s="2" t="s">
        <v>98</v>
      </c>
      <c r="T948" s="2" t="s">
        <v>98</v>
      </c>
      <c r="U948" s="2" t="s">
        <v>100</v>
      </c>
      <c r="V948" s="2" t="s">
        <v>296</v>
      </c>
      <c r="W948" s="2" t="s">
        <v>103</v>
      </c>
      <c r="X948" s="2" t="s">
        <v>102</v>
      </c>
      <c r="Y948" s="2" t="s">
        <v>98</v>
      </c>
      <c r="Z948" s="4"/>
      <c r="AA948" s="4">
        <f>=ROUNDDOWN({0},0)</f>
      </c>
      <c r="AB948" s="5">
        <v>6</v>
      </c>
      <c r="AC948" s="2" t="s">
        <v>4483</v>
      </c>
      <c r="AD948" s="4">
        <v>84</v>
      </c>
      <c r="AE948" s="4">
        <v>84</v>
      </c>
      <c r="AF948" s="6">
        <v>76</v>
      </c>
      <c r="AG948" s="6"/>
      <c r="AH948" s="7">
        <v>0</v>
      </c>
      <c r="AI948" s="4"/>
      <c r="AJ948" s="4">
        <f>=ROUNDDOWN({0},0)</f>
      </c>
      <c r="AK948" s="5"/>
      <c r="AL948" s="2" t="s">
        <v>98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/>
      <c r="AW948" s="8"/>
      <c r="AX948" s="4"/>
      <c r="AY948" s="8"/>
      <c r="AZ948" s="7"/>
      <c r="BA948" s="7"/>
      <c r="BB948" s="7"/>
      <c r="BC948" s="4" t="s">
        <v>98</v>
      </c>
      <c r="BD948" s="8" t="s">
        <v>98</v>
      </c>
      <c r="BE948" s="4" t="s">
        <v>98</v>
      </c>
      <c r="BF948" s="8" t="s">
        <v>98</v>
      </c>
      <c r="BG948" s="7" t="s">
        <v>98</v>
      </c>
      <c r="BH948" s="7" t="s">
        <v>98</v>
      </c>
      <c r="BI948" s="7"/>
      <c r="BJ948" s="4"/>
      <c r="BK948" s="8"/>
      <c r="BL948" s="2" t="s">
        <v>98</v>
      </c>
      <c r="BM948" s="7"/>
      <c r="BN948" s="7"/>
      <c r="BO948" s="4"/>
      <c r="BP948" s="8"/>
      <c r="BQ948" s="4"/>
      <c r="BR948" s="8"/>
      <c r="BS948" s="7"/>
      <c r="BT948" s="7"/>
      <c r="BU948" s="2" t="s">
        <v>1376</v>
      </c>
      <c r="BV948" s="2" t="s">
        <v>95</v>
      </c>
      <c r="BW948" s="2" t="s">
        <v>98</v>
      </c>
      <c r="BX948" s="2" t="s">
        <v>98</v>
      </c>
      <c r="BY948" s="2" t="s">
        <v>110</v>
      </c>
      <c r="BZ948" s="2" t="s">
        <v>98</v>
      </c>
    </row>
    <row r="949">
      <c r="A949" s="2" t="s">
        <v>4484</v>
      </c>
      <c r="B949" s="2" t="s">
        <v>1345</v>
      </c>
      <c r="C949" s="2" t="s">
        <v>4477</v>
      </c>
      <c r="D949" s="2" t="s">
        <v>2205</v>
      </c>
      <c r="E949" s="2" t="s">
        <v>2205</v>
      </c>
      <c r="F949" s="2" t="s">
        <v>4478</v>
      </c>
      <c r="G949" s="2" t="s">
        <v>4478</v>
      </c>
      <c r="H949" s="2" t="s">
        <v>4478</v>
      </c>
      <c r="I949" s="2" t="s">
        <v>4479</v>
      </c>
      <c r="J949" s="2" t="s">
        <v>93</v>
      </c>
      <c r="K949" s="2" t="s">
        <v>616</v>
      </c>
      <c r="L949" s="3">
        <v>102.6</v>
      </c>
      <c r="M949" s="3">
        <v>107.73</v>
      </c>
      <c r="N949" s="3">
        <v>219</v>
      </c>
      <c r="O949" s="2" t="s">
        <v>95</v>
      </c>
      <c r="P949" s="2" t="s">
        <v>295</v>
      </c>
      <c r="Q949" s="2" t="s">
        <v>97</v>
      </c>
      <c r="R949" s="2" t="s">
        <v>98</v>
      </c>
      <c r="S949" s="2" t="s">
        <v>98</v>
      </c>
      <c r="T949" s="2" t="s">
        <v>98</v>
      </c>
      <c r="U949" s="2" t="s">
        <v>100</v>
      </c>
      <c r="V949" s="2" t="s">
        <v>296</v>
      </c>
      <c r="W949" s="2" t="s">
        <v>103</v>
      </c>
      <c r="X949" s="2" t="s">
        <v>102</v>
      </c>
      <c r="Y949" s="2" t="s">
        <v>578</v>
      </c>
      <c r="Z949" s="4">
        <v>110</v>
      </c>
      <c r="AA949" s="4">
        <f>=ROUNDDOWN(18.3333333333333,0)</f>
      </c>
      <c r="AB949" s="5">
        <v>6</v>
      </c>
      <c r="AC949" s="2" t="s">
        <v>4483</v>
      </c>
      <c r="AD949" s="4">
        <v>16</v>
      </c>
      <c r="AE949" s="4">
        <v>16</v>
      </c>
      <c r="AF949" s="6">
        <v>76</v>
      </c>
      <c r="AG949" s="6"/>
      <c r="AH949" s="7">
        <v>1</v>
      </c>
      <c r="AI949" s="4"/>
      <c r="AJ949" s="4">
        <f>=ROUNDDOWN({0},0)</f>
      </c>
      <c r="AK949" s="5"/>
      <c r="AL949" s="2" t="s">
        <v>98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/>
      <c r="AW949" s="8"/>
      <c r="AX949" s="4"/>
      <c r="AY949" s="8"/>
      <c r="AZ949" s="7"/>
      <c r="BA949" s="7"/>
      <c r="BB949" s="7"/>
      <c r="BC949" s="4" t="s">
        <v>98</v>
      </c>
      <c r="BD949" s="8" t="s">
        <v>98</v>
      </c>
      <c r="BE949" s="4" t="s">
        <v>98</v>
      </c>
      <c r="BF949" s="8" t="s">
        <v>98</v>
      </c>
      <c r="BG949" s="7" t="s">
        <v>98</v>
      </c>
      <c r="BH949" s="7" t="s">
        <v>98</v>
      </c>
      <c r="BI949" s="7"/>
      <c r="BJ949" s="4"/>
      <c r="BK949" s="8"/>
      <c r="BL949" s="2" t="s">
        <v>98</v>
      </c>
      <c r="BM949" s="7"/>
      <c r="BN949" s="7"/>
      <c r="BO949" s="4"/>
      <c r="BP949" s="8"/>
      <c r="BQ949" s="4"/>
      <c r="BR949" s="8"/>
      <c r="BS949" s="7"/>
      <c r="BT949" s="7"/>
      <c r="BU949" s="2" t="s">
        <v>1376</v>
      </c>
      <c r="BV949" s="2" t="s">
        <v>95</v>
      </c>
      <c r="BW949" s="2" t="s">
        <v>98</v>
      </c>
      <c r="BX949" s="2" t="s">
        <v>98</v>
      </c>
      <c r="BY949" s="2" t="s">
        <v>110</v>
      </c>
      <c r="BZ949" s="2" t="s">
        <v>98</v>
      </c>
    </row>
    <row r="950">
      <c r="A950" s="2" t="s">
        <v>4485</v>
      </c>
      <c r="B950" s="2" t="s">
        <v>1345</v>
      </c>
      <c r="C950" s="2" t="s">
        <v>4477</v>
      </c>
      <c r="D950" s="2" t="s">
        <v>3068</v>
      </c>
      <c r="E950" s="2" t="s">
        <v>3186</v>
      </c>
      <c r="F950" s="2" t="s">
        <v>1860</v>
      </c>
      <c r="G950" s="2" t="s">
        <v>1860</v>
      </c>
      <c r="H950" s="2" t="s">
        <v>1860</v>
      </c>
      <c r="I950" s="2" t="s">
        <v>4486</v>
      </c>
      <c r="J950" s="2" t="s">
        <v>93</v>
      </c>
      <c r="K950" s="2" t="s">
        <v>133</v>
      </c>
      <c r="L950" s="3">
        <v>83.6</v>
      </c>
      <c r="M950" s="3">
        <v>87.78</v>
      </c>
      <c r="N950" s="3">
        <v>179</v>
      </c>
      <c r="O950" s="2" t="s">
        <v>95</v>
      </c>
      <c r="P950" s="2" t="s">
        <v>115</v>
      </c>
      <c r="Q950" s="2" t="s">
        <v>97</v>
      </c>
      <c r="R950" s="2" t="s">
        <v>98</v>
      </c>
      <c r="S950" s="2" t="s">
        <v>98</v>
      </c>
      <c r="T950" s="2" t="s">
        <v>98</v>
      </c>
      <c r="U950" s="2" t="s">
        <v>117</v>
      </c>
      <c r="V950" s="2" t="s">
        <v>296</v>
      </c>
      <c r="W950" s="2" t="s">
        <v>103</v>
      </c>
      <c r="X950" s="2" t="s">
        <v>102</v>
      </c>
      <c r="Y950" s="2" t="s">
        <v>401</v>
      </c>
      <c r="Z950" s="4"/>
      <c r="AA950" s="4">
        <f>=ROUNDDOWN({0},0)</f>
      </c>
      <c r="AB950" s="5">
        <v>8</v>
      </c>
      <c r="AC950" s="2" t="s">
        <v>98</v>
      </c>
      <c r="AD950" s="4"/>
      <c r="AE950" s="4"/>
      <c r="AF950" s="6">
        <v>74</v>
      </c>
      <c r="AG950" s="6"/>
      <c r="AH950" s="7">
        <v>1</v>
      </c>
      <c r="AI950" s="4"/>
      <c r="AJ950" s="4">
        <f>=ROUNDDOWN({0},0)</f>
      </c>
      <c r="AK950" s="5"/>
      <c r="AL950" s="2" t="s">
        <v>98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/>
      <c r="AW950" s="8"/>
      <c r="AX950" s="4"/>
      <c r="AY950" s="8"/>
      <c r="AZ950" s="7"/>
      <c r="BA950" s="7"/>
      <c r="BB950" s="7"/>
      <c r="BC950" s="4" t="s">
        <v>98</v>
      </c>
      <c r="BD950" s="8" t="s">
        <v>98</v>
      </c>
      <c r="BE950" s="4" t="s">
        <v>98</v>
      </c>
      <c r="BF950" s="8" t="s">
        <v>98</v>
      </c>
      <c r="BG950" s="7" t="s">
        <v>98</v>
      </c>
      <c r="BH950" s="7" t="s">
        <v>98</v>
      </c>
      <c r="BI950" s="7"/>
      <c r="BJ950" s="4">
        <v>2</v>
      </c>
      <c r="BK950" s="8">
        <v>198.1</v>
      </c>
      <c r="BL950" s="2" t="s">
        <v>1118</v>
      </c>
      <c r="BM950" s="7"/>
      <c r="BN950" s="7"/>
      <c r="BO950" s="4"/>
      <c r="BP950" s="8"/>
      <c r="BQ950" s="4"/>
      <c r="BR950" s="8"/>
      <c r="BS950" s="7"/>
      <c r="BT950" s="7"/>
      <c r="BU950" s="2" t="s">
        <v>1376</v>
      </c>
      <c r="BV950" s="2" t="s">
        <v>95</v>
      </c>
      <c r="BW950" s="2" t="s">
        <v>98</v>
      </c>
      <c r="BX950" s="2" t="s">
        <v>98</v>
      </c>
      <c r="BY950" s="2" t="s">
        <v>110</v>
      </c>
      <c r="BZ950" s="2" t="s">
        <v>98</v>
      </c>
    </row>
    <row r="951">
      <c r="A951" s="2" t="s">
        <v>4487</v>
      </c>
      <c r="B951" s="2" t="s">
        <v>1345</v>
      </c>
      <c r="C951" s="2" t="s">
        <v>4477</v>
      </c>
      <c r="D951" s="2" t="s">
        <v>3068</v>
      </c>
      <c r="E951" s="2" t="s">
        <v>3186</v>
      </c>
      <c r="F951" s="2" t="s">
        <v>1860</v>
      </c>
      <c r="G951" s="2" t="s">
        <v>1860</v>
      </c>
      <c r="H951" s="2" t="s">
        <v>1860</v>
      </c>
      <c r="I951" s="2" t="s">
        <v>4486</v>
      </c>
      <c r="J951" s="2" t="s">
        <v>93</v>
      </c>
      <c r="K951" s="2" t="s">
        <v>1915</v>
      </c>
      <c r="L951" s="3">
        <v>83.6</v>
      </c>
      <c r="M951" s="3">
        <v>87.78</v>
      </c>
      <c r="N951" s="3">
        <v>179</v>
      </c>
      <c r="O951" s="2" t="s">
        <v>95</v>
      </c>
      <c r="P951" s="2" t="s">
        <v>295</v>
      </c>
      <c r="Q951" s="2" t="s">
        <v>97</v>
      </c>
      <c r="R951" s="2" t="s">
        <v>98</v>
      </c>
      <c r="S951" s="2" t="s">
        <v>98</v>
      </c>
      <c r="T951" s="2" t="s">
        <v>98</v>
      </c>
      <c r="U951" s="2" t="s">
        <v>117</v>
      </c>
      <c r="V951" s="2" t="s">
        <v>296</v>
      </c>
      <c r="W951" s="2" t="s">
        <v>103</v>
      </c>
      <c r="X951" s="2" t="s">
        <v>102</v>
      </c>
      <c r="Y951" s="2" t="s">
        <v>4488</v>
      </c>
      <c r="Z951" s="4">
        <v>160</v>
      </c>
      <c r="AA951" s="4">
        <f>=ROUNDDOWN(20,0)</f>
      </c>
      <c r="AB951" s="5">
        <v>8</v>
      </c>
      <c r="AC951" s="2" t="s">
        <v>98</v>
      </c>
      <c r="AD951" s="4"/>
      <c r="AE951" s="4"/>
      <c r="AF951" s="6">
        <v>74</v>
      </c>
      <c r="AG951" s="6"/>
      <c r="AH951" s="7">
        <v>1</v>
      </c>
      <c r="AI951" s="4"/>
      <c r="AJ951" s="4">
        <f>=ROUNDDOWN({0},0)</f>
      </c>
      <c r="AK951" s="5"/>
      <c r="AL951" s="2" t="s">
        <v>98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 t="s">
        <v>98</v>
      </c>
      <c r="BD951" s="8" t="s">
        <v>98</v>
      </c>
      <c r="BE951" s="4" t="s">
        <v>98</v>
      </c>
      <c r="BF951" s="8" t="s">
        <v>98</v>
      </c>
      <c r="BG951" s="7" t="s">
        <v>98</v>
      </c>
      <c r="BH951" s="7" t="s">
        <v>98</v>
      </c>
      <c r="BI951" s="7"/>
      <c r="BJ951" s="4"/>
      <c r="BK951" s="8"/>
      <c r="BL951" s="2" t="s">
        <v>98</v>
      </c>
      <c r="BM951" s="7"/>
      <c r="BN951" s="7"/>
      <c r="BO951" s="4"/>
      <c r="BP951" s="8"/>
      <c r="BQ951" s="4"/>
      <c r="BR951" s="8"/>
      <c r="BS951" s="7"/>
      <c r="BT951" s="7"/>
      <c r="BU951" s="2" t="s">
        <v>1376</v>
      </c>
      <c r="BV951" s="2" t="s">
        <v>95</v>
      </c>
      <c r="BW951" s="2" t="s">
        <v>98</v>
      </c>
      <c r="BX951" s="2" t="s">
        <v>98</v>
      </c>
      <c r="BY951" s="2" t="s">
        <v>110</v>
      </c>
      <c r="BZ951" s="2" t="s">
        <v>98</v>
      </c>
    </row>
    <row r="952">
      <c r="A952" s="2" t="s">
        <v>4489</v>
      </c>
      <c r="B952" s="2" t="s">
        <v>1345</v>
      </c>
      <c r="C952" s="2" t="s">
        <v>4477</v>
      </c>
      <c r="D952" s="2" t="s">
        <v>3068</v>
      </c>
      <c r="E952" s="2" t="s">
        <v>3186</v>
      </c>
      <c r="F952" s="2" t="s">
        <v>1860</v>
      </c>
      <c r="G952" s="2" t="s">
        <v>1860</v>
      </c>
      <c r="H952" s="2" t="s">
        <v>1860</v>
      </c>
      <c r="I952" s="2" t="s">
        <v>4486</v>
      </c>
      <c r="J952" s="2" t="s">
        <v>93</v>
      </c>
      <c r="K952" s="2" t="s">
        <v>4490</v>
      </c>
      <c r="L952" s="3">
        <v>83.6</v>
      </c>
      <c r="M952" s="3">
        <v>87.78</v>
      </c>
      <c r="N952" s="3">
        <v>179</v>
      </c>
      <c r="O952" s="2" t="s">
        <v>95</v>
      </c>
      <c r="P952" s="2" t="s">
        <v>295</v>
      </c>
      <c r="Q952" s="2" t="s">
        <v>97</v>
      </c>
      <c r="R952" s="2" t="s">
        <v>98</v>
      </c>
      <c r="S952" s="2" t="s">
        <v>98</v>
      </c>
      <c r="T952" s="2" t="s">
        <v>98</v>
      </c>
      <c r="U952" s="2" t="s">
        <v>117</v>
      </c>
      <c r="V952" s="2" t="s">
        <v>296</v>
      </c>
      <c r="W952" s="2" t="s">
        <v>103</v>
      </c>
      <c r="X952" s="2" t="s">
        <v>102</v>
      </c>
      <c r="Y952" s="2" t="s">
        <v>98</v>
      </c>
      <c r="Z952" s="4"/>
      <c r="AA952" s="4">
        <f>=ROUNDDOWN({0},0)</f>
      </c>
      <c r="AB952" s="5"/>
      <c r="AC952" s="2" t="s">
        <v>98</v>
      </c>
      <c r="AD952" s="4"/>
      <c r="AE952" s="4"/>
      <c r="AF952" s="6">
        <v>74</v>
      </c>
      <c r="AG952" s="6"/>
      <c r="AH952" s="7">
        <v>0</v>
      </c>
      <c r="AI952" s="4"/>
      <c r="AJ952" s="4">
        <f>=ROUNDDOWN({0},0)</f>
      </c>
      <c r="AK952" s="5"/>
      <c r="AL952" s="2" t="s">
        <v>98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 t="s">
        <v>98</v>
      </c>
      <c r="BD952" s="8" t="s">
        <v>98</v>
      </c>
      <c r="BE952" s="4" t="s">
        <v>98</v>
      </c>
      <c r="BF952" s="8" t="s">
        <v>98</v>
      </c>
      <c r="BG952" s="7" t="s">
        <v>98</v>
      </c>
      <c r="BH952" s="7" t="s">
        <v>98</v>
      </c>
      <c r="BI952" s="7"/>
      <c r="BJ952" s="4"/>
      <c r="BK952" s="8"/>
      <c r="BL952" s="2" t="s">
        <v>98</v>
      </c>
      <c r="BM952" s="7"/>
      <c r="BN952" s="7"/>
      <c r="BO952" s="4"/>
      <c r="BP952" s="8"/>
      <c r="BQ952" s="4"/>
      <c r="BR952" s="8"/>
      <c r="BS952" s="7"/>
      <c r="BT952" s="7"/>
      <c r="BU952" s="2" t="s">
        <v>1376</v>
      </c>
      <c r="BV952" s="2" t="s">
        <v>95</v>
      </c>
      <c r="BW952" s="2" t="s">
        <v>98</v>
      </c>
      <c r="BX952" s="2" t="s">
        <v>98</v>
      </c>
      <c r="BY952" s="2" t="s">
        <v>110</v>
      </c>
      <c r="BZ952" s="2" t="s">
        <v>98</v>
      </c>
    </row>
    <row r="953">
      <c r="A953" s="2" t="s">
        <v>4491</v>
      </c>
      <c r="B953" s="2" t="s">
        <v>1345</v>
      </c>
      <c r="C953" s="2" t="s">
        <v>4477</v>
      </c>
      <c r="D953" s="2" t="s">
        <v>3068</v>
      </c>
      <c r="E953" s="2" t="s">
        <v>3186</v>
      </c>
      <c r="F953" s="2" t="s">
        <v>1860</v>
      </c>
      <c r="G953" s="2" t="s">
        <v>1860</v>
      </c>
      <c r="H953" s="2" t="s">
        <v>1860</v>
      </c>
      <c r="I953" s="2" t="s">
        <v>4486</v>
      </c>
      <c r="J953" s="2" t="s">
        <v>93</v>
      </c>
      <c r="K953" s="2" t="s">
        <v>4482</v>
      </c>
      <c r="L953" s="3">
        <v>83.6</v>
      </c>
      <c r="M953" s="3">
        <v>87.78</v>
      </c>
      <c r="N953" s="3">
        <v>179</v>
      </c>
      <c r="O953" s="2" t="s">
        <v>95</v>
      </c>
      <c r="P953" s="2" t="s">
        <v>295</v>
      </c>
      <c r="Q953" s="2" t="s">
        <v>97</v>
      </c>
      <c r="R953" s="2" t="s">
        <v>98</v>
      </c>
      <c r="S953" s="2" t="s">
        <v>98</v>
      </c>
      <c r="T953" s="2" t="s">
        <v>98</v>
      </c>
      <c r="U953" s="2" t="s">
        <v>117</v>
      </c>
      <c r="V953" s="2" t="s">
        <v>296</v>
      </c>
      <c r="W953" s="2" t="s">
        <v>103</v>
      </c>
      <c r="X953" s="2" t="s">
        <v>102</v>
      </c>
      <c r="Y953" s="2" t="s">
        <v>98</v>
      </c>
      <c r="Z953" s="4"/>
      <c r="AA953" s="4">
        <f>=ROUNDDOWN({0},0)</f>
      </c>
      <c r="AB953" s="5">
        <v>4</v>
      </c>
      <c r="AC953" s="2" t="s">
        <v>1548</v>
      </c>
      <c r="AD953" s="4">
        <v>100</v>
      </c>
      <c r="AE953" s="4">
        <v>100</v>
      </c>
      <c r="AF953" s="6">
        <v>74</v>
      </c>
      <c r="AG953" s="6"/>
      <c r="AH953" s="7">
        <v>0</v>
      </c>
      <c r="AI953" s="4"/>
      <c r="AJ953" s="4">
        <f>=ROUNDDOWN({0},0)</f>
      </c>
      <c r="AK953" s="5"/>
      <c r="AL953" s="2" t="s">
        <v>98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/>
      <c r="AW953" s="8"/>
      <c r="AX953" s="4"/>
      <c r="AY953" s="8"/>
      <c r="AZ953" s="7"/>
      <c r="BA953" s="7"/>
      <c r="BB953" s="7"/>
      <c r="BC953" s="4" t="s">
        <v>98</v>
      </c>
      <c r="BD953" s="8" t="s">
        <v>98</v>
      </c>
      <c r="BE953" s="4" t="s">
        <v>98</v>
      </c>
      <c r="BF953" s="8" t="s">
        <v>98</v>
      </c>
      <c r="BG953" s="7" t="s">
        <v>98</v>
      </c>
      <c r="BH953" s="7" t="s">
        <v>98</v>
      </c>
      <c r="BI953" s="7"/>
      <c r="BJ953" s="4"/>
      <c r="BK953" s="8"/>
      <c r="BL953" s="2" t="s">
        <v>98</v>
      </c>
      <c r="BM953" s="7"/>
      <c r="BN953" s="7"/>
      <c r="BO953" s="4"/>
      <c r="BP953" s="8"/>
      <c r="BQ953" s="4"/>
      <c r="BR953" s="8"/>
      <c r="BS953" s="7"/>
      <c r="BT953" s="7"/>
      <c r="BU953" s="2" t="s">
        <v>1376</v>
      </c>
      <c r="BV953" s="2" t="s">
        <v>95</v>
      </c>
      <c r="BW953" s="2" t="s">
        <v>98</v>
      </c>
      <c r="BX953" s="2" t="s">
        <v>98</v>
      </c>
      <c r="BY953" s="2" t="s">
        <v>110</v>
      </c>
      <c r="BZ953" s="2" t="s">
        <v>98</v>
      </c>
    </row>
    <row r="954">
      <c r="A954" s="2" t="s">
        <v>4492</v>
      </c>
      <c r="B954" s="2" t="s">
        <v>1345</v>
      </c>
      <c r="C954" s="2" t="s">
        <v>4477</v>
      </c>
      <c r="D954" s="2" t="s">
        <v>3068</v>
      </c>
      <c r="E954" s="2" t="s">
        <v>3186</v>
      </c>
      <c r="F954" s="2" t="s">
        <v>1860</v>
      </c>
      <c r="G954" s="2" t="s">
        <v>1860</v>
      </c>
      <c r="H954" s="2" t="s">
        <v>1860</v>
      </c>
      <c r="I954" s="2" t="s">
        <v>4486</v>
      </c>
      <c r="J954" s="2" t="s">
        <v>93</v>
      </c>
      <c r="K954" s="2" t="s">
        <v>616</v>
      </c>
      <c r="L954" s="3">
        <v>83.6</v>
      </c>
      <c r="M954" s="3">
        <v>87.78</v>
      </c>
      <c r="N954" s="3">
        <v>179</v>
      </c>
      <c r="O954" s="2" t="s">
        <v>95</v>
      </c>
      <c r="P954" s="2" t="s">
        <v>134</v>
      </c>
      <c r="Q954" s="2" t="s">
        <v>97</v>
      </c>
      <c r="R954" s="2" t="s">
        <v>98</v>
      </c>
      <c r="S954" s="2" t="s">
        <v>98</v>
      </c>
      <c r="T954" s="2" t="s">
        <v>98</v>
      </c>
      <c r="U954" s="2" t="s">
        <v>117</v>
      </c>
      <c r="V954" s="2" t="s">
        <v>296</v>
      </c>
      <c r="W954" s="2" t="s">
        <v>103</v>
      </c>
      <c r="X954" s="2" t="s">
        <v>102</v>
      </c>
      <c r="Y954" s="2" t="s">
        <v>401</v>
      </c>
      <c r="Z954" s="4">
        <v>102</v>
      </c>
      <c r="AA954" s="4">
        <f>=ROUNDDOWN(25.5,0)</f>
      </c>
      <c r="AB954" s="5">
        <v>4</v>
      </c>
      <c r="AC954" s="2" t="s">
        <v>98</v>
      </c>
      <c r="AD954" s="4"/>
      <c r="AE954" s="4"/>
      <c r="AF954" s="6">
        <v>74</v>
      </c>
      <c r="AG954" s="6"/>
      <c r="AH954" s="7">
        <v>1</v>
      </c>
      <c r="AI954" s="4"/>
      <c r="AJ954" s="4">
        <f>=ROUNDDOWN({0},0)</f>
      </c>
      <c r="AK954" s="5"/>
      <c r="AL954" s="2" t="s">
        <v>98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/>
      <c r="AW954" s="8"/>
      <c r="AX954" s="4"/>
      <c r="AY954" s="8"/>
      <c r="AZ954" s="7"/>
      <c r="BA954" s="7"/>
      <c r="BB954" s="7"/>
      <c r="BC954" s="4" t="s">
        <v>98</v>
      </c>
      <c r="BD954" s="8" t="s">
        <v>98</v>
      </c>
      <c r="BE954" s="4" t="s">
        <v>98</v>
      </c>
      <c r="BF954" s="8" t="s">
        <v>98</v>
      </c>
      <c r="BG954" s="7" t="s">
        <v>98</v>
      </c>
      <c r="BH954" s="7" t="s">
        <v>98</v>
      </c>
      <c r="BI954" s="7"/>
      <c r="BJ954" s="4"/>
      <c r="BK954" s="8"/>
      <c r="BL954" s="2" t="s">
        <v>98</v>
      </c>
      <c r="BM954" s="7"/>
      <c r="BN954" s="7"/>
      <c r="BO954" s="4"/>
      <c r="BP954" s="8"/>
      <c r="BQ954" s="4"/>
      <c r="BR954" s="8"/>
      <c r="BS954" s="7"/>
      <c r="BT954" s="7"/>
      <c r="BU954" s="2" t="s">
        <v>1376</v>
      </c>
      <c r="BV954" s="2" t="s">
        <v>95</v>
      </c>
      <c r="BW954" s="2" t="s">
        <v>98</v>
      </c>
      <c r="BX954" s="2" t="s">
        <v>98</v>
      </c>
      <c r="BY954" s="2" t="s">
        <v>110</v>
      </c>
      <c r="BZ954" s="2" t="s">
        <v>98</v>
      </c>
    </row>
    <row r="955">
      <c r="A955" s="2" t="s">
        <v>4493</v>
      </c>
      <c r="B955" s="2" t="s">
        <v>1345</v>
      </c>
      <c r="C955" s="2" t="s">
        <v>4477</v>
      </c>
      <c r="D955" s="2" t="s">
        <v>3068</v>
      </c>
      <c r="E955" s="2" t="s">
        <v>3186</v>
      </c>
      <c r="F955" s="2" t="s">
        <v>3372</v>
      </c>
      <c r="G955" s="2" t="s">
        <v>3372</v>
      </c>
      <c r="H955" s="2" t="s">
        <v>3372</v>
      </c>
      <c r="I955" s="2" t="s">
        <v>4494</v>
      </c>
      <c r="J955" s="2" t="s">
        <v>93</v>
      </c>
      <c r="K955" s="2" t="s">
        <v>1262</v>
      </c>
      <c r="L955" s="3">
        <v>64.69</v>
      </c>
      <c r="M955" s="3">
        <v>67.92</v>
      </c>
      <c r="N955" s="3">
        <v>129.99</v>
      </c>
      <c r="O955" s="2" t="s">
        <v>155</v>
      </c>
      <c r="P955" s="2" t="s">
        <v>115</v>
      </c>
      <c r="Q955" s="2" t="s">
        <v>97</v>
      </c>
      <c r="R955" s="2" t="s">
        <v>98</v>
      </c>
      <c r="S955" s="2" t="s">
        <v>98</v>
      </c>
      <c r="T955" s="2" t="s">
        <v>98</v>
      </c>
      <c r="U955" s="2" t="s">
        <v>98</v>
      </c>
      <c r="V955" s="2" t="s">
        <v>296</v>
      </c>
      <c r="W955" s="2" t="s">
        <v>103</v>
      </c>
      <c r="X955" s="2" t="s">
        <v>98</v>
      </c>
      <c r="Y955" s="2" t="s">
        <v>2434</v>
      </c>
      <c r="Z955" s="4">
        <v>181</v>
      </c>
      <c r="AA955" s="4">
        <f>=ROUNDDOWN(181,0)</f>
      </c>
      <c r="AB955" s="5">
        <v>1</v>
      </c>
      <c r="AC955" s="2" t="s">
        <v>98</v>
      </c>
      <c r="AD955" s="4"/>
      <c r="AE955" s="4"/>
      <c r="AF955" s="6">
        <v>75</v>
      </c>
      <c r="AG955" s="6"/>
      <c r="AH955" s="7">
        <v>1</v>
      </c>
      <c r="AI955" s="4"/>
      <c r="AJ955" s="4">
        <f>=ROUNDDOWN({0},0)</f>
      </c>
      <c r="AK955" s="5"/>
      <c r="AL955" s="2" t="s">
        <v>98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/>
      <c r="BD955" s="8"/>
      <c r="BE955" s="4"/>
      <c r="BF955" s="8"/>
      <c r="BG955" s="7"/>
      <c r="BH955" s="7"/>
      <c r="BI955" s="7"/>
      <c r="BJ955" s="4">
        <v>6</v>
      </c>
      <c r="BK955" s="8">
        <v>203.76</v>
      </c>
      <c r="BL955" s="2" t="s">
        <v>4495</v>
      </c>
      <c r="BM955" s="7"/>
      <c r="BN955" s="7"/>
      <c r="BO955" s="4"/>
      <c r="BP955" s="8"/>
      <c r="BQ955" s="4"/>
      <c r="BR955" s="8"/>
      <c r="BS955" s="7"/>
      <c r="BT955" s="7"/>
      <c r="BU955" s="2" t="s">
        <v>1376</v>
      </c>
      <c r="BV955" s="2" t="s">
        <v>95</v>
      </c>
      <c r="BW955" s="2" t="s">
        <v>98</v>
      </c>
      <c r="BX955" s="2" t="s">
        <v>98</v>
      </c>
      <c r="BY955" s="2" t="s">
        <v>110</v>
      </c>
      <c r="BZ955" s="2" t="s">
        <v>98</v>
      </c>
    </row>
    <row r="956">
      <c r="A956" s="2" t="s">
        <v>4496</v>
      </c>
      <c r="B956" s="2" t="s">
        <v>1345</v>
      </c>
      <c r="C956" s="2" t="s">
        <v>4477</v>
      </c>
      <c r="D956" s="2" t="s">
        <v>3068</v>
      </c>
      <c r="E956" s="2" t="s">
        <v>3186</v>
      </c>
      <c r="F956" s="2" t="s">
        <v>4497</v>
      </c>
      <c r="G956" s="2" t="s">
        <v>4497</v>
      </c>
      <c r="H956" s="2" t="s">
        <v>4497</v>
      </c>
      <c r="I956" s="2" t="s">
        <v>4498</v>
      </c>
      <c r="J956" s="2" t="s">
        <v>93</v>
      </c>
      <c r="K956" s="2" t="s">
        <v>1262</v>
      </c>
      <c r="L956" s="3">
        <v>84.39</v>
      </c>
      <c r="M956" s="3">
        <v>88.61</v>
      </c>
      <c r="N956" s="3">
        <v>169.99</v>
      </c>
      <c r="O956" s="2" t="s">
        <v>155</v>
      </c>
      <c r="P956" s="2" t="s">
        <v>115</v>
      </c>
      <c r="Q956" s="2" t="s">
        <v>97</v>
      </c>
      <c r="R956" s="2" t="s">
        <v>98</v>
      </c>
      <c r="S956" s="2" t="s">
        <v>98</v>
      </c>
      <c r="T956" s="2" t="s">
        <v>98</v>
      </c>
      <c r="U956" s="2" t="s">
        <v>117</v>
      </c>
      <c r="V956" s="2" t="s">
        <v>296</v>
      </c>
      <c r="W956" s="2" t="s">
        <v>103</v>
      </c>
      <c r="X956" s="2" t="s">
        <v>98</v>
      </c>
      <c r="Y956" s="2" t="s">
        <v>4499</v>
      </c>
      <c r="Z956" s="4">
        <v>33</v>
      </c>
      <c r="AA956" s="4">
        <f>=ROUNDDOWN(16.5,0)</f>
      </c>
      <c r="AB956" s="5">
        <v>2</v>
      </c>
      <c r="AC956" s="2" t="s">
        <v>98</v>
      </c>
      <c r="AD956" s="4"/>
      <c r="AE956" s="4"/>
      <c r="AF956" s="6">
        <v>75</v>
      </c>
      <c r="AG956" s="6"/>
      <c r="AH956" s="7">
        <v>1</v>
      </c>
      <c r="AI956" s="4"/>
      <c r="AJ956" s="4">
        <f>=ROUNDDOWN({0},0)</f>
      </c>
      <c r="AK956" s="5"/>
      <c r="AL956" s="2" t="s">
        <v>98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/>
      <c r="AW956" s="8"/>
      <c r="AX956" s="4"/>
      <c r="AY956" s="8"/>
      <c r="AZ956" s="7"/>
      <c r="BA956" s="7"/>
      <c r="BB956" s="7"/>
      <c r="BC956" s="4"/>
      <c r="BD956" s="8"/>
      <c r="BE956" s="4"/>
      <c r="BF956" s="8"/>
      <c r="BG956" s="7"/>
      <c r="BH956" s="7"/>
      <c r="BI956" s="7"/>
      <c r="BJ956" s="4"/>
      <c r="BK956" s="8"/>
      <c r="BL956" s="2" t="s">
        <v>98</v>
      </c>
      <c r="BM956" s="7"/>
      <c r="BN956" s="7"/>
      <c r="BO956" s="4"/>
      <c r="BP956" s="8"/>
      <c r="BQ956" s="4"/>
      <c r="BR956" s="8"/>
      <c r="BS956" s="7"/>
      <c r="BT956" s="7"/>
      <c r="BU956" s="2" t="s">
        <v>1376</v>
      </c>
      <c r="BV956" s="2" t="s">
        <v>1355</v>
      </c>
      <c r="BW956" s="2" t="s">
        <v>98</v>
      </c>
      <c r="BX956" s="2" t="s">
        <v>98</v>
      </c>
      <c r="BY956" s="2" t="s">
        <v>110</v>
      </c>
      <c r="BZ956" s="2" t="s">
        <v>98</v>
      </c>
    </row>
    <row r="957">
      <c r="A957" s="2" t="s">
        <v>4500</v>
      </c>
      <c r="B957" s="2" t="s">
        <v>1345</v>
      </c>
      <c r="C957" s="2" t="s">
        <v>4477</v>
      </c>
      <c r="D957" s="2" t="s">
        <v>1346</v>
      </c>
      <c r="E957" s="2" t="s">
        <v>1876</v>
      </c>
      <c r="F957" s="2" t="s">
        <v>4501</v>
      </c>
      <c r="G957" s="2" t="s">
        <v>4501</v>
      </c>
      <c r="H957" s="2" t="s">
        <v>4501</v>
      </c>
      <c r="I957" s="2" t="s">
        <v>4502</v>
      </c>
      <c r="J957" s="2" t="s">
        <v>93</v>
      </c>
      <c r="K957" s="2" t="s">
        <v>514</v>
      </c>
      <c r="L957" s="3">
        <v>112.1</v>
      </c>
      <c r="M957" s="3">
        <v>117.7</v>
      </c>
      <c r="N957" s="3">
        <v>239</v>
      </c>
      <c r="O957" s="2" t="s">
        <v>95</v>
      </c>
      <c r="P957" s="2" t="s">
        <v>115</v>
      </c>
      <c r="Q957" s="2" t="s">
        <v>97</v>
      </c>
      <c r="R957" s="2" t="s">
        <v>98</v>
      </c>
      <c r="S957" s="2" t="s">
        <v>98</v>
      </c>
      <c r="T957" s="2" t="s">
        <v>98</v>
      </c>
      <c r="U957" s="2" t="s">
        <v>117</v>
      </c>
      <c r="V957" s="2" t="s">
        <v>296</v>
      </c>
      <c r="W957" s="2" t="s">
        <v>103</v>
      </c>
      <c r="X957" s="2" t="s">
        <v>102</v>
      </c>
      <c r="Y957" s="2" t="s">
        <v>4503</v>
      </c>
      <c r="Z957" s="4">
        <v>5</v>
      </c>
      <c r="AA957" s="4">
        <f>=ROUNDDOWN(1.25,0)</f>
      </c>
      <c r="AB957" s="5">
        <v>4</v>
      </c>
      <c r="AC957" s="2" t="s">
        <v>98</v>
      </c>
      <c r="AD957" s="4"/>
      <c r="AE957" s="4"/>
      <c r="AF957" s="6">
        <v>74</v>
      </c>
      <c r="AG957" s="6"/>
      <c r="AH957" s="7">
        <v>1</v>
      </c>
      <c r="AI957" s="4"/>
      <c r="AJ957" s="4">
        <f>=ROUNDDOWN({0},0)</f>
      </c>
      <c r="AK957" s="5"/>
      <c r="AL957" s="2" t="s">
        <v>98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/>
      <c r="AW957" s="8"/>
      <c r="AX957" s="4"/>
      <c r="AY957" s="8"/>
      <c r="AZ957" s="7"/>
      <c r="BA957" s="7"/>
      <c r="BB957" s="7"/>
      <c r="BC957" s="4" t="s">
        <v>98</v>
      </c>
      <c r="BD957" s="8" t="s">
        <v>98</v>
      </c>
      <c r="BE957" s="4" t="s">
        <v>98</v>
      </c>
      <c r="BF957" s="8" t="s">
        <v>98</v>
      </c>
      <c r="BG957" s="7" t="s">
        <v>98</v>
      </c>
      <c r="BH957" s="7" t="s">
        <v>98</v>
      </c>
      <c r="BI957" s="7"/>
      <c r="BJ957" s="4"/>
      <c r="BK957" s="8"/>
      <c r="BL957" s="2" t="s">
        <v>98</v>
      </c>
      <c r="BM957" s="7"/>
      <c r="BN957" s="7"/>
      <c r="BO957" s="4"/>
      <c r="BP957" s="8"/>
      <c r="BQ957" s="4"/>
      <c r="BR957" s="8"/>
      <c r="BS957" s="7"/>
      <c r="BT957" s="7"/>
      <c r="BU957" s="2" t="s">
        <v>1376</v>
      </c>
      <c r="BV957" s="2" t="s">
        <v>95</v>
      </c>
      <c r="BW957" s="2" t="s">
        <v>98</v>
      </c>
      <c r="BX957" s="2" t="s">
        <v>98</v>
      </c>
      <c r="BY957" s="2" t="s">
        <v>110</v>
      </c>
      <c r="BZ957" s="2" t="s">
        <v>98</v>
      </c>
    </row>
    <row r="958">
      <c r="A958" s="2" t="s">
        <v>4504</v>
      </c>
      <c r="B958" s="2" t="s">
        <v>1345</v>
      </c>
      <c r="C958" s="2" t="s">
        <v>4477</v>
      </c>
      <c r="D958" s="2" t="s">
        <v>1346</v>
      </c>
      <c r="E958" s="2" t="s">
        <v>1876</v>
      </c>
      <c r="F958" s="2" t="s">
        <v>4501</v>
      </c>
      <c r="G958" s="2" t="s">
        <v>4501</v>
      </c>
      <c r="H958" s="2" t="s">
        <v>4501</v>
      </c>
      <c r="I958" s="2" t="s">
        <v>4502</v>
      </c>
      <c r="J958" s="2" t="s">
        <v>93</v>
      </c>
      <c r="K958" s="2" t="s">
        <v>1439</v>
      </c>
      <c r="L958" s="3">
        <v>112.1</v>
      </c>
      <c r="M958" s="3">
        <v>117.7</v>
      </c>
      <c r="N958" s="3">
        <v>239</v>
      </c>
      <c r="O958" s="2" t="s">
        <v>95</v>
      </c>
      <c r="P958" s="2" t="s">
        <v>295</v>
      </c>
      <c r="Q958" s="2" t="s">
        <v>97</v>
      </c>
      <c r="R958" s="2" t="s">
        <v>98</v>
      </c>
      <c r="S958" s="2" t="s">
        <v>98</v>
      </c>
      <c r="T958" s="2" t="s">
        <v>98</v>
      </c>
      <c r="U958" s="2" t="s">
        <v>117</v>
      </c>
      <c r="V958" s="2" t="s">
        <v>296</v>
      </c>
      <c r="W958" s="2" t="s">
        <v>103</v>
      </c>
      <c r="X958" s="2" t="s">
        <v>102</v>
      </c>
      <c r="Y958" s="2" t="s">
        <v>98</v>
      </c>
      <c r="Z958" s="4"/>
      <c r="AA958" s="4">
        <f>=ROUNDDOWN({0},0)</f>
      </c>
      <c r="AB958" s="5">
        <v>4</v>
      </c>
      <c r="AC958" s="2" t="s">
        <v>3300</v>
      </c>
      <c r="AD958" s="4">
        <v>100</v>
      </c>
      <c r="AE958" s="4">
        <v>100</v>
      </c>
      <c r="AF958" s="6">
        <v>74</v>
      </c>
      <c r="AG958" s="6"/>
      <c r="AH958" s="7">
        <v>0</v>
      </c>
      <c r="AI958" s="4"/>
      <c r="AJ958" s="4">
        <f>=ROUNDDOWN({0},0)</f>
      </c>
      <c r="AK958" s="5"/>
      <c r="AL958" s="2" t="s">
        <v>98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 t="s">
        <v>98</v>
      </c>
      <c r="BD958" s="8" t="s">
        <v>98</v>
      </c>
      <c r="BE958" s="4" t="s">
        <v>98</v>
      </c>
      <c r="BF958" s="8" t="s">
        <v>98</v>
      </c>
      <c r="BG958" s="7" t="s">
        <v>98</v>
      </c>
      <c r="BH958" s="7" t="s">
        <v>98</v>
      </c>
      <c r="BI958" s="7"/>
      <c r="BJ958" s="4"/>
      <c r="BK958" s="8"/>
      <c r="BL958" s="2" t="s">
        <v>98</v>
      </c>
      <c r="BM958" s="7"/>
      <c r="BN958" s="7"/>
      <c r="BO958" s="4"/>
      <c r="BP958" s="8"/>
      <c r="BQ958" s="4"/>
      <c r="BR958" s="8"/>
      <c r="BS958" s="7"/>
      <c r="BT958" s="7"/>
      <c r="BU958" s="2" t="s">
        <v>1376</v>
      </c>
      <c r="BV958" s="2" t="s">
        <v>95</v>
      </c>
      <c r="BW958" s="2" t="s">
        <v>98</v>
      </c>
      <c r="BX958" s="2" t="s">
        <v>98</v>
      </c>
      <c r="BY958" s="2" t="s">
        <v>110</v>
      </c>
      <c r="BZ958" s="2" t="s">
        <v>98</v>
      </c>
    </row>
    <row r="959">
      <c r="A959" s="2" t="s">
        <v>4505</v>
      </c>
      <c r="B959" s="2" t="s">
        <v>1345</v>
      </c>
      <c r="C959" s="2" t="s">
        <v>4477</v>
      </c>
      <c r="D959" s="2" t="s">
        <v>1346</v>
      </c>
      <c r="E959" s="2" t="s">
        <v>1876</v>
      </c>
      <c r="F959" s="2" t="s">
        <v>4501</v>
      </c>
      <c r="G959" s="2" t="s">
        <v>4501</v>
      </c>
      <c r="H959" s="2" t="s">
        <v>4501</v>
      </c>
      <c r="I959" s="2" t="s">
        <v>4502</v>
      </c>
      <c r="J959" s="2" t="s">
        <v>93</v>
      </c>
      <c r="K959" s="2" t="s">
        <v>4506</v>
      </c>
      <c r="L959" s="3">
        <v>112.1</v>
      </c>
      <c r="M959" s="3">
        <v>117.7</v>
      </c>
      <c r="N959" s="3">
        <v>239</v>
      </c>
      <c r="O959" s="2" t="s">
        <v>95</v>
      </c>
      <c r="P959" s="2" t="s">
        <v>295</v>
      </c>
      <c r="Q959" s="2" t="s">
        <v>97</v>
      </c>
      <c r="R959" s="2" t="s">
        <v>98</v>
      </c>
      <c r="S959" s="2" t="s">
        <v>98</v>
      </c>
      <c r="T959" s="2" t="s">
        <v>98</v>
      </c>
      <c r="U959" s="2" t="s">
        <v>117</v>
      </c>
      <c r="V959" s="2" t="s">
        <v>296</v>
      </c>
      <c r="W959" s="2" t="s">
        <v>103</v>
      </c>
      <c r="X959" s="2" t="s">
        <v>102</v>
      </c>
      <c r="Y959" s="2" t="s">
        <v>98</v>
      </c>
      <c r="Z959" s="4"/>
      <c r="AA959" s="4">
        <f>=ROUNDDOWN({0},0)</f>
      </c>
      <c r="AB959" s="5">
        <v>6</v>
      </c>
      <c r="AC959" s="2" t="s">
        <v>1834</v>
      </c>
      <c r="AD959" s="4">
        <v>100</v>
      </c>
      <c r="AE959" s="4">
        <v>200</v>
      </c>
      <c r="AF959" s="6">
        <v>74</v>
      </c>
      <c r="AG959" s="6"/>
      <c r="AH959" s="7">
        <v>0</v>
      </c>
      <c r="AI959" s="4"/>
      <c r="AJ959" s="4">
        <f>=ROUNDDOWN({0},0)</f>
      </c>
      <c r="AK959" s="5"/>
      <c r="AL959" s="2" t="s">
        <v>98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 t="s">
        <v>98</v>
      </c>
      <c r="BD959" s="8" t="s">
        <v>98</v>
      </c>
      <c r="BE959" s="4" t="s">
        <v>98</v>
      </c>
      <c r="BF959" s="8" t="s">
        <v>98</v>
      </c>
      <c r="BG959" s="7" t="s">
        <v>98</v>
      </c>
      <c r="BH959" s="7" t="s">
        <v>98</v>
      </c>
      <c r="BI959" s="7"/>
      <c r="BJ959" s="4"/>
      <c r="BK959" s="8"/>
      <c r="BL959" s="2" t="s">
        <v>98</v>
      </c>
      <c r="BM959" s="7"/>
      <c r="BN959" s="7"/>
      <c r="BO959" s="4"/>
      <c r="BP959" s="8"/>
      <c r="BQ959" s="4"/>
      <c r="BR959" s="8"/>
      <c r="BS959" s="7"/>
      <c r="BT959" s="7"/>
      <c r="BU959" s="2" t="s">
        <v>1376</v>
      </c>
      <c r="BV959" s="2" t="s">
        <v>95</v>
      </c>
      <c r="BW959" s="2" t="s">
        <v>98</v>
      </c>
      <c r="BX959" s="2" t="s">
        <v>98</v>
      </c>
      <c r="BY959" s="2" t="s">
        <v>110</v>
      </c>
      <c r="BZ959" s="2" t="s">
        <v>98</v>
      </c>
    </row>
    <row r="960">
      <c r="A960" s="2" t="s">
        <v>4507</v>
      </c>
      <c r="B960" s="2" t="s">
        <v>1345</v>
      </c>
      <c r="C960" s="2" t="s">
        <v>4477</v>
      </c>
      <c r="D960" s="2" t="s">
        <v>1346</v>
      </c>
      <c r="E960" s="2" t="s">
        <v>1876</v>
      </c>
      <c r="F960" s="2" t="s">
        <v>4501</v>
      </c>
      <c r="G960" s="2" t="s">
        <v>4501</v>
      </c>
      <c r="H960" s="2" t="s">
        <v>4501</v>
      </c>
      <c r="I960" s="2" t="s">
        <v>4502</v>
      </c>
      <c r="J960" s="2" t="s">
        <v>93</v>
      </c>
      <c r="K960" s="2" t="s">
        <v>133</v>
      </c>
      <c r="L960" s="3">
        <v>112.1</v>
      </c>
      <c r="M960" s="3">
        <v>117.7</v>
      </c>
      <c r="N960" s="3">
        <v>239</v>
      </c>
      <c r="O960" s="2" t="s">
        <v>95</v>
      </c>
      <c r="P960" s="2" t="s">
        <v>295</v>
      </c>
      <c r="Q960" s="2" t="s">
        <v>97</v>
      </c>
      <c r="R960" s="2" t="s">
        <v>98</v>
      </c>
      <c r="S960" s="2" t="s">
        <v>98</v>
      </c>
      <c r="T960" s="2" t="s">
        <v>98</v>
      </c>
      <c r="U960" s="2" t="s">
        <v>117</v>
      </c>
      <c r="V960" s="2" t="s">
        <v>296</v>
      </c>
      <c r="W960" s="2" t="s">
        <v>103</v>
      </c>
      <c r="X960" s="2" t="s">
        <v>102</v>
      </c>
      <c r="Y960" s="2" t="s">
        <v>4503</v>
      </c>
      <c r="Z960" s="4">
        <v>16</v>
      </c>
      <c r="AA960" s="4">
        <f>=ROUNDDOWN(8,0)</f>
      </c>
      <c r="AB960" s="5">
        <v>2</v>
      </c>
      <c r="AC960" s="2" t="s">
        <v>1353</v>
      </c>
      <c r="AD960" s="4">
        <v>28</v>
      </c>
      <c r="AE960" s="4">
        <v>28</v>
      </c>
      <c r="AF960" s="6">
        <v>74</v>
      </c>
      <c r="AG960" s="6"/>
      <c r="AH960" s="7">
        <v>1</v>
      </c>
      <c r="AI960" s="4"/>
      <c r="AJ960" s="4">
        <f>=ROUNDDOWN({0},0)</f>
      </c>
      <c r="AK960" s="5"/>
      <c r="AL960" s="2" t="s">
        <v>98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 t="s">
        <v>98</v>
      </c>
      <c r="BD960" s="8" t="s">
        <v>98</v>
      </c>
      <c r="BE960" s="4" t="s">
        <v>98</v>
      </c>
      <c r="BF960" s="8" t="s">
        <v>98</v>
      </c>
      <c r="BG960" s="7" t="s">
        <v>98</v>
      </c>
      <c r="BH960" s="7" t="s">
        <v>98</v>
      </c>
      <c r="BI960" s="7"/>
      <c r="BJ960" s="4">
        <v>1</v>
      </c>
      <c r="BK960" s="8">
        <v>121.24</v>
      </c>
      <c r="BL960" s="2" t="s">
        <v>895</v>
      </c>
      <c r="BM960" s="7"/>
      <c r="BN960" s="7"/>
      <c r="BO960" s="4"/>
      <c r="BP960" s="8"/>
      <c r="BQ960" s="4"/>
      <c r="BR960" s="8"/>
      <c r="BS960" s="7"/>
      <c r="BT960" s="7"/>
      <c r="BU960" s="2" t="s">
        <v>1376</v>
      </c>
      <c r="BV960" s="2" t="s">
        <v>95</v>
      </c>
      <c r="BW960" s="2" t="s">
        <v>98</v>
      </c>
      <c r="BX960" s="2" t="s">
        <v>98</v>
      </c>
      <c r="BY960" s="2" t="s">
        <v>110</v>
      </c>
      <c r="BZ960" s="2" t="s">
        <v>98</v>
      </c>
    </row>
    <row r="961">
      <c r="A961" s="2" t="s">
        <v>4508</v>
      </c>
      <c r="B961" s="2" t="s">
        <v>1345</v>
      </c>
      <c r="C961" s="2" t="s">
        <v>4477</v>
      </c>
      <c r="D961" s="2" t="s">
        <v>1346</v>
      </c>
      <c r="E961" s="2" t="s">
        <v>1876</v>
      </c>
      <c r="F961" s="2" t="s">
        <v>4501</v>
      </c>
      <c r="G961" s="2" t="s">
        <v>4501</v>
      </c>
      <c r="H961" s="2" t="s">
        <v>4501</v>
      </c>
      <c r="I961" s="2" t="s">
        <v>4502</v>
      </c>
      <c r="J961" s="2" t="s">
        <v>93</v>
      </c>
      <c r="K961" s="2" t="s">
        <v>4509</v>
      </c>
      <c r="L961" s="3">
        <v>112.1</v>
      </c>
      <c r="M961" s="3">
        <v>117.7</v>
      </c>
      <c r="N961" s="3">
        <v>239</v>
      </c>
      <c r="O961" s="2" t="s">
        <v>95</v>
      </c>
      <c r="P961" s="2" t="s">
        <v>295</v>
      </c>
      <c r="Q961" s="2" t="s">
        <v>97</v>
      </c>
      <c r="R961" s="2" t="s">
        <v>98</v>
      </c>
      <c r="S961" s="2" t="s">
        <v>98</v>
      </c>
      <c r="T961" s="2" t="s">
        <v>98</v>
      </c>
      <c r="U961" s="2" t="s">
        <v>117</v>
      </c>
      <c r="V961" s="2" t="s">
        <v>296</v>
      </c>
      <c r="W961" s="2" t="s">
        <v>103</v>
      </c>
      <c r="X961" s="2" t="s">
        <v>102</v>
      </c>
      <c r="Y961" s="2" t="s">
        <v>98</v>
      </c>
      <c r="Z961" s="4"/>
      <c r="AA961" s="4">
        <f>=ROUNDDOWN({0},0)</f>
      </c>
      <c r="AB961" s="5">
        <v>2</v>
      </c>
      <c r="AC961" s="2" t="s">
        <v>1353</v>
      </c>
      <c r="AD961" s="4">
        <v>76</v>
      </c>
      <c r="AE961" s="4">
        <v>80</v>
      </c>
      <c r="AF961" s="6">
        <v>74</v>
      </c>
      <c r="AG961" s="6"/>
      <c r="AH961" s="7">
        <v>0</v>
      </c>
      <c r="AI961" s="4"/>
      <c r="AJ961" s="4">
        <f>=ROUNDDOWN({0},0)</f>
      </c>
      <c r="AK961" s="5"/>
      <c r="AL961" s="2" t="s">
        <v>98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 t="s">
        <v>98</v>
      </c>
      <c r="BD961" s="8" t="s">
        <v>98</v>
      </c>
      <c r="BE961" s="4" t="s">
        <v>98</v>
      </c>
      <c r="BF961" s="8" t="s">
        <v>98</v>
      </c>
      <c r="BG961" s="7" t="s">
        <v>98</v>
      </c>
      <c r="BH961" s="7" t="s">
        <v>98</v>
      </c>
      <c r="BI961" s="7"/>
      <c r="BJ961" s="4"/>
      <c r="BK961" s="8"/>
      <c r="BL961" s="2" t="s">
        <v>98</v>
      </c>
      <c r="BM961" s="7"/>
      <c r="BN961" s="7"/>
      <c r="BO961" s="4"/>
      <c r="BP961" s="8"/>
      <c r="BQ961" s="4"/>
      <c r="BR961" s="8"/>
      <c r="BS961" s="7"/>
      <c r="BT961" s="7"/>
      <c r="BU961" s="2" t="s">
        <v>1376</v>
      </c>
      <c r="BV961" s="2" t="s">
        <v>95</v>
      </c>
      <c r="BW961" s="2" t="s">
        <v>98</v>
      </c>
      <c r="BX961" s="2" t="s">
        <v>98</v>
      </c>
      <c r="BY961" s="2" t="s">
        <v>110</v>
      </c>
      <c r="BZ961" s="2" t="s">
        <v>98</v>
      </c>
    </row>
    <row r="962">
      <c r="A962" s="2" t="s">
        <v>4510</v>
      </c>
      <c r="B962" s="2" t="s">
        <v>1345</v>
      </c>
      <c r="C962" s="2" t="s">
        <v>4477</v>
      </c>
      <c r="D962" s="2" t="s">
        <v>1346</v>
      </c>
      <c r="E962" s="2" t="s">
        <v>1876</v>
      </c>
      <c r="F962" s="2" t="s">
        <v>4501</v>
      </c>
      <c r="G962" s="2" t="s">
        <v>4501</v>
      </c>
      <c r="H962" s="2" t="s">
        <v>4501</v>
      </c>
      <c r="I962" s="2" t="s">
        <v>4502</v>
      </c>
      <c r="J962" s="2" t="s">
        <v>93</v>
      </c>
      <c r="K962" s="2" t="s">
        <v>4511</v>
      </c>
      <c r="L962" s="3">
        <v>112.1</v>
      </c>
      <c r="M962" s="3">
        <v>117.7</v>
      </c>
      <c r="N962" s="3">
        <v>239</v>
      </c>
      <c r="O962" s="2" t="s">
        <v>95</v>
      </c>
      <c r="P962" s="2" t="s">
        <v>115</v>
      </c>
      <c r="Q962" s="2" t="s">
        <v>97</v>
      </c>
      <c r="R962" s="2" t="s">
        <v>98</v>
      </c>
      <c r="S962" s="2" t="s">
        <v>98</v>
      </c>
      <c r="T962" s="2" t="s">
        <v>98</v>
      </c>
      <c r="U962" s="2" t="s">
        <v>117</v>
      </c>
      <c r="V962" s="2" t="s">
        <v>296</v>
      </c>
      <c r="W962" s="2" t="s">
        <v>103</v>
      </c>
      <c r="X962" s="2" t="s">
        <v>102</v>
      </c>
      <c r="Y962" s="2" t="s">
        <v>4503</v>
      </c>
      <c r="Z962" s="4">
        <v>1</v>
      </c>
      <c r="AA962" s="4">
        <f>=ROUNDDOWN(0.166666666666667,0)</f>
      </c>
      <c r="AB962" s="5">
        <v>6</v>
      </c>
      <c r="AC962" s="2" t="s">
        <v>98</v>
      </c>
      <c r="AD962" s="4"/>
      <c r="AE962" s="4"/>
      <c r="AF962" s="6">
        <v>74</v>
      </c>
      <c r="AG962" s="6"/>
      <c r="AH962" s="7">
        <v>1</v>
      </c>
      <c r="AI962" s="4"/>
      <c r="AJ962" s="4">
        <f>=ROUNDDOWN({0},0)</f>
      </c>
      <c r="AK962" s="5"/>
      <c r="AL962" s="2" t="s">
        <v>98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 t="s">
        <v>98</v>
      </c>
      <c r="BD962" s="8" t="s">
        <v>98</v>
      </c>
      <c r="BE962" s="4" t="s">
        <v>98</v>
      </c>
      <c r="BF962" s="8" t="s">
        <v>98</v>
      </c>
      <c r="BG962" s="7" t="s">
        <v>98</v>
      </c>
      <c r="BH962" s="7" t="s">
        <v>98</v>
      </c>
      <c r="BI962" s="7"/>
      <c r="BJ962" s="4">
        <v>2</v>
      </c>
      <c r="BK962" s="8">
        <v>190.7</v>
      </c>
      <c r="BL962" s="2" t="s">
        <v>4512</v>
      </c>
      <c r="BM962" s="7"/>
      <c r="BN962" s="7"/>
      <c r="BO962" s="4"/>
      <c r="BP962" s="8"/>
      <c r="BQ962" s="4"/>
      <c r="BR962" s="8"/>
      <c r="BS962" s="7"/>
      <c r="BT962" s="7"/>
      <c r="BU962" s="2" t="s">
        <v>1376</v>
      </c>
      <c r="BV962" s="2" t="s">
        <v>95</v>
      </c>
      <c r="BW962" s="2" t="s">
        <v>98</v>
      </c>
      <c r="BX962" s="2" t="s">
        <v>98</v>
      </c>
      <c r="BY962" s="2" t="s">
        <v>110</v>
      </c>
      <c r="BZ962" s="2" t="s">
        <v>98</v>
      </c>
    </row>
    <row r="963">
      <c r="A963" s="2" t="s">
        <v>4513</v>
      </c>
      <c r="B963" s="2" t="s">
        <v>1345</v>
      </c>
      <c r="C963" s="2" t="s">
        <v>4477</v>
      </c>
      <c r="D963" s="2" t="s">
        <v>1346</v>
      </c>
      <c r="E963" s="2" t="s">
        <v>1876</v>
      </c>
      <c r="F963" s="2" t="s">
        <v>4514</v>
      </c>
      <c r="G963" s="2" t="s">
        <v>4514</v>
      </c>
      <c r="H963" s="2" t="s">
        <v>4514</v>
      </c>
      <c r="I963" s="2" t="s">
        <v>4515</v>
      </c>
      <c r="J963" s="2" t="s">
        <v>93</v>
      </c>
      <c r="K963" s="2" t="s">
        <v>133</v>
      </c>
      <c r="L963" s="3">
        <v>115.9</v>
      </c>
      <c r="M963" s="3">
        <v>121.7</v>
      </c>
      <c r="N963" s="3">
        <v>239</v>
      </c>
      <c r="O963" s="2" t="s">
        <v>95</v>
      </c>
      <c r="P963" s="2" t="s">
        <v>295</v>
      </c>
      <c r="Q963" s="2" t="s">
        <v>97</v>
      </c>
      <c r="R963" s="2" t="s">
        <v>98</v>
      </c>
      <c r="S963" s="2" t="s">
        <v>98</v>
      </c>
      <c r="T963" s="2" t="s">
        <v>98</v>
      </c>
      <c r="U963" s="2" t="s">
        <v>117</v>
      </c>
      <c r="V963" s="2" t="s">
        <v>296</v>
      </c>
      <c r="W963" s="2" t="s">
        <v>103</v>
      </c>
      <c r="X963" s="2" t="s">
        <v>314</v>
      </c>
      <c r="Y963" s="2" t="s">
        <v>401</v>
      </c>
      <c r="Z963" s="4">
        <v>90</v>
      </c>
      <c r="AA963" s="4">
        <f>=ROUNDDOWN(45,0)</f>
      </c>
      <c r="AB963" s="5">
        <v>2</v>
      </c>
      <c r="AC963" s="2" t="s">
        <v>98</v>
      </c>
      <c r="AD963" s="4"/>
      <c r="AE963" s="4"/>
      <c r="AF963" s="6">
        <v>74</v>
      </c>
      <c r="AG963" s="6"/>
      <c r="AH963" s="7">
        <v>1</v>
      </c>
      <c r="AI963" s="4"/>
      <c r="AJ963" s="4">
        <f>=ROUNDDOWN({0},0)</f>
      </c>
      <c r="AK963" s="5"/>
      <c r="AL963" s="2" t="s">
        <v>98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 t="s">
        <v>98</v>
      </c>
      <c r="BD963" s="8" t="s">
        <v>98</v>
      </c>
      <c r="BE963" s="4" t="s">
        <v>98</v>
      </c>
      <c r="BF963" s="8" t="s">
        <v>98</v>
      </c>
      <c r="BG963" s="7" t="s">
        <v>98</v>
      </c>
      <c r="BH963" s="7" t="s">
        <v>98</v>
      </c>
      <c r="BI963" s="7"/>
      <c r="BJ963" s="4"/>
      <c r="BK963" s="8"/>
      <c r="BL963" s="2" t="s">
        <v>98</v>
      </c>
      <c r="BM963" s="7"/>
      <c r="BN963" s="7"/>
      <c r="BO963" s="4"/>
      <c r="BP963" s="8"/>
      <c r="BQ963" s="4"/>
      <c r="BR963" s="8"/>
      <c r="BS963" s="7"/>
      <c r="BT963" s="7"/>
      <c r="BU963" s="2" t="s">
        <v>1376</v>
      </c>
      <c r="BV963" s="2" t="s">
        <v>95</v>
      </c>
      <c r="BW963" s="2" t="s">
        <v>98</v>
      </c>
      <c r="BX963" s="2" t="s">
        <v>98</v>
      </c>
      <c r="BY963" s="2" t="s">
        <v>110</v>
      </c>
      <c r="BZ963" s="2" t="s">
        <v>98</v>
      </c>
    </row>
    <row r="964">
      <c r="A964" s="2" t="s">
        <v>4516</v>
      </c>
      <c r="B964" s="2" t="s">
        <v>1345</v>
      </c>
      <c r="C964" s="2" t="s">
        <v>4477</v>
      </c>
      <c r="D964" s="2" t="s">
        <v>1346</v>
      </c>
      <c r="E964" s="2" t="s">
        <v>1876</v>
      </c>
      <c r="F964" s="2" t="s">
        <v>4514</v>
      </c>
      <c r="G964" s="2" t="s">
        <v>4514</v>
      </c>
      <c r="H964" s="2" t="s">
        <v>4514</v>
      </c>
      <c r="I964" s="2" t="s">
        <v>4515</v>
      </c>
      <c r="J964" s="2" t="s">
        <v>93</v>
      </c>
      <c r="K964" s="2" t="s">
        <v>967</v>
      </c>
      <c r="L964" s="3">
        <v>115.9</v>
      </c>
      <c r="M964" s="3">
        <v>121.7</v>
      </c>
      <c r="N964" s="3">
        <v>239</v>
      </c>
      <c r="O964" s="2" t="s">
        <v>95</v>
      </c>
      <c r="P964" s="2" t="s">
        <v>115</v>
      </c>
      <c r="Q964" s="2" t="s">
        <v>97</v>
      </c>
      <c r="R964" s="2" t="s">
        <v>98</v>
      </c>
      <c r="S964" s="2" t="s">
        <v>98</v>
      </c>
      <c r="T964" s="2" t="s">
        <v>98</v>
      </c>
      <c r="U964" s="2" t="s">
        <v>117</v>
      </c>
      <c r="V964" s="2" t="s">
        <v>296</v>
      </c>
      <c r="W964" s="2" t="s">
        <v>103</v>
      </c>
      <c r="X964" s="2" t="s">
        <v>314</v>
      </c>
      <c r="Y964" s="2" t="s">
        <v>401</v>
      </c>
      <c r="Z964" s="4">
        <v>48</v>
      </c>
      <c r="AA964" s="4">
        <f>=ROUNDDOWN(19.2,0)</f>
      </c>
      <c r="AB964" s="5">
        <v>2.5</v>
      </c>
      <c r="AC964" s="2" t="s">
        <v>98</v>
      </c>
      <c r="AD964" s="4"/>
      <c r="AE964" s="4"/>
      <c r="AF964" s="6">
        <v>74</v>
      </c>
      <c r="AG964" s="6"/>
      <c r="AH964" s="7">
        <v>1</v>
      </c>
      <c r="AI964" s="4"/>
      <c r="AJ964" s="4">
        <f>=ROUNDDOWN({0},0)</f>
      </c>
      <c r="AK964" s="5"/>
      <c r="AL964" s="2" t="s">
        <v>98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/>
      <c r="AW964" s="8"/>
      <c r="AX964" s="4"/>
      <c r="AY964" s="8"/>
      <c r="AZ964" s="7"/>
      <c r="BA964" s="7"/>
      <c r="BB964" s="7"/>
      <c r="BC964" s="4" t="s">
        <v>98</v>
      </c>
      <c r="BD964" s="8" t="s">
        <v>98</v>
      </c>
      <c r="BE964" s="4" t="s">
        <v>98</v>
      </c>
      <c r="BF964" s="8" t="s">
        <v>98</v>
      </c>
      <c r="BG964" s="7" t="s">
        <v>98</v>
      </c>
      <c r="BH964" s="7" t="s">
        <v>98</v>
      </c>
      <c r="BI964" s="7"/>
      <c r="BJ964" s="4">
        <v>2</v>
      </c>
      <c r="BK964" s="8">
        <v>269</v>
      </c>
      <c r="BL964" s="2" t="s">
        <v>781</v>
      </c>
      <c r="BM964" s="7"/>
      <c r="BN964" s="7"/>
      <c r="BO964" s="4"/>
      <c r="BP964" s="8"/>
      <c r="BQ964" s="4"/>
      <c r="BR964" s="8"/>
      <c r="BS964" s="7"/>
      <c r="BT964" s="7"/>
      <c r="BU964" s="2" t="s">
        <v>1376</v>
      </c>
      <c r="BV964" s="2" t="s">
        <v>95</v>
      </c>
      <c r="BW964" s="2" t="s">
        <v>98</v>
      </c>
      <c r="BX964" s="2" t="s">
        <v>98</v>
      </c>
      <c r="BY964" s="2" t="s">
        <v>110</v>
      </c>
      <c r="BZ964" s="2" t="s">
        <v>98</v>
      </c>
    </row>
    <row r="965">
      <c r="A965" s="2" t="s">
        <v>4517</v>
      </c>
      <c r="B965" s="2" t="s">
        <v>1345</v>
      </c>
      <c r="C965" s="2" t="s">
        <v>4477</v>
      </c>
      <c r="D965" s="2" t="s">
        <v>1346</v>
      </c>
      <c r="E965" s="2" t="s">
        <v>1876</v>
      </c>
      <c r="F965" s="2" t="s">
        <v>4518</v>
      </c>
      <c r="G965" s="2" t="s">
        <v>4518</v>
      </c>
      <c r="H965" s="2" t="s">
        <v>4518</v>
      </c>
      <c r="I965" s="2" t="s">
        <v>1931</v>
      </c>
      <c r="J965" s="2" t="s">
        <v>93</v>
      </c>
      <c r="K965" s="2" t="s">
        <v>4506</v>
      </c>
      <c r="L965" s="3">
        <v>112.1</v>
      </c>
      <c r="M965" s="3">
        <v>117.7</v>
      </c>
      <c r="N965" s="3">
        <v>239</v>
      </c>
      <c r="O965" s="2" t="s">
        <v>95</v>
      </c>
      <c r="P965" s="2" t="s">
        <v>295</v>
      </c>
      <c r="Q965" s="2" t="s">
        <v>97</v>
      </c>
      <c r="R965" s="2" t="s">
        <v>98</v>
      </c>
      <c r="S965" s="2" t="s">
        <v>98</v>
      </c>
      <c r="T965" s="2" t="s">
        <v>98</v>
      </c>
      <c r="U965" s="2" t="s">
        <v>117</v>
      </c>
      <c r="V965" s="2" t="s">
        <v>296</v>
      </c>
      <c r="W965" s="2" t="s">
        <v>103</v>
      </c>
      <c r="X965" s="2" t="s">
        <v>102</v>
      </c>
      <c r="Y965" s="2" t="s">
        <v>98</v>
      </c>
      <c r="Z965" s="4"/>
      <c r="AA965" s="4">
        <f>=ROUNDDOWN({0},0)</f>
      </c>
      <c r="AB965" s="5">
        <v>8</v>
      </c>
      <c r="AC965" s="2" t="s">
        <v>1353</v>
      </c>
      <c r="AD965" s="4">
        <v>180</v>
      </c>
      <c r="AE965" s="4">
        <v>280</v>
      </c>
      <c r="AF965" s="6">
        <v>74</v>
      </c>
      <c r="AG965" s="6"/>
      <c r="AH965" s="7">
        <v>0</v>
      </c>
      <c r="AI965" s="4"/>
      <c r="AJ965" s="4">
        <f>=ROUNDDOWN({0},0)</f>
      </c>
      <c r="AK965" s="5"/>
      <c r="AL965" s="2" t="s">
        <v>98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/>
      <c r="AW965" s="8"/>
      <c r="AX965" s="4"/>
      <c r="AY965" s="8"/>
      <c r="AZ965" s="7"/>
      <c r="BA965" s="7"/>
      <c r="BB965" s="7"/>
      <c r="BC965" s="4" t="s">
        <v>98</v>
      </c>
      <c r="BD965" s="8" t="s">
        <v>98</v>
      </c>
      <c r="BE965" s="4" t="s">
        <v>98</v>
      </c>
      <c r="BF965" s="8" t="s">
        <v>98</v>
      </c>
      <c r="BG965" s="7" t="s">
        <v>98</v>
      </c>
      <c r="BH965" s="7" t="s">
        <v>98</v>
      </c>
      <c r="BI965" s="7"/>
      <c r="BJ965" s="4"/>
      <c r="BK965" s="8"/>
      <c r="BL965" s="2" t="s">
        <v>98</v>
      </c>
      <c r="BM965" s="7"/>
      <c r="BN965" s="7"/>
      <c r="BO965" s="4"/>
      <c r="BP965" s="8"/>
      <c r="BQ965" s="4"/>
      <c r="BR965" s="8"/>
      <c r="BS965" s="7"/>
      <c r="BT965" s="7"/>
      <c r="BU965" s="2" t="s">
        <v>1376</v>
      </c>
      <c r="BV965" s="2" t="s">
        <v>95</v>
      </c>
      <c r="BW965" s="2" t="s">
        <v>98</v>
      </c>
      <c r="BX965" s="2" t="s">
        <v>98</v>
      </c>
      <c r="BY965" s="2" t="s">
        <v>110</v>
      </c>
      <c r="BZ965" s="2" t="s">
        <v>98</v>
      </c>
    </row>
    <row r="966">
      <c r="A966" s="2" t="s">
        <v>4519</v>
      </c>
      <c r="B966" s="2" t="s">
        <v>1345</v>
      </c>
      <c r="C966" s="2" t="s">
        <v>4477</v>
      </c>
      <c r="D966" s="2" t="s">
        <v>1346</v>
      </c>
      <c r="E966" s="2" t="s">
        <v>1876</v>
      </c>
      <c r="F966" s="2" t="s">
        <v>4518</v>
      </c>
      <c r="G966" s="2" t="s">
        <v>4518</v>
      </c>
      <c r="H966" s="2" t="s">
        <v>4518</v>
      </c>
      <c r="I966" s="2" t="s">
        <v>1931</v>
      </c>
      <c r="J966" s="2" t="s">
        <v>93</v>
      </c>
      <c r="K966" s="2" t="s">
        <v>133</v>
      </c>
      <c r="L966" s="3">
        <v>112.1</v>
      </c>
      <c r="M966" s="3">
        <v>117.7</v>
      </c>
      <c r="N966" s="3">
        <v>239</v>
      </c>
      <c r="O966" s="2" t="s">
        <v>95</v>
      </c>
      <c r="P966" s="2" t="s">
        <v>115</v>
      </c>
      <c r="Q966" s="2" t="s">
        <v>97</v>
      </c>
      <c r="R966" s="2" t="s">
        <v>98</v>
      </c>
      <c r="S966" s="2" t="s">
        <v>98</v>
      </c>
      <c r="T966" s="2" t="s">
        <v>98</v>
      </c>
      <c r="U966" s="2" t="s">
        <v>117</v>
      </c>
      <c r="V966" s="2" t="s">
        <v>296</v>
      </c>
      <c r="W966" s="2" t="s">
        <v>103</v>
      </c>
      <c r="X966" s="2" t="s">
        <v>102</v>
      </c>
      <c r="Y966" s="2" t="s">
        <v>4503</v>
      </c>
      <c r="Z966" s="4">
        <v>38</v>
      </c>
      <c r="AA966" s="4">
        <f>=ROUNDDOWN(9.5,0)</f>
      </c>
      <c r="AB966" s="5">
        <v>4</v>
      </c>
      <c r="AC966" s="2" t="s">
        <v>98</v>
      </c>
      <c r="AD966" s="4"/>
      <c r="AE966" s="4"/>
      <c r="AF966" s="6">
        <v>74</v>
      </c>
      <c r="AG966" s="6"/>
      <c r="AH966" s="7">
        <v>1</v>
      </c>
      <c r="AI966" s="4"/>
      <c r="AJ966" s="4">
        <f>=ROUNDDOWN({0},0)</f>
      </c>
      <c r="AK966" s="5"/>
      <c r="AL966" s="2" t="s">
        <v>98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/>
      <c r="AW966" s="8"/>
      <c r="AX966" s="4"/>
      <c r="AY966" s="8"/>
      <c r="AZ966" s="7"/>
      <c r="BA966" s="7"/>
      <c r="BB966" s="7"/>
      <c r="BC966" s="4" t="s">
        <v>98</v>
      </c>
      <c r="BD966" s="8" t="s">
        <v>98</v>
      </c>
      <c r="BE966" s="4" t="s">
        <v>98</v>
      </c>
      <c r="BF966" s="8" t="s">
        <v>98</v>
      </c>
      <c r="BG966" s="7" t="s">
        <v>98</v>
      </c>
      <c r="BH966" s="7" t="s">
        <v>98</v>
      </c>
      <c r="BI966" s="7"/>
      <c r="BJ966" s="4">
        <v>4</v>
      </c>
      <c r="BK966" s="8">
        <v>502.68</v>
      </c>
      <c r="BL966" s="2" t="s">
        <v>651</v>
      </c>
      <c r="BM966" s="7"/>
      <c r="BN966" s="7"/>
      <c r="BO966" s="4"/>
      <c r="BP966" s="8"/>
      <c r="BQ966" s="4"/>
      <c r="BR966" s="8"/>
      <c r="BS966" s="7"/>
      <c r="BT966" s="7"/>
      <c r="BU966" s="2" t="s">
        <v>1376</v>
      </c>
      <c r="BV966" s="2" t="s">
        <v>95</v>
      </c>
      <c r="BW966" s="2" t="s">
        <v>98</v>
      </c>
      <c r="BX966" s="2" t="s">
        <v>98</v>
      </c>
      <c r="BY966" s="2" t="s">
        <v>110</v>
      </c>
      <c r="BZ966" s="2" t="s">
        <v>98</v>
      </c>
    </row>
    <row r="967">
      <c r="A967" s="2" t="s">
        <v>4520</v>
      </c>
      <c r="B967" s="2" t="s">
        <v>1345</v>
      </c>
      <c r="C967" s="2" t="s">
        <v>4477</v>
      </c>
      <c r="D967" s="2" t="s">
        <v>1346</v>
      </c>
      <c r="E967" s="2" t="s">
        <v>1876</v>
      </c>
      <c r="F967" s="2" t="s">
        <v>4518</v>
      </c>
      <c r="G967" s="2" t="s">
        <v>4518</v>
      </c>
      <c r="H967" s="2" t="s">
        <v>4518</v>
      </c>
      <c r="I967" s="2" t="s">
        <v>1931</v>
      </c>
      <c r="J967" s="2" t="s">
        <v>93</v>
      </c>
      <c r="K967" s="2" t="s">
        <v>1915</v>
      </c>
      <c r="L967" s="3">
        <v>112.1</v>
      </c>
      <c r="M967" s="3">
        <v>117.7</v>
      </c>
      <c r="N967" s="3">
        <v>239</v>
      </c>
      <c r="O967" s="2" t="s">
        <v>95</v>
      </c>
      <c r="P967" s="2" t="s">
        <v>295</v>
      </c>
      <c r="Q967" s="2" t="s">
        <v>97</v>
      </c>
      <c r="R967" s="2" t="s">
        <v>98</v>
      </c>
      <c r="S967" s="2" t="s">
        <v>98</v>
      </c>
      <c r="T967" s="2" t="s">
        <v>98</v>
      </c>
      <c r="U967" s="2" t="s">
        <v>117</v>
      </c>
      <c r="V967" s="2" t="s">
        <v>296</v>
      </c>
      <c r="W967" s="2" t="s">
        <v>103</v>
      </c>
      <c r="X967" s="2" t="s">
        <v>102</v>
      </c>
      <c r="Y967" s="2" t="s">
        <v>98</v>
      </c>
      <c r="Z967" s="4"/>
      <c r="AA967" s="4">
        <f>=ROUNDDOWN({0},0)</f>
      </c>
      <c r="AB967" s="5">
        <v>4</v>
      </c>
      <c r="AC967" s="2" t="s">
        <v>4521</v>
      </c>
      <c r="AD967" s="4">
        <v>100</v>
      </c>
      <c r="AE967" s="4">
        <v>100</v>
      </c>
      <c r="AF967" s="6">
        <v>74</v>
      </c>
      <c r="AG967" s="6"/>
      <c r="AH967" s="7">
        <v>0</v>
      </c>
      <c r="AI967" s="4"/>
      <c r="AJ967" s="4">
        <f>=ROUNDDOWN({0},0)</f>
      </c>
      <c r="AK967" s="5"/>
      <c r="AL967" s="2" t="s">
        <v>98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 t="s">
        <v>98</v>
      </c>
      <c r="BD967" s="8" t="s">
        <v>98</v>
      </c>
      <c r="BE967" s="4" t="s">
        <v>98</v>
      </c>
      <c r="BF967" s="8" t="s">
        <v>98</v>
      </c>
      <c r="BG967" s="7" t="s">
        <v>98</v>
      </c>
      <c r="BH967" s="7" t="s">
        <v>98</v>
      </c>
      <c r="BI967" s="7"/>
      <c r="BJ967" s="4"/>
      <c r="BK967" s="8"/>
      <c r="BL967" s="2" t="s">
        <v>98</v>
      </c>
      <c r="BM967" s="7"/>
      <c r="BN967" s="7"/>
      <c r="BO967" s="4"/>
      <c r="BP967" s="8"/>
      <c r="BQ967" s="4"/>
      <c r="BR967" s="8"/>
      <c r="BS967" s="7"/>
      <c r="BT967" s="7"/>
      <c r="BU967" s="2" t="s">
        <v>1376</v>
      </c>
      <c r="BV967" s="2" t="s">
        <v>95</v>
      </c>
      <c r="BW967" s="2" t="s">
        <v>98</v>
      </c>
      <c r="BX967" s="2" t="s">
        <v>98</v>
      </c>
      <c r="BY967" s="2" t="s">
        <v>110</v>
      </c>
      <c r="BZ967" s="2" t="s">
        <v>98</v>
      </c>
    </row>
    <row r="968">
      <c r="A968" s="2" t="s">
        <v>4522</v>
      </c>
      <c r="B968" s="2" t="s">
        <v>1345</v>
      </c>
      <c r="C968" s="2" t="s">
        <v>4477</v>
      </c>
      <c r="D968" s="2" t="s">
        <v>1346</v>
      </c>
      <c r="E968" s="2" t="s">
        <v>1876</v>
      </c>
      <c r="F968" s="2" t="s">
        <v>4518</v>
      </c>
      <c r="G968" s="2" t="s">
        <v>4518</v>
      </c>
      <c r="H968" s="2" t="s">
        <v>4518</v>
      </c>
      <c r="I968" s="2" t="s">
        <v>1931</v>
      </c>
      <c r="J968" s="2" t="s">
        <v>93</v>
      </c>
      <c r="K968" s="2" t="s">
        <v>616</v>
      </c>
      <c r="L968" s="3">
        <v>112.1</v>
      </c>
      <c r="M968" s="3">
        <v>117.7</v>
      </c>
      <c r="N968" s="3">
        <v>239</v>
      </c>
      <c r="O968" s="2" t="s">
        <v>95</v>
      </c>
      <c r="P968" s="2" t="s">
        <v>295</v>
      </c>
      <c r="Q968" s="2" t="s">
        <v>97</v>
      </c>
      <c r="R968" s="2" t="s">
        <v>98</v>
      </c>
      <c r="S968" s="2" t="s">
        <v>98</v>
      </c>
      <c r="T968" s="2" t="s">
        <v>98</v>
      </c>
      <c r="U968" s="2" t="s">
        <v>117</v>
      </c>
      <c r="V968" s="2" t="s">
        <v>296</v>
      </c>
      <c r="W968" s="2" t="s">
        <v>103</v>
      </c>
      <c r="X968" s="2" t="s">
        <v>102</v>
      </c>
      <c r="Y968" s="2" t="s">
        <v>4503</v>
      </c>
      <c r="Z968" s="4">
        <v>63</v>
      </c>
      <c r="AA968" s="4">
        <f>=ROUNDDOWN(21,0)</f>
      </c>
      <c r="AB968" s="5">
        <v>3</v>
      </c>
      <c r="AC968" s="2" t="s">
        <v>98</v>
      </c>
      <c r="AD968" s="4"/>
      <c r="AE968" s="4"/>
      <c r="AF968" s="6">
        <v>74</v>
      </c>
      <c r="AG968" s="6"/>
      <c r="AH968" s="7">
        <v>1</v>
      </c>
      <c r="AI968" s="4"/>
      <c r="AJ968" s="4">
        <f>=ROUNDDOWN({0},0)</f>
      </c>
      <c r="AK968" s="5"/>
      <c r="AL968" s="2" t="s">
        <v>98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/>
      <c r="AW968" s="8"/>
      <c r="AX968" s="4"/>
      <c r="AY968" s="8"/>
      <c r="AZ968" s="7"/>
      <c r="BA968" s="7"/>
      <c r="BB968" s="7"/>
      <c r="BC968" s="4" t="s">
        <v>98</v>
      </c>
      <c r="BD968" s="8" t="s">
        <v>98</v>
      </c>
      <c r="BE968" s="4" t="s">
        <v>98</v>
      </c>
      <c r="BF968" s="8" t="s">
        <v>98</v>
      </c>
      <c r="BG968" s="7" t="s">
        <v>98</v>
      </c>
      <c r="BH968" s="7" t="s">
        <v>98</v>
      </c>
      <c r="BI968" s="7"/>
      <c r="BJ968" s="4"/>
      <c r="BK968" s="8"/>
      <c r="BL968" s="2" t="s">
        <v>98</v>
      </c>
      <c r="BM968" s="7"/>
      <c r="BN968" s="7"/>
      <c r="BO968" s="4"/>
      <c r="BP968" s="8"/>
      <c r="BQ968" s="4"/>
      <c r="BR968" s="8"/>
      <c r="BS968" s="7"/>
      <c r="BT968" s="7"/>
      <c r="BU968" s="2" t="s">
        <v>1376</v>
      </c>
      <c r="BV968" s="2" t="s">
        <v>95</v>
      </c>
      <c r="BW968" s="2" t="s">
        <v>98</v>
      </c>
      <c r="BX968" s="2" t="s">
        <v>98</v>
      </c>
      <c r="BY968" s="2" t="s">
        <v>110</v>
      </c>
      <c r="BZ968" s="2" t="s">
        <v>98</v>
      </c>
    </row>
    <row r="969">
      <c r="A969" s="2" t="s">
        <v>4523</v>
      </c>
      <c r="B969" s="2" t="s">
        <v>1345</v>
      </c>
      <c r="C969" s="2" t="s">
        <v>4477</v>
      </c>
      <c r="D969" s="2" t="s">
        <v>1346</v>
      </c>
      <c r="E969" s="2" t="s">
        <v>1876</v>
      </c>
      <c r="F969" s="2" t="s">
        <v>4524</v>
      </c>
      <c r="G969" s="2" t="s">
        <v>4524</v>
      </c>
      <c r="H969" s="2" t="s">
        <v>4524</v>
      </c>
      <c r="I969" s="2" t="s">
        <v>4525</v>
      </c>
      <c r="J969" s="2" t="s">
        <v>93</v>
      </c>
      <c r="K969" s="2" t="s">
        <v>1439</v>
      </c>
      <c r="L969" s="3">
        <v>118.75</v>
      </c>
      <c r="M969" s="3">
        <v>124.69</v>
      </c>
      <c r="N969" s="3">
        <v>249</v>
      </c>
      <c r="O969" s="2" t="s">
        <v>95</v>
      </c>
      <c r="P969" s="2" t="s">
        <v>295</v>
      </c>
      <c r="Q969" s="2" t="s">
        <v>97</v>
      </c>
      <c r="R969" s="2" t="s">
        <v>98</v>
      </c>
      <c r="S969" s="2" t="s">
        <v>98</v>
      </c>
      <c r="T969" s="2" t="s">
        <v>98</v>
      </c>
      <c r="U969" s="2" t="s">
        <v>117</v>
      </c>
      <c r="V969" s="2" t="s">
        <v>296</v>
      </c>
      <c r="W969" s="2" t="s">
        <v>103</v>
      </c>
      <c r="X969" s="2" t="s">
        <v>119</v>
      </c>
      <c r="Y969" s="2" t="s">
        <v>4488</v>
      </c>
      <c r="Z969" s="4">
        <v>203</v>
      </c>
      <c r="AA969" s="4">
        <f>=ROUNDDOWN(9.66666666666667,0)</f>
      </c>
      <c r="AB969" s="5">
        <v>21</v>
      </c>
      <c r="AC969" s="2" t="s">
        <v>1548</v>
      </c>
      <c r="AD969" s="4">
        <v>220</v>
      </c>
      <c r="AE969" s="4">
        <v>340</v>
      </c>
      <c r="AF969" s="6">
        <v>74</v>
      </c>
      <c r="AG969" s="6"/>
      <c r="AH969" s="7">
        <v>1</v>
      </c>
      <c r="AI969" s="4"/>
      <c r="AJ969" s="4">
        <f>=ROUNDDOWN({0},0)</f>
      </c>
      <c r="AK969" s="5"/>
      <c r="AL969" s="2" t="s">
        <v>98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 t="s">
        <v>98</v>
      </c>
      <c r="BD969" s="8" t="s">
        <v>98</v>
      </c>
      <c r="BE969" s="4" t="s">
        <v>98</v>
      </c>
      <c r="BF969" s="8" t="s">
        <v>98</v>
      </c>
      <c r="BG969" s="7" t="s">
        <v>98</v>
      </c>
      <c r="BH969" s="7" t="s">
        <v>98</v>
      </c>
      <c r="BI969" s="7"/>
      <c r="BJ969" s="4"/>
      <c r="BK969" s="8"/>
      <c r="BL969" s="2" t="s">
        <v>98</v>
      </c>
      <c r="BM969" s="7"/>
      <c r="BN969" s="7"/>
      <c r="BO969" s="4"/>
      <c r="BP969" s="8"/>
      <c r="BQ969" s="4"/>
      <c r="BR969" s="8"/>
      <c r="BS969" s="7"/>
      <c r="BT969" s="7"/>
      <c r="BU969" s="2" t="s">
        <v>1376</v>
      </c>
      <c r="BV969" s="2" t="s">
        <v>95</v>
      </c>
      <c r="BW969" s="2" t="s">
        <v>98</v>
      </c>
      <c r="BX969" s="2" t="s">
        <v>98</v>
      </c>
      <c r="BY969" s="2" t="s">
        <v>110</v>
      </c>
      <c r="BZ969" s="2" t="s">
        <v>98</v>
      </c>
    </row>
    <row r="970">
      <c r="A970" s="2" t="s">
        <v>4526</v>
      </c>
      <c r="B970" s="2" t="s">
        <v>1345</v>
      </c>
      <c r="C970" s="2" t="s">
        <v>4477</v>
      </c>
      <c r="D970" s="2" t="s">
        <v>1346</v>
      </c>
      <c r="E970" s="2" t="s">
        <v>1876</v>
      </c>
      <c r="F970" s="2" t="s">
        <v>4524</v>
      </c>
      <c r="G970" s="2" t="s">
        <v>4524</v>
      </c>
      <c r="H970" s="2" t="s">
        <v>4524</v>
      </c>
      <c r="I970" s="2" t="s">
        <v>4525</v>
      </c>
      <c r="J970" s="2" t="s">
        <v>93</v>
      </c>
      <c r="K970" s="2" t="s">
        <v>967</v>
      </c>
      <c r="L970" s="3">
        <v>118.75</v>
      </c>
      <c r="M970" s="3">
        <v>124.69</v>
      </c>
      <c r="N970" s="3">
        <v>249</v>
      </c>
      <c r="O970" s="2" t="s">
        <v>95</v>
      </c>
      <c r="P970" s="2" t="s">
        <v>142</v>
      </c>
      <c r="Q970" s="2" t="s">
        <v>97</v>
      </c>
      <c r="R970" s="2" t="s">
        <v>98</v>
      </c>
      <c r="S970" s="2" t="s">
        <v>98</v>
      </c>
      <c r="T970" s="2" t="s">
        <v>98</v>
      </c>
      <c r="U970" s="2" t="s">
        <v>117</v>
      </c>
      <c r="V970" s="2" t="s">
        <v>296</v>
      </c>
      <c r="W970" s="2" t="s">
        <v>103</v>
      </c>
      <c r="X970" s="2" t="s">
        <v>119</v>
      </c>
      <c r="Y970" s="2" t="s">
        <v>4527</v>
      </c>
      <c r="Z970" s="4">
        <v>47</v>
      </c>
      <c r="AA970" s="4">
        <f>=ROUNDDOWN(7.83333333333333,0)</f>
      </c>
      <c r="AB970" s="5">
        <v>6</v>
      </c>
      <c r="AC970" s="2" t="s">
        <v>98</v>
      </c>
      <c r="AD970" s="4"/>
      <c r="AE970" s="4"/>
      <c r="AF970" s="6">
        <v>74</v>
      </c>
      <c r="AG970" s="6"/>
      <c r="AH970" s="7">
        <v>1</v>
      </c>
      <c r="AI970" s="4"/>
      <c r="AJ970" s="4">
        <f>=ROUNDDOWN({0},0)</f>
      </c>
      <c r="AK970" s="5"/>
      <c r="AL970" s="2" t="s">
        <v>98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 t="s">
        <v>98</v>
      </c>
      <c r="BD970" s="8" t="s">
        <v>98</v>
      </c>
      <c r="BE970" s="4" t="s">
        <v>98</v>
      </c>
      <c r="BF970" s="8" t="s">
        <v>98</v>
      </c>
      <c r="BG970" s="7" t="s">
        <v>98</v>
      </c>
      <c r="BH970" s="7" t="s">
        <v>98</v>
      </c>
      <c r="BI970" s="7"/>
      <c r="BJ970" s="4">
        <v>6</v>
      </c>
      <c r="BK970" s="8">
        <v>789.34</v>
      </c>
      <c r="BL970" s="2" t="s">
        <v>651</v>
      </c>
      <c r="BM970" s="7"/>
      <c r="BN970" s="7"/>
      <c r="BO970" s="4"/>
      <c r="BP970" s="8"/>
      <c r="BQ970" s="4"/>
      <c r="BR970" s="8"/>
      <c r="BS970" s="7"/>
      <c r="BT970" s="7"/>
      <c r="BU970" s="2" t="s">
        <v>1376</v>
      </c>
      <c r="BV970" s="2" t="s">
        <v>95</v>
      </c>
      <c r="BW970" s="2" t="s">
        <v>98</v>
      </c>
      <c r="BX970" s="2" t="s">
        <v>98</v>
      </c>
      <c r="BY970" s="2" t="s">
        <v>110</v>
      </c>
      <c r="BZ970" s="2" t="s">
        <v>98</v>
      </c>
    </row>
    <row r="971">
      <c r="A971" s="2" t="s">
        <v>4528</v>
      </c>
      <c r="B971" s="2" t="s">
        <v>1345</v>
      </c>
      <c r="C971" s="2" t="s">
        <v>4477</v>
      </c>
      <c r="D971" s="2" t="s">
        <v>1346</v>
      </c>
      <c r="E971" s="2" t="s">
        <v>1876</v>
      </c>
      <c r="F971" s="2" t="s">
        <v>4524</v>
      </c>
      <c r="G971" s="2" t="s">
        <v>4524</v>
      </c>
      <c r="H971" s="2" t="s">
        <v>4524</v>
      </c>
      <c r="I971" s="2" t="s">
        <v>4525</v>
      </c>
      <c r="J971" s="2" t="s">
        <v>93</v>
      </c>
      <c r="K971" s="2" t="s">
        <v>2114</v>
      </c>
      <c r="L971" s="3">
        <v>118.75</v>
      </c>
      <c r="M971" s="3">
        <v>124.69</v>
      </c>
      <c r="N971" s="3">
        <v>249</v>
      </c>
      <c r="O971" s="2" t="s">
        <v>95</v>
      </c>
      <c r="P971" s="2" t="s">
        <v>295</v>
      </c>
      <c r="Q971" s="2" t="s">
        <v>97</v>
      </c>
      <c r="R971" s="2" t="s">
        <v>98</v>
      </c>
      <c r="S971" s="2" t="s">
        <v>98</v>
      </c>
      <c r="T971" s="2" t="s">
        <v>98</v>
      </c>
      <c r="U971" s="2" t="s">
        <v>117</v>
      </c>
      <c r="V971" s="2" t="s">
        <v>296</v>
      </c>
      <c r="W971" s="2" t="s">
        <v>103</v>
      </c>
      <c r="X971" s="2" t="s">
        <v>119</v>
      </c>
      <c r="Y971" s="2" t="s">
        <v>578</v>
      </c>
      <c r="Z971" s="4">
        <v>155</v>
      </c>
      <c r="AA971" s="4">
        <f>=ROUNDDOWN({0},0)</f>
      </c>
      <c r="AB971" s="5"/>
      <c r="AC971" s="2" t="s">
        <v>98</v>
      </c>
      <c r="AD971" s="4"/>
      <c r="AE971" s="4"/>
      <c r="AF971" s="6">
        <v>74</v>
      </c>
      <c r="AG971" s="6"/>
      <c r="AH971" s="7">
        <v>1</v>
      </c>
      <c r="AI971" s="4"/>
      <c r="AJ971" s="4">
        <f>=ROUNDDOWN({0},0)</f>
      </c>
      <c r="AK971" s="5"/>
      <c r="AL971" s="2" t="s">
        <v>98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/>
      <c r="AW971" s="8"/>
      <c r="AX971" s="4"/>
      <c r="AY971" s="8"/>
      <c r="AZ971" s="7"/>
      <c r="BA971" s="7"/>
      <c r="BB971" s="7"/>
      <c r="BC971" s="4" t="s">
        <v>98</v>
      </c>
      <c r="BD971" s="8" t="s">
        <v>98</v>
      </c>
      <c r="BE971" s="4" t="s">
        <v>98</v>
      </c>
      <c r="BF971" s="8" t="s">
        <v>98</v>
      </c>
      <c r="BG971" s="7" t="s">
        <v>98</v>
      </c>
      <c r="BH971" s="7" t="s">
        <v>98</v>
      </c>
      <c r="BI971" s="7"/>
      <c r="BJ971" s="4"/>
      <c r="BK971" s="8"/>
      <c r="BL971" s="2" t="s">
        <v>98</v>
      </c>
      <c r="BM971" s="7"/>
      <c r="BN971" s="7"/>
      <c r="BO971" s="4"/>
      <c r="BP971" s="8"/>
      <c r="BQ971" s="4"/>
      <c r="BR971" s="8"/>
      <c r="BS971" s="7"/>
      <c r="BT971" s="7"/>
      <c r="BU971" s="2" t="s">
        <v>1376</v>
      </c>
      <c r="BV971" s="2" t="s">
        <v>95</v>
      </c>
      <c r="BW971" s="2" t="s">
        <v>98</v>
      </c>
      <c r="BX971" s="2" t="s">
        <v>98</v>
      </c>
      <c r="BY971" s="2" t="s">
        <v>110</v>
      </c>
      <c r="BZ971" s="2" t="s">
        <v>98</v>
      </c>
    </row>
    <row r="972">
      <c r="A972" s="2" t="s">
        <v>4529</v>
      </c>
      <c r="B972" s="2" t="s">
        <v>1345</v>
      </c>
      <c r="C972" s="2" t="s">
        <v>4477</v>
      </c>
      <c r="D972" s="2" t="s">
        <v>1346</v>
      </c>
      <c r="E972" s="2" t="s">
        <v>1876</v>
      </c>
      <c r="F972" s="2" t="s">
        <v>4524</v>
      </c>
      <c r="G972" s="2" t="s">
        <v>4524</v>
      </c>
      <c r="H972" s="2" t="s">
        <v>4524</v>
      </c>
      <c r="I972" s="2" t="s">
        <v>4525</v>
      </c>
      <c r="J972" s="2" t="s">
        <v>93</v>
      </c>
      <c r="K972" s="2" t="s">
        <v>1915</v>
      </c>
      <c r="L972" s="3">
        <v>118.75</v>
      </c>
      <c r="M972" s="3">
        <v>124.69</v>
      </c>
      <c r="N972" s="3">
        <v>249</v>
      </c>
      <c r="O972" s="2" t="s">
        <v>95</v>
      </c>
      <c r="P972" s="2" t="s">
        <v>295</v>
      </c>
      <c r="Q972" s="2" t="s">
        <v>97</v>
      </c>
      <c r="R972" s="2" t="s">
        <v>98</v>
      </c>
      <c r="S972" s="2" t="s">
        <v>98</v>
      </c>
      <c r="T972" s="2" t="s">
        <v>98</v>
      </c>
      <c r="U972" s="2" t="s">
        <v>117</v>
      </c>
      <c r="V972" s="2" t="s">
        <v>296</v>
      </c>
      <c r="W972" s="2" t="s">
        <v>103</v>
      </c>
      <c r="X972" s="2" t="s">
        <v>119</v>
      </c>
      <c r="Y972" s="2" t="s">
        <v>4527</v>
      </c>
      <c r="Z972" s="4">
        <v>42</v>
      </c>
      <c r="AA972" s="4">
        <f>=ROUNDDOWN(21,0)</f>
      </c>
      <c r="AB972" s="5"/>
      <c r="AC972" s="2" t="s">
        <v>98</v>
      </c>
      <c r="AD972" s="4"/>
      <c r="AE972" s="4"/>
      <c r="AF972" s="6">
        <v>74</v>
      </c>
      <c r="AG972" s="6"/>
      <c r="AH972" s="7">
        <v>1</v>
      </c>
      <c r="AI972" s="4"/>
      <c r="AJ972" s="4">
        <f>=ROUNDDOWN({0},0)</f>
      </c>
      <c r="AK972" s="5"/>
      <c r="AL972" s="2" t="s">
        <v>98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/>
      <c r="AW972" s="8"/>
      <c r="AX972" s="4"/>
      <c r="AY972" s="8"/>
      <c r="AZ972" s="7"/>
      <c r="BA972" s="7"/>
      <c r="BB972" s="7"/>
      <c r="BC972" s="4" t="s">
        <v>98</v>
      </c>
      <c r="BD972" s="8" t="s">
        <v>98</v>
      </c>
      <c r="BE972" s="4" t="s">
        <v>98</v>
      </c>
      <c r="BF972" s="8" t="s">
        <v>98</v>
      </c>
      <c r="BG972" s="7" t="s">
        <v>98</v>
      </c>
      <c r="BH972" s="7" t="s">
        <v>98</v>
      </c>
      <c r="BI972" s="7"/>
      <c r="BJ972" s="4">
        <v>1</v>
      </c>
      <c r="BK972" s="8">
        <v>137.81</v>
      </c>
      <c r="BL972" s="2" t="s">
        <v>781</v>
      </c>
      <c r="BM972" s="7"/>
      <c r="BN972" s="7"/>
      <c r="BO972" s="4"/>
      <c r="BP972" s="8"/>
      <c r="BQ972" s="4"/>
      <c r="BR972" s="8"/>
      <c r="BS972" s="7"/>
      <c r="BT972" s="7"/>
      <c r="BU972" s="2" t="s">
        <v>1376</v>
      </c>
      <c r="BV972" s="2" t="s">
        <v>95</v>
      </c>
      <c r="BW972" s="2" t="s">
        <v>98</v>
      </c>
      <c r="BX972" s="2" t="s">
        <v>98</v>
      </c>
      <c r="BY972" s="2" t="s">
        <v>110</v>
      </c>
      <c r="BZ972" s="2" t="s">
        <v>98</v>
      </c>
    </row>
    <row r="973">
      <c r="A973" s="2" t="s">
        <v>4530</v>
      </c>
      <c r="B973" s="2" t="s">
        <v>1345</v>
      </c>
      <c r="C973" s="2" t="s">
        <v>4477</v>
      </c>
      <c r="D973" s="2" t="s">
        <v>1346</v>
      </c>
      <c r="E973" s="2" t="s">
        <v>1876</v>
      </c>
      <c r="F973" s="2" t="s">
        <v>4524</v>
      </c>
      <c r="G973" s="2" t="s">
        <v>4524</v>
      </c>
      <c r="H973" s="2" t="s">
        <v>4524</v>
      </c>
      <c r="I973" s="2" t="s">
        <v>4525</v>
      </c>
      <c r="J973" s="2" t="s">
        <v>93</v>
      </c>
      <c r="K973" s="2" t="s">
        <v>4482</v>
      </c>
      <c r="L973" s="3">
        <v>118.75</v>
      </c>
      <c r="M973" s="3">
        <v>124.69</v>
      </c>
      <c r="N973" s="3">
        <v>249</v>
      </c>
      <c r="O973" s="2" t="s">
        <v>95</v>
      </c>
      <c r="P973" s="2" t="s">
        <v>411</v>
      </c>
      <c r="Q973" s="2" t="s">
        <v>97</v>
      </c>
      <c r="R973" s="2" t="s">
        <v>98</v>
      </c>
      <c r="S973" s="2" t="s">
        <v>98</v>
      </c>
      <c r="T973" s="2" t="s">
        <v>98</v>
      </c>
      <c r="U973" s="2" t="s">
        <v>117</v>
      </c>
      <c r="V973" s="2" t="s">
        <v>296</v>
      </c>
      <c r="W973" s="2" t="s">
        <v>103</v>
      </c>
      <c r="X973" s="2" t="s">
        <v>119</v>
      </c>
      <c r="Y973" s="2" t="s">
        <v>98</v>
      </c>
      <c r="Z973" s="4"/>
      <c r="AA973" s="4">
        <f>=ROUNDDOWN({0},0)</f>
      </c>
      <c r="AB973" s="5"/>
      <c r="AC973" s="2" t="s">
        <v>1548</v>
      </c>
      <c r="AD973" s="4">
        <v>100</v>
      </c>
      <c r="AE973" s="4">
        <v>100</v>
      </c>
      <c r="AF973" s="6">
        <v>74</v>
      </c>
      <c r="AG973" s="6"/>
      <c r="AH973" s="7">
        <v>0</v>
      </c>
      <c r="AI973" s="4"/>
      <c r="AJ973" s="4">
        <f>=ROUNDDOWN({0},0)</f>
      </c>
      <c r="AK973" s="5"/>
      <c r="AL973" s="2" t="s">
        <v>98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/>
      <c r="AW973" s="8"/>
      <c r="AX973" s="4"/>
      <c r="AY973" s="8"/>
      <c r="AZ973" s="7"/>
      <c r="BA973" s="7"/>
      <c r="BB973" s="7"/>
      <c r="BC973" s="4" t="s">
        <v>98</v>
      </c>
      <c r="BD973" s="8" t="s">
        <v>98</v>
      </c>
      <c r="BE973" s="4" t="s">
        <v>98</v>
      </c>
      <c r="BF973" s="8" t="s">
        <v>98</v>
      </c>
      <c r="BG973" s="7" t="s">
        <v>98</v>
      </c>
      <c r="BH973" s="7" t="s">
        <v>98</v>
      </c>
      <c r="BI973" s="7"/>
      <c r="BJ973" s="4"/>
      <c r="BK973" s="8"/>
      <c r="BL973" s="2" t="s">
        <v>98</v>
      </c>
      <c r="BM973" s="7"/>
      <c r="BN973" s="7"/>
      <c r="BO973" s="4"/>
      <c r="BP973" s="8"/>
      <c r="BQ973" s="4"/>
      <c r="BR973" s="8"/>
      <c r="BS973" s="7"/>
      <c r="BT973" s="7"/>
      <c r="BU973" s="2" t="s">
        <v>1376</v>
      </c>
      <c r="BV973" s="2" t="s">
        <v>95</v>
      </c>
      <c r="BW973" s="2" t="s">
        <v>98</v>
      </c>
      <c r="BX973" s="2" t="s">
        <v>98</v>
      </c>
      <c r="BY973" s="2" t="s">
        <v>110</v>
      </c>
      <c r="BZ973" s="2" t="s">
        <v>98</v>
      </c>
    </row>
    <row r="974">
      <c r="A974" s="2" t="s">
        <v>4531</v>
      </c>
      <c r="B974" s="2" t="s">
        <v>1345</v>
      </c>
      <c r="C974" s="2" t="s">
        <v>4477</v>
      </c>
      <c r="D974" s="2" t="s">
        <v>3370</v>
      </c>
      <c r="E974" s="2" t="s">
        <v>3370</v>
      </c>
      <c r="F974" s="2" t="s">
        <v>4532</v>
      </c>
      <c r="G974" s="2" t="s">
        <v>4532</v>
      </c>
      <c r="H974" s="2" t="s">
        <v>4532</v>
      </c>
      <c r="I974" s="2" t="s">
        <v>4533</v>
      </c>
      <c r="J974" s="2" t="s">
        <v>2826</v>
      </c>
      <c r="K974" s="2" t="s">
        <v>2139</v>
      </c>
      <c r="L974" s="3">
        <v>185.66</v>
      </c>
      <c r="M974" s="3">
        <v>194.94</v>
      </c>
      <c r="N974" s="3">
        <v>349.99</v>
      </c>
      <c r="O974" s="2" t="s">
        <v>155</v>
      </c>
      <c r="P974" s="2" t="s">
        <v>115</v>
      </c>
      <c r="Q974" s="2" t="s">
        <v>97</v>
      </c>
      <c r="R974" s="2" t="s">
        <v>98</v>
      </c>
      <c r="S974" s="2" t="s">
        <v>98</v>
      </c>
      <c r="T974" s="2" t="s">
        <v>98</v>
      </c>
      <c r="U974" s="2" t="s">
        <v>98</v>
      </c>
      <c r="V974" s="2" t="s">
        <v>296</v>
      </c>
      <c r="W974" s="2" t="s">
        <v>103</v>
      </c>
      <c r="X974" s="2" t="s">
        <v>102</v>
      </c>
      <c r="Y974" s="2" t="s">
        <v>4534</v>
      </c>
      <c r="Z974" s="4">
        <v>252</v>
      </c>
      <c r="AA974" s="4">
        <f>=ROUNDDOWN(148.235294117647,0)</f>
      </c>
      <c r="AB974" s="5">
        <v>1.7</v>
      </c>
      <c r="AC974" s="2" t="s">
        <v>98</v>
      </c>
      <c r="AD974" s="4"/>
      <c r="AE974" s="4"/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98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98</v>
      </c>
      <c r="AW974" s="8" t="s">
        <v>98</v>
      </c>
      <c r="AX974" s="4" t="s">
        <v>98</v>
      </c>
      <c r="AY974" s="8" t="s">
        <v>98</v>
      </c>
      <c r="AZ974" s="7" t="s">
        <v>98</v>
      </c>
      <c r="BA974" s="7" t="s">
        <v>98</v>
      </c>
      <c r="BB974" s="7"/>
      <c r="BC974" s="4" t="s">
        <v>98</v>
      </c>
      <c r="BD974" s="8" t="s">
        <v>98</v>
      </c>
      <c r="BE974" s="4" t="s">
        <v>98</v>
      </c>
      <c r="BF974" s="8" t="s">
        <v>98</v>
      </c>
      <c r="BG974" s="7" t="s">
        <v>98</v>
      </c>
      <c r="BH974" s="7" t="s">
        <v>98</v>
      </c>
      <c r="BI974" s="7"/>
      <c r="BJ974" s="4"/>
      <c r="BK974" s="8"/>
      <c r="BL974" s="2" t="s">
        <v>98</v>
      </c>
      <c r="BM974" s="7"/>
      <c r="BN974" s="7"/>
      <c r="BO974" s="4"/>
      <c r="BP974" s="8"/>
      <c r="BQ974" s="4"/>
      <c r="BR974" s="8"/>
      <c r="BS974" s="7"/>
      <c r="BT974" s="7"/>
      <c r="BU974" s="2" t="s">
        <v>1376</v>
      </c>
      <c r="BV974" s="2" t="s">
        <v>95</v>
      </c>
      <c r="BW974" s="2" t="s">
        <v>98</v>
      </c>
      <c r="BX974" s="2" t="s">
        <v>98</v>
      </c>
      <c r="BY974" s="2" t="s">
        <v>110</v>
      </c>
      <c r="BZ974" s="2" t="s">
        <v>98</v>
      </c>
    </row>
    <row r="975">
      <c r="A975" s="2" t="s">
        <v>4535</v>
      </c>
      <c r="B975" s="2" t="s">
        <v>1345</v>
      </c>
      <c r="C975" s="2" t="s">
        <v>4477</v>
      </c>
      <c r="D975" s="2" t="s">
        <v>3370</v>
      </c>
      <c r="E975" s="2" t="s">
        <v>3370</v>
      </c>
      <c r="F975" s="2" t="s">
        <v>4532</v>
      </c>
      <c r="G975" s="2" t="s">
        <v>4532</v>
      </c>
      <c r="H975" s="2" t="s">
        <v>4532</v>
      </c>
      <c r="I975" s="2" t="s">
        <v>4536</v>
      </c>
      <c r="J975" s="2" t="s">
        <v>2831</v>
      </c>
      <c r="K975" s="2" t="s">
        <v>2139</v>
      </c>
      <c r="L975" s="3">
        <v>221.51</v>
      </c>
      <c r="M975" s="3">
        <v>232.59</v>
      </c>
      <c r="N975" s="3">
        <v>439.99</v>
      </c>
      <c r="O975" s="2" t="s">
        <v>155</v>
      </c>
      <c r="P975" s="2" t="s">
        <v>115</v>
      </c>
      <c r="Q975" s="2" t="s">
        <v>271</v>
      </c>
      <c r="R975" s="2" t="s">
        <v>98</v>
      </c>
      <c r="S975" s="2" t="s">
        <v>98</v>
      </c>
      <c r="T975" s="2" t="s">
        <v>98</v>
      </c>
      <c r="U975" s="2" t="s">
        <v>98</v>
      </c>
      <c r="V975" s="2" t="s">
        <v>296</v>
      </c>
      <c r="W975" s="2" t="s">
        <v>103</v>
      </c>
      <c r="X975" s="2" t="s">
        <v>102</v>
      </c>
      <c r="Y975" s="2" t="s">
        <v>4534</v>
      </c>
      <c r="Z975" s="4">
        <v>340</v>
      </c>
      <c r="AA975" s="4">
        <f>=ROUNDDOWN(566.666666666667,0)</f>
      </c>
      <c r="AB975" s="5">
        <v>0.6</v>
      </c>
      <c r="AC975" s="2" t="s">
        <v>98</v>
      </c>
      <c r="AD975" s="4"/>
      <c r="AE975" s="4"/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98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 t="s">
        <v>98</v>
      </c>
      <c r="AW975" s="8" t="s">
        <v>98</v>
      </c>
      <c r="AX975" s="4" t="s">
        <v>98</v>
      </c>
      <c r="AY975" s="8" t="s">
        <v>98</v>
      </c>
      <c r="AZ975" s="7" t="s">
        <v>98</v>
      </c>
      <c r="BA975" s="7" t="s">
        <v>98</v>
      </c>
      <c r="BB975" s="7"/>
      <c r="BC975" s="4" t="s">
        <v>98</v>
      </c>
      <c r="BD975" s="8" t="s">
        <v>98</v>
      </c>
      <c r="BE975" s="4" t="s">
        <v>98</v>
      </c>
      <c r="BF975" s="8" t="s">
        <v>98</v>
      </c>
      <c r="BG975" s="7" t="s">
        <v>98</v>
      </c>
      <c r="BH975" s="7" t="s">
        <v>98</v>
      </c>
      <c r="BI975" s="7"/>
      <c r="BJ975" s="4"/>
      <c r="BK975" s="8"/>
      <c r="BL975" s="2" t="s">
        <v>98</v>
      </c>
      <c r="BM975" s="7"/>
      <c r="BN975" s="7"/>
      <c r="BO975" s="4"/>
      <c r="BP975" s="8"/>
      <c r="BQ975" s="4"/>
      <c r="BR975" s="8"/>
      <c r="BS975" s="7"/>
      <c r="BT975" s="7"/>
      <c r="BU975" s="2" t="s">
        <v>324</v>
      </c>
      <c r="BV975" s="2" t="s">
        <v>4537</v>
      </c>
      <c r="BW975" s="2" t="s">
        <v>98</v>
      </c>
      <c r="BX975" s="2" t="s">
        <v>98</v>
      </c>
      <c r="BY975" s="2" t="s">
        <v>110</v>
      </c>
      <c r="BZ975" s="2" t="s">
        <v>98</v>
      </c>
    </row>
    <row r="976">
      <c r="A976" s="2" t="s">
        <v>4538</v>
      </c>
      <c r="B976" s="2" t="s">
        <v>1345</v>
      </c>
      <c r="C976" s="2" t="s">
        <v>4477</v>
      </c>
      <c r="D976" s="2" t="s">
        <v>3370</v>
      </c>
      <c r="E976" s="2" t="s">
        <v>3370</v>
      </c>
      <c r="F976" s="2" t="s">
        <v>4539</v>
      </c>
      <c r="G976" s="2" t="s">
        <v>4539</v>
      </c>
      <c r="H976" s="2" t="s">
        <v>4539</v>
      </c>
      <c r="I976" s="2" t="s">
        <v>4540</v>
      </c>
      <c r="J976" s="2" t="s">
        <v>4541</v>
      </c>
      <c r="K976" s="2" t="s">
        <v>1419</v>
      </c>
      <c r="L976" s="3">
        <v>147.6</v>
      </c>
      <c r="M976" s="3">
        <v>154.98</v>
      </c>
      <c r="N976" s="3">
        <v>299.99</v>
      </c>
      <c r="O976" s="2" t="s">
        <v>155</v>
      </c>
      <c r="P976" s="2" t="s">
        <v>115</v>
      </c>
      <c r="Q976" s="2" t="s">
        <v>97</v>
      </c>
      <c r="R976" s="2" t="s">
        <v>98</v>
      </c>
      <c r="S976" s="2" t="s">
        <v>98</v>
      </c>
      <c r="T976" s="2" t="s">
        <v>98</v>
      </c>
      <c r="U976" s="2" t="s">
        <v>98</v>
      </c>
      <c r="V976" s="2" t="s">
        <v>296</v>
      </c>
      <c r="W976" s="2" t="s">
        <v>103</v>
      </c>
      <c r="X976" s="2" t="s">
        <v>102</v>
      </c>
      <c r="Y976" s="2" t="s">
        <v>4542</v>
      </c>
      <c r="Z976" s="4">
        <v>2</v>
      </c>
      <c r="AA976" s="4">
        <f>=ROUNDDOWN(3.33333333333333,0)</f>
      </c>
      <c r="AB976" s="5">
        <v>0.6</v>
      </c>
      <c r="AC976" s="2" t="s">
        <v>98</v>
      </c>
      <c r="AD976" s="4"/>
      <c r="AE976" s="4"/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98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 t="s">
        <v>98</v>
      </c>
      <c r="AW976" s="8" t="s">
        <v>98</v>
      </c>
      <c r="AX976" s="4" t="s">
        <v>98</v>
      </c>
      <c r="AY976" s="8" t="s">
        <v>98</v>
      </c>
      <c r="AZ976" s="7" t="s">
        <v>98</v>
      </c>
      <c r="BA976" s="7" t="s">
        <v>98</v>
      </c>
      <c r="BB976" s="7"/>
      <c r="BC976" s="4" t="s">
        <v>98</v>
      </c>
      <c r="BD976" s="8" t="s">
        <v>98</v>
      </c>
      <c r="BE976" s="4" t="s">
        <v>98</v>
      </c>
      <c r="BF976" s="8" t="s">
        <v>98</v>
      </c>
      <c r="BG976" s="7" t="s">
        <v>98</v>
      </c>
      <c r="BH976" s="7" t="s">
        <v>98</v>
      </c>
      <c r="BI976" s="7"/>
      <c r="BJ976" s="4"/>
      <c r="BK976" s="8"/>
      <c r="BL976" s="2" t="s">
        <v>895</v>
      </c>
      <c r="BM976" s="7"/>
      <c r="BN976" s="7"/>
      <c r="BO976" s="4"/>
      <c r="BP976" s="8"/>
      <c r="BQ976" s="4"/>
      <c r="BR976" s="8"/>
      <c r="BS976" s="7"/>
      <c r="BT976" s="7"/>
      <c r="BU976" s="2" t="s">
        <v>1376</v>
      </c>
      <c r="BV976" s="2" t="s">
        <v>95</v>
      </c>
      <c r="BW976" s="2" t="s">
        <v>98</v>
      </c>
      <c r="BX976" s="2" t="s">
        <v>98</v>
      </c>
      <c r="BY976" s="2" t="s">
        <v>110</v>
      </c>
      <c r="BZ976" s="2" t="s">
        <v>98</v>
      </c>
    </row>
    <row r="977">
      <c r="A977" s="2" t="s">
        <v>4543</v>
      </c>
      <c r="B977" s="2" t="s">
        <v>1345</v>
      </c>
      <c r="C977" s="2" t="s">
        <v>4477</v>
      </c>
      <c r="D977" s="2" t="s">
        <v>3370</v>
      </c>
      <c r="E977" s="2" t="s">
        <v>3370</v>
      </c>
      <c r="F977" s="2" t="s">
        <v>4539</v>
      </c>
      <c r="G977" s="2" t="s">
        <v>4539</v>
      </c>
      <c r="H977" s="2" t="s">
        <v>4539</v>
      </c>
      <c r="I977" s="2" t="s">
        <v>4544</v>
      </c>
      <c r="J977" s="2" t="s">
        <v>2826</v>
      </c>
      <c r="K977" s="2" t="s">
        <v>1419</v>
      </c>
      <c r="L977" s="3">
        <v>169.9</v>
      </c>
      <c r="M977" s="3">
        <v>178.4</v>
      </c>
      <c r="N977" s="3">
        <v>329.99</v>
      </c>
      <c r="O977" s="2" t="s">
        <v>155</v>
      </c>
      <c r="P977" s="2" t="s">
        <v>115</v>
      </c>
      <c r="Q977" s="2" t="s">
        <v>97</v>
      </c>
      <c r="R977" s="2" t="s">
        <v>98</v>
      </c>
      <c r="S977" s="2" t="s">
        <v>98</v>
      </c>
      <c r="T977" s="2" t="s">
        <v>98</v>
      </c>
      <c r="U977" s="2" t="s">
        <v>98</v>
      </c>
      <c r="V977" s="2" t="s">
        <v>296</v>
      </c>
      <c r="W977" s="2" t="s">
        <v>103</v>
      </c>
      <c r="X977" s="2" t="s">
        <v>102</v>
      </c>
      <c r="Y977" s="2" t="s">
        <v>4545</v>
      </c>
      <c r="Z977" s="4">
        <v>775</v>
      </c>
      <c r="AA977" s="4">
        <f>=ROUNDDOWN(7750,0)</f>
      </c>
      <c r="AB977" s="5">
        <v>0.1</v>
      </c>
      <c r="AC977" s="2" t="s">
        <v>98</v>
      </c>
      <c r="AD977" s="4"/>
      <c r="AE977" s="4"/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98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 t="s">
        <v>98</v>
      </c>
      <c r="AW977" s="8" t="s">
        <v>98</v>
      </c>
      <c r="AX977" s="4" t="s">
        <v>98</v>
      </c>
      <c r="AY977" s="8" t="s">
        <v>98</v>
      </c>
      <c r="AZ977" s="7" t="s">
        <v>98</v>
      </c>
      <c r="BA977" s="7" t="s">
        <v>98</v>
      </c>
      <c r="BB977" s="7"/>
      <c r="BC977" s="4" t="s">
        <v>98</v>
      </c>
      <c r="BD977" s="8" t="s">
        <v>98</v>
      </c>
      <c r="BE977" s="4" t="s">
        <v>98</v>
      </c>
      <c r="BF977" s="8" t="s">
        <v>98</v>
      </c>
      <c r="BG977" s="7" t="s">
        <v>98</v>
      </c>
      <c r="BH977" s="7" t="s">
        <v>98</v>
      </c>
      <c r="BI977" s="7"/>
      <c r="BJ977" s="4"/>
      <c r="BK977" s="8"/>
      <c r="BL977" s="2" t="s">
        <v>2662</v>
      </c>
      <c r="BM977" s="7"/>
      <c r="BN977" s="7"/>
      <c r="BO977" s="4"/>
      <c r="BP977" s="8"/>
      <c r="BQ977" s="4"/>
      <c r="BR977" s="8"/>
      <c r="BS977" s="7"/>
      <c r="BT977" s="7"/>
      <c r="BU977" s="2" t="s">
        <v>1376</v>
      </c>
      <c r="BV977" s="2" t="s">
        <v>95</v>
      </c>
      <c r="BW977" s="2" t="s">
        <v>98</v>
      </c>
      <c r="BX977" s="2" t="s">
        <v>98</v>
      </c>
      <c r="BY977" s="2" t="s">
        <v>110</v>
      </c>
      <c r="BZ977" s="2" t="s">
        <v>98</v>
      </c>
    </row>
    <row r="978">
      <c r="A978" s="2" t="s">
        <v>4546</v>
      </c>
      <c r="B978" s="2" t="s">
        <v>1345</v>
      </c>
      <c r="C978" s="2" t="s">
        <v>4477</v>
      </c>
      <c r="D978" s="2" t="s">
        <v>3370</v>
      </c>
      <c r="E978" s="2" t="s">
        <v>3370</v>
      </c>
      <c r="F978" s="2" t="s">
        <v>4539</v>
      </c>
      <c r="G978" s="2" t="s">
        <v>4539</v>
      </c>
      <c r="H978" s="2" t="s">
        <v>4539</v>
      </c>
      <c r="I978" s="2" t="s">
        <v>4547</v>
      </c>
      <c r="J978" s="2" t="s">
        <v>2831</v>
      </c>
      <c r="K978" s="2" t="s">
        <v>1419</v>
      </c>
      <c r="L978" s="3">
        <v>194.76</v>
      </c>
      <c r="M978" s="3">
        <v>204.5</v>
      </c>
      <c r="N978" s="3">
        <v>379.99</v>
      </c>
      <c r="O978" s="2" t="s">
        <v>155</v>
      </c>
      <c r="P978" s="2" t="s">
        <v>115</v>
      </c>
      <c r="Q978" s="2" t="s">
        <v>271</v>
      </c>
      <c r="R978" s="2" t="s">
        <v>98</v>
      </c>
      <c r="S978" s="2" t="s">
        <v>98</v>
      </c>
      <c r="T978" s="2" t="s">
        <v>98</v>
      </c>
      <c r="U978" s="2" t="s">
        <v>98</v>
      </c>
      <c r="V978" s="2" t="s">
        <v>296</v>
      </c>
      <c r="W978" s="2" t="s">
        <v>103</v>
      </c>
      <c r="X978" s="2" t="s">
        <v>102</v>
      </c>
      <c r="Y978" s="2" t="s">
        <v>4542</v>
      </c>
      <c r="Z978" s="4">
        <v>617</v>
      </c>
      <c r="AA978" s="4">
        <f>=ROUNDDOWN(881.428571428571,0)</f>
      </c>
      <c r="AB978" s="5">
        <v>0.7</v>
      </c>
      <c r="AC978" s="2" t="s">
        <v>98</v>
      </c>
      <c r="AD978" s="4"/>
      <c r="AE978" s="4"/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98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 t="s">
        <v>98</v>
      </c>
      <c r="AW978" s="8" t="s">
        <v>98</v>
      </c>
      <c r="AX978" s="4" t="s">
        <v>98</v>
      </c>
      <c r="AY978" s="8" t="s">
        <v>98</v>
      </c>
      <c r="AZ978" s="7" t="s">
        <v>98</v>
      </c>
      <c r="BA978" s="7" t="s">
        <v>98</v>
      </c>
      <c r="BB978" s="7"/>
      <c r="BC978" s="4" t="s">
        <v>98</v>
      </c>
      <c r="BD978" s="8" t="s">
        <v>98</v>
      </c>
      <c r="BE978" s="4" t="s">
        <v>98</v>
      </c>
      <c r="BF978" s="8" t="s">
        <v>98</v>
      </c>
      <c r="BG978" s="7" t="s">
        <v>98</v>
      </c>
      <c r="BH978" s="7" t="s">
        <v>98</v>
      </c>
      <c r="BI978" s="7"/>
      <c r="BJ978" s="4"/>
      <c r="BK978" s="8"/>
      <c r="BL978" s="2" t="s">
        <v>895</v>
      </c>
      <c r="BM978" s="7"/>
      <c r="BN978" s="7"/>
      <c r="BO978" s="4"/>
      <c r="BP978" s="8"/>
      <c r="BQ978" s="4"/>
      <c r="BR978" s="8"/>
      <c r="BS978" s="7"/>
      <c r="BT978" s="7"/>
      <c r="BU978" s="2" t="s">
        <v>324</v>
      </c>
      <c r="BV978" s="2" t="s">
        <v>4537</v>
      </c>
      <c r="BW978" s="2" t="s">
        <v>98</v>
      </c>
      <c r="BX978" s="2" t="s">
        <v>98</v>
      </c>
      <c r="BY978" s="2" t="s">
        <v>110</v>
      </c>
      <c r="BZ978" s="2" t="s">
        <v>98</v>
      </c>
    </row>
    <row r="979">
      <c r="A979" s="2" t="s">
        <v>4548</v>
      </c>
      <c r="B979" s="2" t="s">
        <v>1345</v>
      </c>
      <c r="C979" s="2" t="s">
        <v>4477</v>
      </c>
      <c r="D979" s="2" t="s">
        <v>3406</v>
      </c>
      <c r="E979" s="2" t="s">
        <v>3406</v>
      </c>
      <c r="F979" s="2" t="s">
        <v>3240</v>
      </c>
      <c r="G979" s="2" t="s">
        <v>3240</v>
      </c>
      <c r="H979" s="2" t="s">
        <v>3240</v>
      </c>
      <c r="I979" s="2" t="s">
        <v>4549</v>
      </c>
      <c r="J979" s="2" t="s">
        <v>93</v>
      </c>
      <c r="K979" s="2" t="s">
        <v>2965</v>
      </c>
      <c r="L979" s="3">
        <v>95.64</v>
      </c>
      <c r="M979" s="3">
        <v>100.42</v>
      </c>
      <c r="N979" s="3">
        <v>189.99</v>
      </c>
      <c r="O979" s="2" t="s">
        <v>155</v>
      </c>
      <c r="P979" s="2" t="s">
        <v>115</v>
      </c>
      <c r="Q979" s="2" t="s">
        <v>97</v>
      </c>
      <c r="R979" s="2" t="s">
        <v>98</v>
      </c>
      <c r="S979" s="2" t="s">
        <v>98</v>
      </c>
      <c r="T979" s="2" t="s">
        <v>98</v>
      </c>
      <c r="U979" s="2" t="s">
        <v>98</v>
      </c>
      <c r="V979" s="2" t="s">
        <v>296</v>
      </c>
      <c r="W979" s="2" t="s">
        <v>968</v>
      </c>
      <c r="X979" s="2" t="s">
        <v>103</v>
      </c>
      <c r="Y979" s="2" t="s">
        <v>4534</v>
      </c>
      <c r="Z979" s="4">
        <v>347</v>
      </c>
      <c r="AA979" s="4">
        <f>=ROUNDDOWN(133.461538461538,0)</f>
      </c>
      <c r="AB979" s="5">
        <v>2.6</v>
      </c>
      <c r="AC979" s="2" t="s">
        <v>98</v>
      </c>
      <c r="AD979" s="4"/>
      <c r="AE979" s="4"/>
      <c r="AF979" s="6">
        <v>74</v>
      </c>
      <c r="AG979" s="6"/>
      <c r="AH979" s="7">
        <v>1</v>
      </c>
      <c r="AI979" s="4"/>
      <c r="AJ979" s="4">
        <f>=ROUNDDOWN({0},0)</f>
      </c>
      <c r="AK979" s="5"/>
      <c r="AL979" s="2" t="s">
        <v>98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/>
      <c r="AW979" s="8"/>
      <c r="AX979" s="4"/>
      <c r="AY979" s="8"/>
      <c r="AZ979" s="7"/>
      <c r="BA979" s="7"/>
      <c r="BB979" s="7"/>
      <c r="BC979" s="4"/>
      <c r="BD979" s="8"/>
      <c r="BE979" s="4"/>
      <c r="BF979" s="8"/>
      <c r="BG979" s="7"/>
      <c r="BH979" s="7"/>
      <c r="BI979" s="7"/>
      <c r="BJ979" s="4">
        <v>1</v>
      </c>
      <c r="BK979" s="8">
        <v>112.47</v>
      </c>
      <c r="BL979" s="2" t="s">
        <v>1118</v>
      </c>
      <c r="BM979" s="7"/>
      <c r="BN979" s="7"/>
      <c r="BO979" s="4"/>
      <c r="BP979" s="8"/>
      <c r="BQ979" s="4"/>
      <c r="BR979" s="8"/>
      <c r="BS979" s="7"/>
      <c r="BT979" s="7"/>
      <c r="BU979" s="2" t="s">
        <v>1376</v>
      </c>
      <c r="BV979" s="2" t="s">
        <v>95</v>
      </c>
      <c r="BW979" s="2" t="s">
        <v>98</v>
      </c>
      <c r="BX979" s="2" t="s">
        <v>98</v>
      </c>
      <c r="BY979" s="2" t="s">
        <v>110</v>
      </c>
      <c r="BZ979" s="2" t="s">
        <v>98</v>
      </c>
    </row>
    <row r="980">
      <c r="A980" s="2" t="s">
        <v>4550</v>
      </c>
      <c r="B980" s="2" t="s">
        <v>1345</v>
      </c>
      <c r="C980" s="2" t="s">
        <v>4477</v>
      </c>
      <c r="D980" s="2" t="s">
        <v>3406</v>
      </c>
      <c r="E980" s="2" t="s">
        <v>3406</v>
      </c>
      <c r="F980" s="2" t="s">
        <v>4551</v>
      </c>
      <c r="G980" s="2" t="s">
        <v>4551</v>
      </c>
      <c r="H980" s="2" t="s">
        <v>4551</v>
      </c>
      <c r="I980" s="2" t="s">
        <v>4552</v>
      </c>
      <c r="J980" s="2" t="s">
        <v>93</v>
      </c>
      <c r="K980" s="2" t="s">
        <v>114</v>
      </c>
      <c r="L980" s="3">
        <v>101.26</v>
      </c>
      <c r="M980" s="3">
        <v>106.32</v>
      </c>
      <c r="N980" s="3">
        <v>199.99</v>
      </c>
      <c r="O980" s="2" t="s">
        <v>155</v>
      </c>
      <c r="P980" s="2" t="s">
        <v>115</v>
      </c>
      <c r="Q980" s="2" t="s">
        <v>97</v>
      </c>
      <c r="R980" s="2" t="s">
        <v>98</v>
      </c>
      <c r="S980" s="2" t="s">
        <v>98</v>
      </c>
      <c r="T980" s="2" t="s">
        <v>98</v>
      </c>
      <c r="U980" s="2" t="s">
        <v>98</v>
      </c>
      <c r="V980" s="2" t="s">
        <v>296</v>
      </c>
      <c r="W980" s="2" t="s">
        <v>102</v>
      </c>
      <c r="X980" s="2" t="s">
        <v>103</v>
      </c>
      <c r="Y980" s="2" t="s">
        <v>4534</v>
      </c>
      <c r="Z980" s="4">
        <v>253</v>
      </c>
      <c r="AA980" s="4">
        <f>=ROUNDDOWN(843.333333333333,0)</f>
      </c>
      <c r="AB980" s="5">
        <v>0.3</v>
      </c>
      <c r="AC980" s="2" t="s">
        <v>98</v>
      </c>
      <c r="AD980" s="4"/>
      <c r="AE980" s="4"/>
      <c r="AF980" s="6">
        <v>74</v>
      </c>
      <c r="AG980" s="6"/>
      <c r="AH980" s="7">
        <v>1</v>
      </c>
      <c r="AI980" s="4"/>
      <c r="AJ980" s="4">
        <f>=ROUNDDOWN({0},0)</f>
      </c>
      <c r="AK980" s="5"/>
      <c r="AL980" s="2" t="s">
        <v>98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/>
      <c r="BD980" s="8"/>
      <c r="BE980" s="4"/>
      <c r="BF980" s="8"/>
      <c r="BG980" s="7"/>
      <c r="BH980" s="7"/>
      <c r="BI980" s="7"/>
      <c r="BJ980" s="4"/>
      <c r="BK980" s="8"/>
      <c r="BL980" s="2" t="s">
        <v>895</v>
      </c>
      <c r="BM980" s="7"/>
      <c r="BN980" s="7"/>
      <c r="BO980" s="4"/>
      <c r="BP980" s="8"/>
      <c r="BQ980" s="4"/>
      <c r="BR980" s="8"/>
      <c r="BS980" s="7"/>
      <c r="BT980" s="7"/>
      <c r="BU980" s="2" t="s">
        <v>1376</v>
      </c>
      <c r="BV980" s="2" t="s">
        <v>95</v>
      </c>
      <c r="BW980" s="2" t="s">
        <v>98</v>
      </c>
      <c r="BX980" s="2" t="s">
        <v>98</v>
      </c>
      <c r="BY980" s="2" t="s">
        <v>110</v>
      </c>
      <c r="BZ980" s="2" t="s">
        <v>98</v>
      </c>
    </row>
    <row r="981">
      <c r="A981" s="2" t="s">
        <v>4553</v>
      </c>
      <c r="B981" s="2" t="s">
        <v>1345</v>
      </c>
      <c r="C981" s="2" t="s">
        <v>4477</v>
      </c>
      <c r="D981" s="2" t="s">
        <v>2728</v>
      </c>
      <c r="E981" s="2" t="s">
        <v>2816</v>
      </c>
      <c r="F981" s="2" t="s">
        <v>2046</v>
      </c>
      <c r="G981" s="2" t="s">
        <v>2046</v>
      </c>
      <c r="H981" s="2" t="s">
        <v>2046</v>
      </c>
      <c r="I981" s="2" t="s">
        <v>4554</v>
      </c>
      <c r="J981" s="2" t="s">
        <v>93</v>
      </c>
      <c r="K981" s="2" t="s">
        <v>4555</v>
      </c>
      <c r="L981" s="3">
        <v>95.64</v>
      </c>
      <c r="M981" s="3">
        <v>100.42</v>
      </c>
      <c r="N981" s="3">
        <v>189.99</v>
      </c>
      <c r="O981" s="2" t="s">
        <v>155</v>
      </c>
      <c r="P981" s="2" t="s">
        <v>115</v>
      </c>
      <c r="Q981" s="2" t="s">
        <v>97</v>
      </c>
      <c r="R981" s="2" t="s">
        <v>98</v>
      </c>
      <c r="S981" s="2" t="s">
        <v>98</v>
      </c>
      <c r="T981" s="2" t="s">
        <v>98</v>
      </c>
      <c r="U981" s="2" t="s">
        <v>98</v>
      </c>
      <c r="V981" s="2" t="s">
        <v>296</v>
      </c>
      <c r="W981" s="2" t="s">
        <v>102</v>
      </c>
      <c r="X981" s="2" t="s">
        <v>103</v>
      </c>
      <c r="Y981" s="2" t="s">
        <v>4534</v>
      </c>
      <c r="Z981" s="4">
        <v>238</v>
      </c>
      <c r="AA981" s="4">
        <f>=ROUNDDOWN(119,0)</f>
      </c>
      <c r="AB981" s="5">
        <v>2</v>
      </c>
      <c r="AC981" s="2" t="s">
        <v>98</v>
      </c>
      <c r="AD981" s="4"/>
      <c r="AE981" s="4"/>
      <c r="AF981" s="6">
        <v>74</v>
      </c>
      <c r="AG981" s="6"/>
      <c r="AH981" s="7">
        <v>1</v>
      </c>
      <c r="AI981" s="4"/>
      <c r="AJ981" s="4">
        <f>=ROUNDDOWN({0},0)</f>
      </c>
      <c r="AK981" s="5"/>
      <c r="AL981" s="2" t="s">
        <v>98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/>
      <c r="AW981" s="8"/>
      <c r="AX981" s="4"/>
      <c r="AY981" s="8"/>
      <c r="AZ981" s="7"/>
      <c r="BA981" s="7"/>
      <c r="BB981" s="7"/>
      <c r="BC981" s="4"/>
      <c r="BD981" s="8"/>
      <c r="BE981" s="4"/>
      <c r="BF981" s="8"/>
      <c r="BG981" s="7"/>
      <c r="BH981" s="7"/>
      <c r="BI981" s="7"/>
      <c r="BJ981" s="4">
        <v>1</v>
      </c>
      <c r="BK981" s="8">
        <v>50.21</v>
      </c>
      <c r="BL981" s="2" t="s">
        <v>1549</v>
      </c>
      <c r="BM981" s="7"/>
      <c r="BN981" s="7"/>
      <c r="BO981" s="4"/>
      <c r="BP981" s="8"/>
      <c r="BQ981" s="4"/>
      <c r="BR981" s="8"/>
      <c r="BS981" s="7"/>
      <c r="BT981" s="7"/>
      <c r="BU981" s="2" t="s">
        <v>1376</v>
      </c>
      <c r="BV981" s="2" t="s">
        <v>95</v>
      </c>
      <c r="BW981" s="2" t="s">
        <v>98</v>
      </c>
      <c r="BX981" s="2" t="s">
        <v>98</v>
      </c>
      <c r="BY981" s="2" t="s">
        <v>110</v>
      </c>
      <c r="BZ981" s="2" t="s">
        <v>98</v>
      </c>
    </row>
    <row r="982">
      <c r="A982" s="2" t="s">
        <v>4556</v>
      </c>
      <c r="B982" s="2" t="s">
        <v>1345</v>
      </c>
      <c r="C982" s="2" t="s">
        <v>4557</v>
      </c>
      <c r="D982" s="2" t="s">
        <v>2728</v>
      </c>
      <c r="E982" s="2" t="s">
        <v>2775</v>
      </c>
      <c r="F982" s="2" t="s">
        <v>4558</v>
      </c>
      <c r="G982" s="2" t="s">
        <v>4558</v>
      </c>
      <c r="H982" s="2" t="s">
        <v>4558</v>
      </c>
      <c r="I982" s="2" t="s">
        <v>4559</v>
      </c>
      <c r="J982" s="2" t="s">
        <v>93</v>
      </c>
      <c r="K982" s="2" t="s">
        <v>2804</v>
      </c>
      <c r="L982" s="3">
        <v>223.81</v>
      </c>
      <c r="M982" s="3">
        <v>235</v>
      </c>
      <c r="N982" s="3">
        <v>529</v>
      </c>
      <c r="O982" s="2" t="s">
        <v>155</v>
      </c>
      <c r="P982" s="2" t="s">
        <v>115</v>
      </c>
      <c r="Q982" s="2" t="s">
        <v>97</v>
      </c>
      <c r="R982" s="2" t="s">
        <v>98</v>
      </c>
      <c r="S982" s="2" t="s">
        <v>98</v>
      </c>
      <c r="T982" s="2" t="s">
        <v>98</v>
      </c>
      <c r="U982" s="2" t="s">
        <v>117</v>
      </c>
      <c r="V982" s="2" t="s">
        <v>439</v>
      </c>
      <c r="W982" s="2" t="s">
        <v>103</v>
      </c>
      <c r="X982" s="2" t="s">
        <v>98</v>
      </c>
      <c r="Y982" s="2" t="s">
        <v>4560</v>
      </c>
      <c r="Z982" s="4">
        <v>30</v>
      </c>
      <c r="AA982" s="4">
        <f>=ROUNDDOWN({0},0)</f>
      </c>
      <c r="AB982" s="5"/>
      <c r="AC982" s="2" t="s">
        <v>98</v>
      </c>
      <c r="AD982" s="4"/>
      <c r="AE982" s="4"/>
      <c r="AF982" s="6">
        <v>65</v>
      </c>
      <c r="AG982" s="6">
        <v>48</v>
      </c>
      <c r="AH982" s="7">
        <v>1</v>
      </c>
      <c r="AI982" s="4"/>
      <c r="AJ982" s="4">
        <f>=ROUNDDOWN({0},0)</f>
      </c>
      <c r="AK982" s="5"/>
      <c r="AL982" s="2" t="s">
        <v>98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/>
      <c r="AW982" s="8"/>
      <c r="AX982" s="4"/>
      <c r="AY982" s="8"/>
      <c r="AZ982" s="7"/>
      <c r="BA982" s="7"/>
      <c r="BB982" s="7"/>
      <c r="BC982" s="4"/>
      <c r="BD982" s="8"/>
      <c r="BE982" s="4"/>
      <c r="BF982" s="8"/>
      <c r="BG982" s="7"/>
      <c r="BH982" s="7"/>
      <c r="BI982" s="7"/>
      <c r="BJ982" s="4"/>
      <c r="BK982" s="8"/>
      <c r="BL982" s="2" t="s">
        <v>98</v>
      </c>
      <c r="BM982" s="7"/>
      <c r="BN982" s="7"/>
      <c r="BO982" s="4"/>
      <c r="BP982" s="8"/>
      <c r="BQ982" s="4"/>
      <c r="BR982" s="8"/>
      <c r="BS982" s="7"/>
      <c r="BT982" s="7"/>
      <c r="BU982" s="2" t="s">
        <v>1376</v>
      </c>
      <c r="BV982" s="2" t="s">
        <v>95</v>
      </c>
      <c r="BW982" s="2" t="s">
        <v>98</v>
      </c>
      <c r="BX982" s="2" t="s">
        <v>98</v>
      </c>
      <c r="BY982" s="2" t="s">
        <v>110</v>
      </c>
      <c r="BZ982" s="2" t="s">
        <v>98</v>
      </c>
    </row>
    <row r="983">
      <c r="A983" s="2" t="s">
        <v>4561</v>
      </c>
      <c r="B983" s="2" t="s">
        <v>1345</v>
      </c>
      <c r="C983" s="2" t="s">
        <v>1934</v>
      </c>
      <c r="D983" s="2" t="s">
        <v>3068</v>
      </c>
      <c r="E983" s="2" t="s">
        <v>3186</v>
      </c>
      <c r="F983" s="2" t="s">
        <v>4562</v>
      </c>
      <c r="G983" s="2" t="s">
        <v>4562</v>
      </c>
      <c r="H983" s="2" t="s">
        <v>4562</v>
      </c>
      <c r="I983" s="2" t="s">
        <v>4563</v>
      </c>
      <c r="J983" s="2" t="s">
        <v>93</v>
      </c>
      <c r="K983" s="2" t="s">
        <v>1439</v>
      </c>
      <c r="L983" s="3">
        <v>57.24</v>
      </c>
      <c r="M983" s="3">
        <v>60.1</v>
      </c>
      <c r="N983" s="3">
        <v>219</v>
      </c>
      <c r="O983" s="2" t="s">
        <v>95</v>
      </c>
      <c r="P983" s="2" t="s">
        <v>1934</v>
      </c>
      <c r="Q983" s="2" t="s">
        <v>97</v>
      </c>
      <c r="R983" s="2" t="s">
        <v>1387</v>
      </c>
      <c r="S983" s="2" t="s">
        <v>98</v>
      </c>
      <c r="T983" s="2" t="s">
        <v>98</v>
      </c>
      <c r="U983" s="2" t="s">
        <v>117</v>
      </c>
      <c r="V983" s="2" t="s">
        <v>296</v>
      </c>
      <c r="W983" s="2" t="s">
        <v>98</v>
      </c>
      <c r="X983" s="2" t="s">
        <v>98</v>
      </c>
      <c r="Y983" s="2" t="s">
        <v>98</v>
      </c>
      <c r="Z983" s="4"/>
      <c r="AA983" s="4">
        <f>=ROUNDDOWN({0},0)</f>
      </c>
      <c r="AB983" s="5"/>
      <c r="AC983" s="2" t="s">
        <v>98</v>
      </c>
      <c r="AD983" s="4"/>
      <c r="AE983" s="4"/>
      <c r="AF983" s="6"/>
      <c r="AG983" s="6"/>
      <c r="AH983" s="7">
        <v>0</v>
      </c>
      <c r="AI983" s="4"/>
      <c r="AJ983" s="4">
        <f>=ROUNDDOWN({0},0)</f>
      </c>
      <c r="AK983" s="5"/>
      <c r="AL983" s="2" t="s">
        <v>98</v>
      </c>
      <c r="AM983" s="4"/>
      <c r="AN983" s="4"/>
      <c r="AO983" s="7">
        <v>0</v>
      </c>
      <c r="AP983" s="4"/>
      <c r="AQ983" s="8"/>
      <c r="AR983" s="4"/>
      <c r="AS983" s="8"/>
      <c r="AT983" s="7"/>
      <c r="AU983" s="7"/>
      <c r="AV983" s="4"/>
      <c r="AW983" s="8"/>
      <c r="AX983" s="4"/>
      <c r="AY983" s="8"/>
      <c r="AZ983" s="7"/>
      <c r="BA983" s="7"/>
      <c r="BB983" s="7"/>
      <c r="BC983" s="4" t="s">
        <v>98</v>
      </c>
      <c r="BD983" s="8" t="s">
        <v>98</v>
      </c>
      <c r="BE983" s="4" t="s">
        <v>98</v>
      </c>
      <c r="BF983" s="8" t="s">
        <v>98</v>
      </c>
      <c r="BG983" s="7" t="s">
        <v>98</v>
      </c>
      <c r="BH983" s="7" t="s">
        <v>98</v>
      </c>
      <c r="BI983" s="7"/>
      <c r="BJ983" s="4"/>
      <c r="BK983" s="8"/>
      <c r="BL983" s="2" t="s">
        <v>98</v>
      </c>
      <c r="BM983" s="7"/>
      <c r="BN983" s="7"/>
      <c r="BO983" s="4"/>
      <c r="BP983" s="8"/>
      <c r="BQ983" s="4"/>
      <c r="BR983" s="8"/>
      <c r="BS983" s="7"/>
      <c r="BT983" s="7"/>
      <c r="BU983" s="2" t="s">
        <v>107</v>
      </c>
      <c r="BV983" s="2" t="s">
        <v>95</v>
      </c>
      <c r="BW983" s="2" t="s">
        <v>98</v>
      </c>
      <c r="BX983" s="2" t="s">
        <v>98</v>
      </c>
      <c r="BY983" s="2" t="s">
        <v>110</v>
      </c>
      <c r="BZ983" s="2" t="s">
        <v>98</v>
      </c>
    </row>
    <row r="984">
      <c r="A984" s="2" t="s">
        <v>4564</v>
      </c>
      <c r="B984" s="2" t="s">
        <v>1345</v>
      </c>
      <c r="C984" s="2" t="s">
        <v>1934</v>
      </c>
      <c r="D984" s="2" t="s">
        <v>3068</v>
      </c>
      <c r="E984" s="2" t="s">
        <v>3186</v>
      </c>
      <c r="F984" s="2" t="s">
        <v>4562</v>
      </c>
      <c r="G984" s="2" t="s">
        <v>4562</v>
      </c>
      <c r="H984" s="2" t="s">
        <v>4562</v>
      </c>
      <c r="I984" s="2" t="s">
        <v>4563</v>
      </c>
      <c r="J984" s="2" t="s">
        <v>93</v>
      </c>
      <c r="K984" s="2" t="s">
        <v>133</v>
      </c>
      <c r="L984" s="3">
        <v>57.24</v>
      </c>
      <c r="M984" s="3">
        <v>60.1</v>
      </c>
      <c r="N984" s="3">
        <v>219</v>
      </c>
      <c r="O984" s="2" t="s">
        <v>95</v>
      </c>
      <c r="P984" s="2" t="s">
        <v>1934</v>
      </c>
      <c r="Q984" s="2" t="s">
        <v>97</v>
      </c>
      <c r="R984" s="2" t="s">
        <v>1387</v>
      </c>
      <c r="S984" s="2" t="s">
        <v>98</v>
      </c>
      <c r="T984" s="2" t="s">
        <v>98</v>
      </c>
      <c r="U984" s="2" t="s">
        <v>117</v>
      </c>
      <c r="V984" s="2" t="s">
        <v>296</v>
      </c>
      <c r="W984" s="2" t="s">
        <v>98</v>
      </c>
      <c r="X984" s="2" t="s">
        <v>98</v>
      </c>
      <c r="Y984" s="2" t="s">
        <v>98</v>
      </c>
      <c r="Z984" s="4"/>
      <c r="AA984" s="4">
        <f>=ROUNDDOWN({0},0)</f>
      </c>
      <c r="AB984" s="5"/>
      <c r="AC984" s="2" t="s">
        <v>98</v>
      </c>
      <c r="AD984" s="4"/>
      <c r="AE984" s="4"/>
      <c r="AF984" s="6"/>
      <c r="AG984" s="6"/>
      <c r="AH984" s="7">
        <v>0</v>
      </c>
      <c r="AI984" s="4"/>
      <c r="AJ984" s="4">
        <f>=ROUNDDOWN({0},0)</f>
      </c>
      <c r="AK984" s="5"/>
      <c r="AL984" s="2" t="s">
        <v>98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/>
      <c r="AW984" s="8"/>
      <c r="AX984" s="4"/>
      <c r="AY984" s="8"/>
      <c r="AZ984" s="7"/>
      <c r="BA984" s="7"/>
      <c r="BB984" s="7"/>
      <c r="BC984" s="4" t="s">
        <v>98</v>
      </c>
      <c r="BD984" s="8" t="s">
        <v>98</v>
      </c>
      <c r="BE984" s="4" t="s">
        <v>98</v>
      </c>
      <c r="BF984" s="8" t="s">
        <v>98</v>
      </c>
      <c r="BG984" s="7" t="s">
        <v>98</v>
      </c>
      <c r="BH984" s="7" t="s">
        <v>98</v>
      </c>
      <c r="BI984" s="7"/>
      <c r="BJ984" s="4"/>
      <c r="BK984" s="8"/>
      <c r="BL984" s="2" t="s">
        <v>98</v>
      </c>
      <c r="BM984" s="7"/>
      <c r="BN984" s="7"/>
      <c r="BO984" s="4"/>
      <c r="BP984" s="8"/>
      <c r="BQ984" s="4"/>
      <c r="BR984" s="8"/>
      <c r="BS984" s="7"/>
      <c r="BT984" s="7"/>
      <c r="BU984" s="2" t="s">
        <v>107</v>
      </c>
      <c r="BV984" s="2" t="s">
        <v>95</v>
      </c>
      <c r="BW984" s="2" t="s">
        <v>98</v>
      </c>
      <c r="BX984" s="2" t="s">
        <v>98</v>
      </c>
      <c r="BY984" s="2" t="s">
        <v>110</v>
      </c>
      <c r="BZ984" s="2" t="s">
        <v>98</v>
      </c>
    </row>
    <row r="985">
      <c r="A985" s="2" t="s">
        <v>4565</v>
      </c>
      <c r="B985" s="2" t="s">
        <v>1345</v>
      </c>
      <c r="C985" s="2" t="s">
        <v>1934</v>
      </c>
      <c r="D985" s="2" t="s">
        <v>3068</v>
      </c>
      <c r="E985" s="2" t="s">
        <v>3186</v>
      </c>
      <c r="F985" s="2" t="s">
        <v>4562</v>
      </c>
      <c r="G985" s="2" t="s">
        <v>4562</v>
      </c>
      <c r="H985" s="2" t="s">
        <v>4562</v>
      </c>
      <c r="I985" s="2" t="s">
        <v>4563</v>
      </c>
      <c r="J985" s="2" t="s">
        <v>93</v>
      </c>
      <c r="K985" s="2" t="s">
        <v>357</v>
      </c>
      <c r="L985" s="3">
        <v>57.24</v>
      </c>
      <c r="M985" s="3">
        <v>60.1</v>
      </c>
      <c r="N985" s="3">
        <v>219</v>
      </c>
      <c r="O985" s="2" t="s">
        <v>95</v>
      </c>
      <c r="P985" s="2" t="s">
        <v>1934</v>
      </c>
      <c r="Q985" s="2" t="s">
        <v>97</v>
      </c>
      <c r="R985" s="2" t="s">
        <v>1387</v>
      </c>
      <c r="S985" s="2" t="s">
        <v>98</v>
      </c>
      <c r="T985" s="2" t="s">
        <v>98</v>
      </c>
      <c r="U985" s="2" t="s">
        <v>117</v>
      </c>
      <c r="V985" s="2" t="s">
        <v>296</v>
      </c>
      <c r="W985" s="2" t="s">
        <v>98</v>
      </c>
      <c r="X985" s="2" t="s">
        <v>98</v>
      </c>
      <c r="Y985" s="2" t="s">
        <v>98</v>
      </c>
      <c r="Z985" s="4"/>
      <c r="AA985" s="4">
        <f>=ROUNDDOWN({0},0)</f>
      </c>
      <c r="AB985" s="5"/>
      <c r="AC985" s="2" t="s">
        <v>98</v>
      </c>
      <c r="AD985" s="4"/>
      <c r="AE985" s="4"/>
      <c r="AF985" s="6"/>
      <c r="AG985" s="6"/>
      <c r="AH985" s="7">
        <v>0</v>
      </c>
      <c r="AI985" s="4"/>
      <c r="AJ985" s="4">
        <f>=ROUNDDOWN({0},0)</f>
      </c>
      <c r="AK985" s="5"/>
      <c r="AL985" s="2" t="s">
        <v>98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/>
      <c r="AW985" s="8"/>
      <c r="AX985" s="4"/>
      <c r="AY985" s="8"/>
      <c r="AZ985" s="7"/>
      <c r="BA985" s="7"/>
      <c r="BB985" s="7"/>
      <c r="BC985" s="4" t="s">
        <v>98</v>
      </c>
      <c r="BD985" s="8" t="s">
        <v>98</v>
      </c>
      <c r="BE985" s="4" t="s">
        <v>98</v>
      </c>
      <c r="BF985" s="8" t="s">
        <v>98</v>
      </c>
      <c r="BG985" s="7" t="s">
        <v>98</v>
      </c>
      <c r="BH985" s="7" t="s">
        <v>98</v>
      </c>
      <c r="BI985" s="7"/>
      <c r="BJ985" s="4"/>
      <c r="BK985" s="8"/>
      <c r="BL985" s="2" t="s">
        <v>98</v>
      </c>
      <c r="BM985" s="7"/>
      <c r="BN985" s="7"/>
      <c r="BO985" s="4"/>
      <c r="BP985" s="8"/>
      <c r="BQ985" s="4"/>
      <c r="BR985" s="8"/>
      <c r="BS985" s="7"/>
      <c r="BT985" s="7"/>
      <c r="BU985" s="2" t="s">
        <v>107</v>
      </c>
      <c r="BV985" s="2" t="s">
        <v>95</v>
      </c>
      <c r="BW985" s="2" t="s">
        <v>98</v>
      </c>
      <c r="BX985" s="2" t="s">
        <v>98</v>
      </c>
      <c r="BY985" s="2" t="s">
        <v>110</v>
      </c>
      <c r="BZ985" s="2" t="s">
        <v>98</v>
      </c>
    </row>
    <row r="986">
      <c r="A986" s="2" t="s">
        <v>4566</v>
      </c>
      <c r="B986" s="2" t="s">
        <v>1345</v>
      </c>
      <c r="C986" s="2" t="s">
        <v>1934</v>
      </c>
      <c r="D986" s="2" t="s">
        <v>1346</v>
      </c>
      <c r="E986" s="2" t="s">
        <v>1876</v>
      </c>
      <c r="F986" s="2" t="s">
        <v>4567</v>
      </c>
      <c r="G986" s="2" t="s">
        <v>4567</v>
      </c>
      <c r="H986" s="2" t="s">
        <v>4567</v>
      </c>
      <c r="I986" s="2" t="s">
        <v>1432</v>
      </c>
      <c r="J986" s="2" t="s">
        <v>93</v>
      </c>
      <c r="K986" s="2" t="s">
        <v>133</v>
      </c>
      <c r="L986" s="3">
        <v>111.95</v>
      </c>
      <c r="M986" s="3">
        <v>117.55</v>
      </c>
      <c r="N986" s="3"/>
      <c r="O986" s="2" t="s">
        <v>95</v>
      </c>
      <c r="P986" s="2" t="s">
        <v>1934</v>
      </c>
      <c r="Q986" s="2" t="s">
        <v>97</v>
      </c>
      <c r="R986" s="2" t="s">
        <v>1387</v>
      </c>
      <c r="S986" s="2" t="s">
        <v>98</v>
      </c>
      <c r="T986" s="2" t="s">
        <v>98</v>
      </c>
      <c r="U986" s="2" t="s">
        <v>117</v>
      </c>
      <c r="V986" s="2" t="s">
        <v>296</v>
      </c>
      <c r="W986" s="2" t="s">
        <v>98</v>
      </c>
      <c r="X986" s="2" t="s">
        <v>98</v>
      </c>
      <c r="Y986" s="2" t="s">
        <v>98</v>
      </c>
      <c r="Z986" s="4"/>
      <c r="AA986" s="4">
        <f>=ROUNDDOWN({0},0)</f>
      </c>
      <c r="AB986" s="5"/>
      <c r="AC986" s="2" t="s">
        <v>98</v>
      </c>
      <c r="AD986" s="4"/>
      <c r="AE986" s="4"/>
      <c r="AF986" s="6"/>
      <c r="AG986" s="6"/>
      <c r="AH986" s="7">
        <v>0</v>
      </c>
      <c r="AI986" s="4"/>
      <c r="AJ986" s="4">
        <f>=ROUNDDOWN({0},0)</f>
      </c>
      <c r="AK986" s="5"/>
      <c r="AL986" s="2" t="s">
        <v>98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/>
      <c r="AW986" s="8"/>
      <c r="AX986" s="4"/>
      <c r="AY986" s="8"/>
      <c r="AZ986" s="7"/>
      <c r="BA986" s="7"/>
      <c r="BB986" s="7"/>
      <c r="BC986" s="4"/>
      <c r="BD986" s="8"/>
      <c r="BE986" s="4"/>
      <c r="BF986" s="8"/>
      <c r="BG986" s="7"/>
      <c r="BH986" s="7"/>
      <c r="BI986" s="7"/>
      <c r="BJ986" s="4"/>
      <c r="BK986" s="8"/>
      <c r="BL986" s="2" t="s">
        <v>98</v>
      </c>
      <c r="BM986" s="7"/>
      <c r="BN986" s="7"/>
      <c r="BO986" s="4"/>
      <c r="BP986" s="8"/>
      <c r="BQ986" s="4"/>
      <c r="BR986" s="8"/>
      <c r="BS986" s="7"/>
      <c r="BT986" s="7"/>
      <c r="BU986" s="2" t="s">
        <v>107</v>
      </c>
      <c r="BV986" s="2" t="s">
        <v>95</v>
      </c>
      <c r="BW986" s="2" t="s">
        <v>98</v>
      </c>
      <c r="BX986" s="2" t="s">
        <v>98</v>
      </c>
      <c r="BY986" s="2" t="s">
        <v>110</v>
      </c>
      <c r="BZ986" s="2" t="s">
        <v>98</v>
      </c>
    </row>
    <row r="987">
      <c r="A987" s="2" t="s">
        <v>4568</v>
      </c>
      <c r="B987" s="2" t="s">
        <v>1345</v>
      </c>
      <c r="C987" s="2" t="s">
        <v>1934</v>
      </c>
      <c r="D987" s="2" t="s">
        <v>1346</v>
      </c>
      <c r="E987" s="2" t="s">
        <v>1876</v>
      </c>
      <c r="F987" s="2" t="s">
        <v>4569</v>
      </c>
      <c r="G987" s="2" t="s">
        <v>4569</v>
      </c>
      <c r="H987" s="2" t="s">
        <v>4569</v>
      </c>
      <c r="I987" s="2" t="s">
        <v>1432</v>
      </c>
      <c r="J987" s="2" t="s">
        <v>93</v>
      </c>
      <c r="K987" s="2" t="s">
        <v>295</v>
      </c>
      <c r="L987" s="3">
        <v>82.2</v>
      </c>
      <c r="M987" s="3">
        <v>86.31</v>
      </c>
      <c r="N987" s="3"/>
      <c r="O987" s="2" t="s">
        <v>95</v>
      </c>
      <c r="P987" s="2" t="s">
        <v>1934</v>
      </c>
      <c r="Q987" s="2" t="s">
        <v>97</v>
      </c>
      <c r="R987" s="2" t="s">
        <v>1387</v>
      </c>
      <c r="S987" s="2" t="s">
        <v>98</v>
      </c>
      <c r="T987" s="2" t="s">
        <v>98</v>
      </c>
      <c r="U987" s="2" t="s">
        <v>117</v>
      </c>
      <c r="V987" s="2" t="s">
        <v>296</v>
      </c>
      <c r="W987" s="2" t="s">
        <v>98</v>
      </c>
      <c r="X987" s="2" t="s">
        <v>98</v>
      </c>
      <c r="Y987" s="2" t="s">
        <v>4570</v>
      </c>
      <c r="Z987" s="4"/>
      <c r="AA987" s="4">
        <f>=ROUNDDOWN({0},0)</f>
      </c>
      <c r="AB987" s="5"/>
      <c r="AC987" s="2" t="s">
        <v>98</v>
      </c>
      <c r="AD987" s="4"/>
      <c r="AE987" s="4"/>
      <c r="AF987" s="6"/>
      <c r="AG987" s="6"/>
      <c r="AH987" s="7">
        <v>0</v>
      </c>
      <c r="AI987" s="4"/>
      <c r="AJ987" s="4">
        <f>=ROUNDDOWN({0},0)</f>
      </c>
      <c r="AK987" s="5"/>
      <c r="AL987" s="2" t="s">
        <v>98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/>
      <c r="AW987" s="8"/>
      <c r="AX987" s="4"/>
      <c r="AY987" s="8"/>
      <c r="AZ987" s="7"/>
      <c r="BA987" s="7"/>
      <c r="BB987" s="7"/>
      <c r="BC987" s="4"/>
      <c r="BD987" s="8"/>
      <c r="BE987" s="4"/>
      <c r="BF987" s="8"/>
      <c r="BG987" s="7"/>
      <c r="BH987" s="7"/>
      <c r="BI987" s="7"/>
      <c r="BJ987" s="4"/>
      <c r="BK987" s="8"/>
      <c r="BL987" s="2" t="s">
        <v>98</v>
      </c>
      <c r="BM987" s="7"/>
      <c r="BN987" s="7"/>
      <c r="BO987" s="4"/>
      <c r="BP987" s="8"/>
      <c r="BQ987" s="4"/>
      <c r="BR987" s="8"/>
      <c r="BS987" s="7"/>
      <c r="BT987" s="7"/>
      <c r="BU987" s="2" t="s">
        <v>107</v>
      </c>
      <c r="BV987" s="2" t="s">
        <v>95</v>
      </c>
      <c r="BW987" s="2" t="s">
        <v>98</v>
      </c>
      <c r="BX987" s="2" t="s">
        <v>98</v>
      </c>
      <c r="BY987" s="2" t="s">
        <v>110</v>
      </c>
      <c r="BZ987" s="2" t="s">
        <v>98</v>
      </c>
    </row>
    <row r="988">
      <c r="A988" s="2" t="s">
        <v>4571</v>
      </c>
      <c r="B988" s="2" t="s">
        <v>1345</v>
      </c>
      <c r="C988" s="2" t="s">
        <v>1934</v>
      </c>
      <c r="D988" s="2" t="s">
        <v>1346</v>
      </c>
      <c r="E988" s="2" t="s">
        <v>1876</v>
      </c>
      <c r="F988" s="2" t="s">
        <v>2218</v>
      </c>
      <c r="G988" s="2" t="s">
        <v>2218</v>
      </c>
      <c r="H988" s="2" t="s">
        <v>2218</v>
      </c>
      <c r="I988" s="2" t="s">
        <v>1432</v>
      </c>
      <c r="J988" s="2" t="s">
        <v>93</v>
      </c>
      <c r="K988" s="2" t="s">
        <v>295</v>
      </c>
      <c r="L988" s="3">
        <v>89.5</v>
      </c>
      <c r="M988" s="3">
        <v>93.98</v>
      </c>
      <c r="N988" s="3"/>
      <c r="O988" s="2" t="s">
        <v>95</v>
      </c>
      <c r="P988" s="2" t="s">
        <v>1934</v>
      </c>
      <c r="Q988" s="2" t="s">
        <v>97</v>
      </c>
      <c r="R988" s="2" t="s">
        <v>1387</v>
      </c>
      <c r="S988" s="2" t="s">
        <v>98</v>
      </c>
      <c r="T988" s="2" t="s">
        <v>98</v>
      </c>
      <c r="U988" s="2" t="s">
        <v>117</v>
      </c>
      <c r="V988" s="2" t="s">
        <v>296</v>
      </c>
      <c r="W988" s="2" t="s">
        <v>98</v>
      </c>
      <c r="X988" s="2" t="s">
        <v>98</v>
      </c>
      <c r="Y988" s="2" t="s">
        <v>907</v>
      </c>
      <c r="Z988" s="4"/>
      <c r="AA988" s="4">
        <f>=ROUNDDOWN({0},0)</f>
      </c>
      <c r="AB988" s="5"/>
      <c r="AC988" s="2" t="s">
        <v>98</v>
      </c>
      <c r="AD988" s="4"/>
      <c r="AE988" s="4"/>
      <c r="AF988" s="6"/>
      <c r="AG988" s="6"/>
      <c r="AH988" s="7">
        <v>0</v>
      </c>
      <c r="AI988" s="4"/>
      <c r="AJ988" s="4">
        <f>=ROUNDDOWN({0},0)</f>
      </c>
      <c r="AK988" s="5"/>
      <c r="AL988" s="2" t="s">
        <v>98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 t="s">
        <v>98</v>
      </c>
      <c r="AW988" s="8" t="s">
        <v>98</v>
      </c>
      <c r="AX988" s="4" t="s">
        <v>98</v>
      </c>
      <c r="AY988" s="8" t="s">
        <v>98</v>
      </c>
      <c r="AZ988" s="7" t="s">
        <v>98</v>
      </c>
      <c r="BA988" s="7" t="s">
        <v>98</v>
      </c>
      <c r="BB988" s="7" t="s">
        <v>98</v>
      </c>
      <c r="BC988" s="4" t="s">
        <v>98</v>
      </c>
      <c r="BD988" s="8" t="s">
        <v>98</v>
      </c>
      <c r="BE988" s="4" t="s">
        <v>98</v>
      </c>
      <c r="BF988" s="8" t="s">
        <v>98</v>
      </c>
      <c r="BG988" s="7" t="s">
        <v>98</v>
      </c>
      <c r="BH988" s="7" t="s">
        <v>98</v>
      </c>
      <c r="BI988" s="7"/>
      <c r="BJ988" s="4"/>
      <c r="BK988" s="8"/>
      <c r="BL988" s="2" t="s">
        <v>98</v>
      </c>
      <c r="BM988" s="7"/>
      <c r="BN988" s="7"/>
      <c r="BO988" s="4"/>
      <c r="BP988" s="8"/>
      <c r="BQ988" s="4"/>
      <c r="BR988" s="8"/>
      <c r="BS988" s="7"/>
      <c r="BT988" s="7"/>
      <c r="BU988" s="2" t="s">
        <v>107</v>
      </c>
      <c r="BV988" s="2" t="s">
        <v>95</v>
      </c>
      <c r="BW988" s="2" t="s">
        <v>98</v>
      </c>
      <c r="BX988" s="2" t="s">
        <v>98</v>
      </c>
      <c r="BY988" s="2" t="s">
        <v>110</v>
      </c>
      <c r="BZ988" s="2" t="s">
        <v>98</v>
      </c>
    </row>
    <row r="989">
      <c r="A989" s="2" t="s">
        <v>4572</v>
      </c>
      <c r="B989" s="2" t="s">
        <v>1345</v>
      </c>
      <c r="C989" s="2" t="s">
        <v>1934</v>
      </c>
      <c r="D989" s="2" t="s">
        <v>1346</v>
      </c>
      <c r="E989" s="2" t="s">
        <v>1876</v>
      </c>
      <c r="F989" s="2" t="s">
        <v>2218</v>
      </c>
      <c r="G989" s="2" t="s">
        <v>2218</v>
      </c>
      <c r="H989" s="2" t="s">
        <v>2218</v>
      </c>
      <c r="I989" s="2" t="s">
        <v>1432</v>
      </c>
      <c r="J989" s="2" t="s">
        <v>93</v>
      </c>
      <c r="K989" s="2" t="s">
        <v>295</v>
      </c>
      <c r="L989" s="3">
        <v>89.5</v>
      </c>
      <c r="M989" s="3">
        <v>93.98</v>
      </c>
      <c r="N989" s="3"/>
      <c r="O989" s="2" t="s">
        <v>95</v>
      </c>
      <c r="P989" s="2" t="s">
        <v>1934</v>
      </c>
      <c r="Q989" s="2" t="s">
        <v>97</v>
      </c>
      <c r="R989" s="2" t="s">
        <v>1387</v>
      </c>
      <c r="S989" s="2" t="s">
        <v>98</v>
      </c>
      <c r="T989" s="2" t="s">
        <v>98</v>
      </c>
      <c r="U989" s="2" t="s">
        <v>117</v>
      </c>
      <c r="V989" s="2" t="s">
        <v>296</v>
      </c>
      <c r="W989" s="2" t="s">
        <v>98</v>
      </c>
      <c r="X989" s="2" t="s">
        <v>98</v>
      </c>
      <c r="Y989" s="2" t="s">
        <v>907</v>
      </c>
      <c r="Z989" s="4"/>
      <c r="AA989" s="4">
        <f>=ROUNDDOWN({0},0)</f>
      </c>
      <c r="AB989" s="5"/>
      <c r="AC989" s="2" t="s">
        <v>98</v>
      </c>
      <c r="AD989" s="4"/>
      <c r="AE989" s="4"/>
      <c r="AF989" s="6"/>
      <c r="AG989" s="6"/>
      <c r="AH989" s="7">
        <v>0</v>
      </c>
      <c r="AI989" s="4"/>
      <c r="AJ989" s="4">
        <f>=ROUNDDOWN({0},0)</f>
      </c>
      <c r="AK989" s="5"/>
      <c r="AL989" s="2" t="s">
        <v>98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 t="s">
        <v>98</v>
      </c>
      <c r="AW989" s="8" t="s">
        <v>98</v>
      </c>
      <c r="AX989" s="4" t="s">
        <v>98</v>
      </c>
      <c r="AY989" s="8" t="s">
        <v>98</v>
      </c>
      <c r="AZ989" s="7" t="s">
        <v>98</v>
      </c>
      <c r="BA989" s="7" t="s">
        <v>98</v>
      </c>
      <c r="BB989" s="7" t="s">
        <v>98</v>
      </c>
      <c r="BC989" s="4" t="s">
        <v>98</v>
      </c>
      <c r="BD989" s="8" t="s">
        <v>98</v>
      </c>
      <c r="BE989" s="4" t="s">
        <v>98</v>
      </c>
      <c r="BF989" s="8" t="s">
        <v>98</v>
      </c>
      <c r="BG989" s="7" t="s">
        <v>98</v>
      </c>
      <c r="BH989" s="7" t="s">
        <v>98</v>
      </c>
      <c r="BI989" s="7"/>
      <c r="BJ989" s="4"/>
      <c r="BK989" s="8"/>
      <c r="BL989" s="2" t="s">
        <v>98</v>
      </c>
      <c r="BM989" s="7"/>
      <c r="BN989" s="7"/>
      <c r="BO989" s="4"/>
      <c r="BP989" s="8"/>
      <c r="BQ989" s="4"/>
      <c r="BR989" s="8"/>
      <c r="BS989" s="7"/>
      <c r="BT989" s="7"/>
      <c r="BU989" s="2" t="s">
        <v>107</v>
      </c>
      <c r="BV989" s="2" t="s">
        <v>95</v>
      </c>
      <c r="BW989" s="2" t="s">
        <v>98</v>
      </c>
      <c r="BX989" s="2" t="s">
        <v>98</v>
      </c>
      <c r="BY989" s="2" t="s">
        <v>110</v>
      </c>
      <c r="BZ989" s="2" t="s">
        <v>98</v>
      </c>
    </row>
    <row r="990">
      <c r="A990" s="2" t="s">
        <v>4573</v>
      </c>
      <c r="B990" s="2" t="s">
        <v>1345</v>
      </c>
      <c r="C990" s="2" t="s">
        <v>1934</v>
      </c>
      <c r="D990" s="2" t="s">
        <v>2390</v>
      </c>
      <c r="E990" s="2" t="s">
        <v>2391</v>
      </c>
      <c r="F990" s="2" t="s">
        <v>4574</v>
      </c>
      <c r="G990" s="2" t="s">
        <v>4574</v>
      </c>
      <c r="H990" s="2" t="s">
        <v>4574</v>
      </c>
      <c r="I990" s="2" t="s">
        <v>2433</v>
      </c>
      <c r="J990" s="2" t="s">
        <v>93</v>
      </c>
      <c r="K990" s="2" t="s">
        <v>1439</v>
      </c>
      <c r="L990" s="3">
        <v>37.18</v>
      </c>
      <c r="M990" s="3">
        <v>39.04</v>
      </c>
      <c r="N990" s="3">
        <v>149</v>
      </c>
      <c r="O990" s="2" t="s">
        <v>95</v>
      </c>
      <c r="P990" s="2" t="s">
        <v>1934</v>
      </c>
      <c r="Q990" s="2" t="s">
        <v>97</v>
      </c>
      <c r="R990" s="2" t="s">
        <v>1387</v>
      </c>
      <c r="S990" s="2" t="s">
        <v>98</v>
      </c>
      <c r="T990" s="2" t="s">
        <v>98</v>
      </c>
      <c r="U990" s="2" t="s">
        <v>117</v>
      </c>
      <c r="V990" s="2" t="s">
        <v>296</v>
      </c>
      <c r="W990" s="2" t="s">
        <v>98</v>
      </c>
      <c r="X990" s="2" t="s">
        <v>98</v>
      </c>
      <c r="Y990" s="2" t="s">
        <v>98</v>
      </c>
      <c r="Z990" s="4"/>
      <c r="AA990" s="4">
        <f>=ROUNDDOWN({0},0)</f>
      </c>
      <c r="AB990" s="5"/>
      <c r="AC990" s="2" t="s">
        <v>98</v>
      </c>
      <c r="AD990" s="4"/>
      <c r="AE990" s="4"/>
      <c r="AF990" s="6"/>
      <c r="AG990" s="6"/>
      <c r="AH990" s="7">
        <v>0</v>
      </c>
      <c r="AI990" s="4"/>
      <c r="AJ990" s="4">
        <f>=ROUNDDOWN({0},0)</f>
      </c>
      <c r="AK990" s="5"/>
      <c r="AL990" s="2" t="s">
        <v>98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/>
      <c r="AW990" s="8"/>
      <c r="AX990" s="4"/>
      <c r="AY990" s="8"/>
      <c r="AZ990" s="7"/>
      <c r="BA990" s="7"/>
      <c r="BB990" s="7"/>
      <c r="BC990" s="4" t="s">
        <v>98</v>
      </c>
      <c r="BD990" s="8" t="s">
        <v>98</v>
      </c>
      <c r="BE990" s="4" t="s">
        <v>98</v>
      </c>
      <c r="BF990" s="8" t="s">
        <v>98</v>
      </c>
      <c r="BG990" s="7" t="s">
        <v>98</v>
      </c>
      <c r="BH990" s="7" t="s">
        <v>98</v>
      </c>
      <c r="BI990" s="7"/>
      <c r="BJ990" s="4"/>
      <c r="BK990" s="8"/>
      <c r="BL990" s="2" t="s">
        <v>98</v>
      </c>
      <c r="BM990" s="7"/>
      <c r="BN990" s="7"/>
      <c r="BO990" s="4"/>
      <c r="BP990" s="8"/>
      <c r="BQ990" s="4"/>
      <c r="BR990" s="8"/>
      <c r="BS990" s="7"/>
      <c r="BT990" s="7"/>
      <c r="BU990" s="2" t="s">
        <v>107</v>
      </c>
      <c r="BV990" s="2" t="s">
        <v>95</v>
      </c>
      <c r="BW990" s="2" t="s">
        <v>98</v>
      </c>
      <c r="BX990" s="2" t="s">
        <v>98</v>
      </c>
      <c r="BY990" s="2" t="s">
        <v>110</v>
      </c>
      <c r="BZ990" s="2" t="s">
        <v>98</v>
      </c>
    </row>
    <row r="991">
      <c r="A991" s="2" t="s">
        <v>4575</v>
      </c>
      <c r="B991" s="2" t="s">
        <v>1345</v>
      </c>
      <c r="C991" s="2" t="s">
        <v>1934</v>
      </c>
      <c r="D991" s="2" t="s">
        <v>2390</v>
      </c>
      <c r="E991" s="2" t="s">
        <v>2391</v>
      </c>
      <c r="F991" s="2" t="s">
        <v>4574</v>
      </c>
      <c r="G991" s="2" t="s">
        <v>4574</v>
      </c>
      <c r="H991" s="2" t="s">
        <v>4574</v>
      </c>
      <c r="I991" s="2" t="s">
        <v>2433</v>
      </c>
      <c r="J991" s="2" t="s">
        <v>93</v>
      </c>
      <c r="K991" s="2" t="s">
        <v>133</v>
      </c>
      <c r="L991" s="3">
        <v>37.18</v>
      </c>
      <c r="M991" s="3">
        <v>39.04</v>
      </c>
      <c r="N991" s="3">
        <v>149</v>
      </c>
      <c r="O991" s="2" t="s">
        <v>95</v>
      </c>
      <c r="P991" s="2" t="s">
        <v>1934</v>
      </c>
      <c r="Q991" s="2" t="s">
        <v>97</v>
      </c>
      <c r="R991" s="2" t="s">
        <v>1387</v>
      </c>
      <c r="S991" s="2" t="s">
        <v>98</v>
      </c>
      <c r="T991" s="2" t="s">
        <v>98</v>
      </c>
      <c r="U991" s="2" t="s">
        <v>117</v>
      </c>
      <c r="V991" s="2" t="s">
        <v>296</v>
      </c>
      <c r="W991" s="2" t="s">
        <v>98</v>
      </c>
      <c r="X991" s="2" t="s">
        <v>98</v>
      </c>
      <c r="Y991" s="2" t="s">
        <v>98</v>
      </c>
      <c r="Z991" s="4"/>
      <c r="AA991" s="4">
        <f>=ROUNDDOWN({0},0)</f>
      </c>
      <c r="AB991" s="5"/>
      <c r="AC991" s="2" t="s">
        <v>98</v>
      </c>
      <c r="AD991" s="4"/>
      <c r="AE991" s="4"/>
      <c r="AF991" s="6"/>
      <c r="AG991" s="6"/>
      <c r="AH991" s="7">
        <v>0</v>
      </c>
      <c r="AI991" s="4"/>
      <c r="AJ991" s="4">
        <f>=ROUNDDOWN({0},0)</f>
      </c>
      <c r="AK991" s="5"/>
      <c r="AL991" s="2" t="s">
        <v>98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/>
      <c r="AW991" s="8"/>
      <c r="AX991" s="4"/>
      <c r="AY991" s="8"/>
      <c r="AZ991" s="7"/>
      <c r="BA991" s="7"/>
      <c r="BB991" s="7"/>
      <c r="BC991" s="4" t="s">
        <v>98</v>
      </c>
      <c r="BD991" s="8" t="s">
        <v>98</v>
      </c>
      <c r="BE991" s="4" t="s">
        <v>98</v>
      </c>
      <c r="BF991" s="8" t="s">
        <v>98</v>
      </c>
      <c r="BG991" s="7" t="s">
        <v>98</v>
      </c>
      <c r="BH991" s="7" t="s">
        <v>98</v>
      </c>
      <c r="BI991" s="7"/>
      <c r="BJ991" s="4"/>
      <c r="BK991" s="8"/>
      <c r="BL991" s="2" t="s">
        <v>98</v>
      </c>
      <c r="BM991" s="7"/>
      <c r="BN991" s="7"/>
      <c r="BO991" s="4"/>
      <c r="BP991" s="8"/>
      <c r="BQ991" s="4"/>
      <c r="BR991" s="8"/>
      <c r="BS991" s="7"/>
      <c r="BT991" s="7"/>
      <c r="BU991" s="2" t="s">
        <v>107</v>
      </c>
      <c r="BV991" s="2" t="s">
        <v>95</v>
      </c>
      <c r="BW991" s="2" t="s">
        <v>98</v>
      </c>
      <c r="BX991" s="2" t="s">
        <v>98</v>
      </c>
      <c r="BY991" s="2" t="s">
        <v>110</v>
      </c>
      <c r="BZ991" s="2" t="s">
        <v>98</v>
      </c>
    </row>
    <row r="992">
      <c r="A992" s="2" t="s">
        <v>4576</v>
      </c>
      <c r="B992" s="2" t="s">
        <v>1345</v>
      </c>
      <c r="C992" s="2" t="s">
        <v>1934</v>
      </c>
      <c r="D992" s="2" t="s">
        <v>2390</v>
      </c>
      <c r="E992" s="2" t="s">
        <v>2391</v>
      </c>
      <c r="F992" s="2" t="s">
        <v>4574</v>
      </c>
      <c r="G992" s="2" t="s">
        <v>4574</v>
      </c>
      <c r="H992" s="2" t="s">
        <v>4574</v>
      </c>
      <c r="I992" s="2" t="s">
        <v>2433</v>
      </c>
      <c r="J992" s="2" t="s">
        <v>93</v>
      </c>
      <c r="K992" s="2" t="s">
        <v>357</v>
      </c>
      <c r="L992" s="3">
        <v>37.18</v>
      </c>
      <c r="M992" s="3">
        <v>39.04</v>
      </c>
      <c r="N992" s="3">
        <v>149</v>
      </c>
      <c r="O992" s="2" t="s">
        <v>95</v>
      </c>
      <c r="P992" s="2" t="s">
        <v>1934</v>
      </c>
      <c r="Q992" s="2" t="s">
        <v>97</v>
      </c>
      <c r="R992" s="2" t="s">
        <v>1387</v>
      </c>
      <c r="S992" s="2" t="s">
        <v>98</v>
      </c>
      <c r="T992" s="2" t="s">
        <v>98</v>
      </c>
      <c r="U992" s="2" t="s">
        <v>117</v>
      </c>
      <c r="V992" s="2" t="s">
        <v>296</v>
      </c>
      <c r="W992" s="2" t="s">
        <v>98</v>
      </c>
      <c r="X992" s="2" t="s">
        <v>98</v>
      </c>
      <c r="Y992" s="2" t="s">
        <v>4577</v>
      </c>
      <c r="Z992" s="4"/>
      <c r="AA992" s="4">
        <f>=ROUNDDOWN({0},0)</f>
      </c>
      <c r="AB992" s="5"/>
      <c r="AC992" s="2" t="s">
        <v>98</v>
      </c>
      <c r="AD992" s="4"/>
      <c r="AE992" s="4"/>
      <c r="AF992" s="6"/>
      <c r="AG992" s="6"/>
      <c r="AH992" s="7">
        <v>0</v>
      </c>
      <c r="AI992" s="4"/>
      <c r="AJ992" s="4">
        <f>=ROUNDDOWN({0},0)</f>
      </c>
      <c r="AK992" s="5"/>
      <c r="AL992" s="2" t="s">
        <v>98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/>
      <c r="AW992" s="8"/>
      <c r="AX992" s="4"/>
      <c r="AY992" s="8"/>
      <c r="AZ992" s="7"/>
      <c r="BA992" s="7"/>
      <c r="BB992" s="7"/>
      <c r="BC992" s="4" t="s">
        <v>98</v>
      </c>
      <c r="BD992" s="8" t="s">
        <v>98</v>
      </c>
      <c r="BE992" s="4" t="s">
        <v>98</v>
      </c>
      <c r="BF992" s="8" t="s">
        <v>98</v>
      </c>
      <c r="BG992" s="7" t="s">
        <v>98</v>
      </c>
      <c r="BH992" s="7" t="s">
        <v>98</v>
      </c>
      <c r="BI992" s="7"/>
      <c r="BJ992" s="4"/>
      <c r="BK992" s="8"/>
      <c r="BL992" s="2" t="s">
        <v>98</v>
      </c>
      <c r="BM992" s="7"/>
      <c r="BN992" s="7"/>
      <c r="BO992" s="4"/>
      <c r="BP992" s="8"/>
      <c r="BQ992" s="4"/>
      <c r="BR992" s="8"/>
      <c r="BS992" s="7"/>
      <c r="BT992" s="7"/>
      <c r="BU992" s="2" t="s">
        <v>107</v>
      </c>
      <c r="BV992" s="2" t="s">
        <v>95</v>
      </c>
      <c r="BW992" s="2" t="s">
        <v>98</v>
      </c>
      <c r="BX992" s="2" t="s">
        <v>98</v>
      </c>
      <c r="BY992" s="2" t="s">
        <v>110</v>
      </c>
      <c r="BZ992" s="2" t="s">
        <v>98</v>
      </c>
    </row>
    <row r="993">
      <c r="A993" s="2" t="s">
        <v>4578</v>
      </c>
      <c r="B993" s="2" t="s">
        <v>1345</v>
      </c>
      <c r="C993" s="2" t="s">
        <v>1934</v>
      </c>
      <c r="D993" s="2" t="s">
        <v>2390</v>
      </c>
      <c r="E993" s="2" t="s">
        <v>2391</v>
      </c>
      <c r="F993" s="2" t="s">
        <v>4574</v>
      </c>
      <c r="G993" s="2" t="s">
        <v>4574</v>
      </c>
      <c r="H993" s="2" t="s">
        <v>4574</v>
      </c>
      <c r="I993" s="2" t="s">
        <v>2433</v>
      </c>
      <c r="J993" s="2" t="s">
        <v>93</v>
      </c>
      <c r="K993" s="2" t="s">
        <v>2139</v>
      </c>
      <c r="L993" s="3">
        <v>37.18</v>
      </c>
      <c r="M993" s="3">
        <v>39.04</v>
      </c>
      <c r="N993" s="3">
        <v>149</v>
      </c>
      <c r="O993" s="2" t="s">
        <v>95</v>
      </c>
      <c r="P993" s="2" t="s">
        <v>1934</v>
      </c>
      <c r="Q993" s="2" t="s">
        <v>97</v>
      </c>
      <c r="R993" s="2" t="s">
        <v>1387</v>
      </c>
      <c r="S993" s="2" t="s">
        <v>98</v>
      </c>
      <c r="T993" s="2" t="s">
        <v>98</v>
      </c>
      <c r="U993" s="2" t="s">
        <v>117</v>
      </c>
      <c r="V993" s="2" t="s">
        <v>296</v>
      </c>
      <c r="W993" s="2" t="s">
        <v>98</v>
      </c>
      <c r="X993" s="2" t="s">
        <v>98</v>
      </c>
      <c r="Y993" s="2" t="s">
        <v>4577</v>
      </c>
      <c r="Z993" s="4"/>
      <c r="AA993" s="4">
        <f>=ROUNDDOWN({0},0)</f>
      </c>
      <c r="AB993" s="5"/>
      <c r="AC993" s="2" t="s">
        <v>98</v>
      </c>
      <c r="AD993" s="4"/>
      <c r="AE993" s="4"/>
      <c r="AF993" s="6"/>
      <c r="AG993" s="6"/>
      <c r="AH993" s="7">
        <v>0</v>
      </c>
      <c r="AI993" s="4"/>
      <c r="AJ993" s="4">
        <f>=ROUNDDOWN({0},0)</f>
      </c>
      <c r="AK993" s="5"/>
      <c r="AL993" s="2" t="s">
        <v>98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/>
      <c r="AW993" s="8"/>
      <c r="AX993" s="4"/>
      <c r="AY993" s="8"/>
      <c r="AZ993" s="7"/>
      <c r="BA993" s="7"/>
      <c r="BB993" s="7"/>
      <c r="BC993" s="4" t="s">
        <v>98</v>
      </c>
      <c r="BD993" s="8" t="s">
        <v>98</v>
      </c>
      <c r="BE993" s="4" t="s">
        <v>98</v>
      </c>
      <c r="BF993" s="8" t="s">
        <v>98</v>
      </c>
      <c r="BG993" s="7" t="s">
        <v>98</v>
      </c>
      <c r="BH993" s="7" t="s">
        <v>98</v>
      </c>
      <c r="BI993" s="7"/>
      <c r="BJ993" s="4"/>
      <c r="BK993" s="8"/>
      <c r="BL993" s="2" t="s">
        <v>98</v>
      </c>
      <c r="BM993" s="7"/>
      <c r="BN993" s="7"/>
      <c r="BO993" s="4"/>
      <c r="BP993" s="8"/>
      <c r="BQ993" s="4"/>
      <c r="BR993" s="8"/>
      <c r="BS993" s="7"/>
      <c r="BT993" s="7"/>
      <c r="BU993" s="2" t="s">
        <v>107</v>
      </c>
      <c r="BV993" s="2" t="s">
        <v>95</v>
      </c>
      <c r="BW993" s="2" t="s">
        <v>98</v>
      </c>
      <c r="BX993" s="2" t="s">
        <v>98</v>
      </c>
      <c r="BY993" s="2" t="s">
        <v>110</v>
      </c>
      <c r="BZ993" s="2" t="s">
        <v>98</v>
      </c>
    </row>
    <row r="994">
      <c r="A994" s="2" t="s">
        <v>4579</v>
      </c>
      <c r="B994" s="2" t="s">
        <v>1345</v>
      </c>
      <c r="C994" s="2" t="s">
        <v>1934</v>
      </c>
      <c r="D994" s="2" t="s">
        <v>2205</v>
      </c>
      <c r="E994" s="2" t="s">
        <v>2205</v>
      </c>
      <c r="F994" s="2" t="s">
        <v>4580</v>
      </c>
      <c r="G994" s="2" t="s">
        <v>4580</v>
      </c>
      <c r="H994" s="2" t="s">
        <v>4580</v>
      </c>
      <c r="I994" s="2" t="s">
        <v>3893</v>
      </c>
      <c r="J994" s="2" t="s">
        <v>93</v>
      </c>
      <c r="K994" s="2" t="s">
        <v>1439</v>
      </c>
      <c r="L994" s="3">
        <v>65</v>
      </c>
      <c r="M994" s="3">
        <v>68.25</v>
      </c>
      <c r="N994" s="3"/>
      <c r="O994" s="2" t="s">
        <v>95</v>
      </c>
      <c r="P994" s="2" t="s">
        <v>1934</v>
      </c>
      <c r="Q994" s="2" t="s">
        <v>97</v>
      </c>
      <c r="R994" s="2" t="s">
        <v>1387</v>
      </c>
      <c r="S994" s="2" t="s">
        <v>98</v>
      </c>
      <c r="T994" s="2" t="s">
        <v>98</v>
      </c>
      <c r="U994" s="2" t="s">
        <v>117</v>
      </c>
      <c r="V994" s="2" t="s">
        <v>296</v>
      </c>
      <c r="W994" s="2" t="s">
        <v>98</v>
      </c>
      <c r="X994" s="2" t="s">
        <v>98</v>
      </c>
      <c r="Y994" s="2" t="s">
        <v>98</v>
      </c>
      <c r="Z994" s="4"/>
      <c r="AA994" s="4">
        <f>=ROUNDDOWN({0},0)</f>
      </c>
      <c r="AB994" s="5"/>
      <c r="AC994" s="2" t="s">
        <v>98</v>
      </c>
      <c r="AD994" s="4"/>
      <c r="AE994" s="4"/>
      <c r="AF994" s="6"/>
      <c r="AG994" s="6"/>
      <c r="AH994" s="7">
        <v>0</v>
      </c>
      <c r="AI994" s="4"/>
      <c r="AJ994" s="4">
        <f>=ROUNDDOWN({0},0)</f>
      </c>
      <c r="AK994" s="5"/>
      <c r="AL994" s="2" t="s">
        <v>98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/>
      <c r="AW994" s="8"/>
      <c r="AX994" s="4"/>
      <c r="AY994" s="8"/>
      <c r="AZ994" s="7"/>
      <c r="BA994" s="7"/>
      <c r="BB994" s="7"/>
      <c r="BC994" s="4" t="s">
        <v>98</v>
      </c>
      <c r="BD994" s="8" t="s">
        <v>98</v>
      </c>
      <c r="BE994" s="4" t="s">
        <v>98</v>
      </c>
      <c r="BF994" s="8" t="s">
        <v>98</v>
      </c>
      <c r="BG994" s="7" t="s">
        <v>98</v>
      </c>
      <c r="BH994" s="7" t="s">
        <v>98</v>
      </c>
      <c r="BI994" s="7"/>
      <c r="BJ994" s="4"/>
      <c r="BK994" s="8"/>
      <c r="BL994" s="2" t="s">
        <v>98</v>
      </c>
      <c r="BM994" s="7"/>
      <c r="BN994" s="7"/>
      <c r="BO994" s="4"/>
      <c r="BP994" s="8"/>
      <c r="BQ994" s="4"/>
      <c r="BR994" s="8"/>
      <c r="BS994" s="7"/>
      <c r="BT994" s="7"/>
      <c r="BU994" s="2" t="s">
        <v>107</v>
      </c>
      <c r="BV994" s="2" t="s">
        <v>95</v>
      </c>
      <c r="BW994" s="2" t="s">
        <v>98</v>
      </c>
      <c r="BX994" s="2" t="s">
        <v>98</v>
      </c>
      <c r="BY994" s="2" t="s">
        <v>110</v>
      </c>
      <c r="BZ994" s="2" t="s">
        <v>98</v>
      </c>
    </row>
    <row r="995">
      <c r="A995" s="2" t="s">
        <v>4581</v>
      </c>
      <c r="B995" s="2" t="s">
        <v>1345</v>
      </c>
      <c r="C995" s="2" t="s">
        <v>1934</v>
      </c>
      <c r="D995" s="2" t="s">
        <v>2205</v>
      </c>
      <c r="E995" s="2" t="s">
        <v>2205</v>
      </c>
      <c r="F995" s="2" t="s">
        <v>4580</v>
      </c>
      <c r="G995" s="2" t="s">
        <v>4580</v>
      </c>
      <c r="H995" s="2" t="s">
        <v>4580</v>
      </c>
      <c r="I995" s="2" t="s">
        <v>3893</v>
      </c>
      <c r="J995" s="2" t="s">
        <v>93</v>
      </c>
      <c r="K995" s="2" t="s">
        <v>133</v>
      </c>
      <c r="L995" s="3">
        <v>65</v>
      </c>
      <c r="M995" s="3">
        <v>68.25</v>
      </c>
      <c r="N995" s="3"/>
      <c r="O995" s="2" t="s">
        <v>95</v>
      </c>
      <c r="P995" s="2" t="s">
        <v>1934</v>
      </c>
      <c r="Q995" s="2" t="s">
        <v>97</v>
      </c>
      <c r="R995" s="2" t="s">
        <v>1387</v>
      </c>
      <c r="S995" s="2" t="s">
        <v>98</v>
      </c>
      <c r="T995" s="2" t="s">
        <v>98</v>
      </c>
      <c r="U995" s="2" t="s">
        <v>117</v>
      </c>
      <c r="V995" s="2" t="s">
        <v>296</v>
      </c>
      <c r="W995" s="2" t="s">
        <v>98</v>
      </c>
      <c r="X995" s="2" t="s">
        <v>98</v>
      </c>
      <c r="Y995" s="2" t="s">
        <v>98</v>
      </c>
      <c r="Z995" s="4"/>
      <c r="AA995" s="4">
        <f>=ROUNDDOWN({0},0)</f>
      </c>
      <c r="AB995" s="5"/>
      <c r="AC995" s="2" t="s">
        <v>98</v>
      </c>
      <c r="AD995" s="4"/>
      <c r="AE995" s="4"/>
      <c r="AF995" s="6"/>
      <c r="AG995" s="6"/>
      <c r="AH995" s="7">
        <v>0</v>
      </c>
      <c r="AI995" s="4"/>
      <c r="AJ995" s="4">
        <f>=ROUNDDOWN({0},0)</f>
      </c>
      <c r="AK995" s="5"/>
      <c r="AL995" s="2" t="s">
        <v>98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 t="s">
        <v>98</v>
      </c>
      <c r="BD995" s="8" t="s">
        <v>98</v>
      </c>
      <c r="BE995" s="4" t="s">
        <v>98</v>
      </c>
      <c r="BF995" s="8" t="s">
        <v>98</v>
      </c>
      <c r="BG995" s="7" t="s">
        <v>98</v>
      </c>
      <c r="BH995" s="7" t="s">
        <v>98</v>
      </c>
      <c r="BI995" s="7"/>
      <c r="BJ995" s="4"/>
      <c r="BK995" s="8"/>
      <c r="BL995" s="2" t="s">
        <v>98</v>
      </c>
      <c r="BM995" s="7"/>
      <c r="BN995" s="7"/>
      <c r="BO995" s="4"/>
      <c r="BP995" s="8"/>
      <c r="BQ995" s="4"/>
      <c r="BR995" s="8"/>
      <c r="BS995" s="7"/>
      <c r="BT995" s="7"/>
      <c r="BU995" s="2" t="s">
        <v>107</v>
      </c>
      <c r="BV995" s="2" t="s">
        <v>95</v>
      </c>
      <c r="BW995" s="2" t="s">
        <v>98</v>
      </c>
      <c r="BX995" s="2" t="s">
        <v>98</v>
      </c>
      <c r="BY995" s="2" t="s">
        <v>110</v>
      </c>
      <c r="BZ995" s="2" t="s">
        <v>98</v>
      </c>
    </row>
    <row r="996">
      <c r="A996" s="2" t="s">
        <v>4582</v>
      </c>
      <c r="B996" s="2" t="s">
        <v>1345</v>
      </c>
      <c r="C996" s="2" t="s">
        <v>1934</v>
      </c>
      <c r="D996" s="2" t="s">
        <v>3213</v>
      </c>
      <c r="E996" s="2" t="s">
        <v>3213</v>
      </c>
      <c r="F996" s="2" t="s">
        <v>2555</v>
      </c>
      <c r="G996" s="2" t="s">
        <v>2555</v>
      </c>
      <c r="H996" s="2" t="s">
        <v>2555</v>
      </c>
      <c r="I996" s="2" t="s">
        <v>4047</v>
      </c>
      <c r="J996" s="2" t="s">
        <v>93</v>
      </c>
      <c r="K996" s="2" t="s">
        <v>1439</v>
      </c>
      <c r="L996" s="3">
        <v>96.22</v>
      </c>
      <c r="M996" s="3">
        <v>101.03</v>
      </c>
      <c r="N996" s="3">
        <v>359</v>
      </c>
      <c r="O996" s="2" t="s">
        <v>95</v>
      </c>
      <c r="P996" s="2" t="s">
        <v>1934</v>
      </c>
      <c r="Q996" s="2" t="s">
        <v>97</v>
      </c>
      <c r="R996" s="2" t="s">
        <v>1387</v>
      </c>
      <c r="S996" s="2" t="s">
        <v>98</v>
      </c>
      <c r="T996" s="2" t="s">
        <v>98</v>
      </c>
      <c r="U996" s="2" t="s">
        <v>117</v>
      </c>
      <c r="V996" s="2" t="s">
        <v>296</v>
      </c>
      <c r="W996" s="2" t="s">
        <v>98</v>
      </c>
      <c r="X996" s="2" t="s">
        <v>98</v>
      </c>
      <c r="Y996" s="2" t="s">
        <v>98</v>
      </c>
      <c r="Z996" s="4"/>
      <c r="AA996" s="4">
        <f>=ROUNDDOWN({0},0)</f>
      </c>
      <c r="AB996" s="5"/>
      <c r="AC996" s="2" t="s">
        <v>98</v>
      </c>
      <c r="AD996" s="4"/>
      <c r="AE996" s="4"/>
      <c r="AF996" s="6"/>
      <c r="AG996" s="6"/>
      <c r="AH996" s="7">
        <v>0</v>
      </c>
      <c r="AI996" s="4"/>
      <c r="AJ996" s="4">
        <f>=ROUNDDOWN({0},0)</f>
      </c>
      <c r="AK996" s="5"/>
      <c r="AL996" s="2" t="s">
        <v>98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/>
      <c r="BD996" s="8"/>
      <c r="BE996" s="4"/>
      <c r="BF996" s="8"/>
      <c r="BG996" s="7"/>
      <c r="BH996" s="7"/>
      <c r="BI996" s="7"/>
      <c r="BJ996" s="4"/>
      <c r="BK996" s="8"/>
      <c r="BL996" s="2" t="s">
        <v>98</v>
      </c>
      <c r="BM996" s="7"/>
      <c r="BN996" s="7"/>
      <c r="BO996" s="4"/>
      <c r="BP996" s="8"/>
      <c r="BQ996" s="4"/>
      <c r="BR996" s="8"/>
      <c r="BS996" s="7"/>
      <c r="BT996" s="7"/>
      <c r="BU996" s="2" t="s">
        <v>107</v>
      </c>
      <c r="BV996" s="2" t="s">
        <v>95</v>
      </c>
      <c r="BW996" s="2" t="s">
        <v>98</v>
      </c>
      <c r="BX996" s="2" t="s">
        <v>98</v>
      </c>
      <c r="BY996" s="2" t="s">
        <v>110</v>
      </c>
      <c r="BZ996" s="2" t="s">
        <v>98</v>
      </c>
    </row>
    <row r="997">
      <c r="A997" s="2" t="s">
        <v>4583</v>
      </c>
      <c r="B997" s="2" t="s">
        <v>4584</v>
      </c>
      <c r="C997" s="2" t="s">
        <v>4477</v>
      </c>
      <c r="D997" s="2" t="s">
        <v>4585</v>
      </c>
      <c r="E997" s="2" t="s">
        <v>4586</v>
      </c>
      <c r="F997" s="2" t="s">
        <v>4587</v>
      </c>
      <c r="G997" s="2" t="s">
        <v>4587</v>
      </c>
      <c r="H997" s="2" t="s">
        <v>4587</v>
      </c>
      <c r="I997" s="2" t="s">
        <v>4588</v>
      </c>
      <c r="J997" s="2" t="s">
        <v>93</v>
      </c>
      <c r="K997" s="2" t="s">
        <v>294</v>
      </c>
      <c r="L997" s="3">
        <v>68.82</v>
      </c>
      <c r="M997" s="3">
        <v>72.26</v>
      </c>
      <c r="N997" s="3">
        <v>149.99</v>
      </c>
      <c r="O997" s="2" t="s">
        <v>95</v>
      </c>
      <c r="P997" s="2" t="s">
        <v>163</v>
      </c>
      <c r="Q997" s="2" t="s">
        <v>97</v>
      </c>
      <c r="R997" s="2" t="s">
        <v>98</v>
      </c>
      <c r="S997" s="2" t="s">
        <v>98</v>
      </c>
      <c r="T997" s="2" t="s">
        <v>98</v>
      </c>
      <c r="U997" s="2" t="s">
        <v>100</v>
      </c>
      <c r="V997" s="2" t="s">
        <v>296</v>
      </c>
      <c r="W997" s="2" t="s">
        <v>119</v>
      </c>
      <c r="X997" s="2" t="s">
        <v>98</v>
      </c>
      <c r="Y997" s="2" t="s">
        <v>4589</v>
      </c>
      <c r="Z997" s="4">
        <v>384</v>
      </c>
      <c r="AA997" s="4">
        <f>=ROUNDDOWN(12.8,0)</f>
      </c>
      <c r="AB997" s="5">
        <v>30</v>
      </c>
      <c r="AC997" s="2" t="s">
        <v>222</v>
      </c>
      <c r="AD997" s="4">
        <v>250</v>
      </c>
      <c r="AE997" s="4">
        <v>250</v>
      </c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98</v>
      </c>
      <c r="AM997" s="4"/>
      <c r="AN997" s="4"/>
      <c r="AO997" s="7">
        <v>0</v>
      </c>
      <c r="AP997" s="4">
        <v>1</v>
      </c>
      <c r="AQ997" s="8">
        <v>82.47</v>
      </c>
      <c r="AR997" s="4"/>
      <c r="AS997" s="8"/>
      <c r="AT997" s="7"/>
      <c r="AU997" s="7"/>
      <c r="AV997" s="4">
        <v>1</v>
      </c>
      <c r="AW997" s="8">
        <v>82.47</v>
      </c>
      <c r="AX997" s="4"/>
      <c r="AY997" s="8"/>
      <c r="AZ997" s="7"/>
      <c r="BA997" s="7"/>
      <c r="BB997" s="7">
        <v>1</v>
      </c>
      <c r="BC997" s="4">
        <v>1</v>
      </c>
      <c r="BD997" s="8">
        <v>82.47</v>
      </c>
      <c r="BE997" s="4" t="s">
        <v>98</v>
      </c>
      <c r="BF997" s="8" t="s">
        <v>98</v>
      </c>
      <c r="BG997" s="7" t="s">
        <v>98</v>
      </c>
      <c r="BH997" s="7" t="s">
        <v>98</v>
      </c>
      <c r="BI997" s="7">
        <v>1</v>
      </c>
      <c r="BJ997" s="4">
        <v>23</v>
      </c>
      <c r="BK997" s="8">
        <v>1754.13</v>
      </c>
      <c r="BL997" s="2" t="s">
        <v>4590</v>
      </c>
      <c r="BM997" s="7">
        <v>0.0435</v>
      </c>
      <c r="BN997" s="7">
        <v>0.047</v>
      </c>
      <c r="BO997" s="4">
        <v>1</v>
      </c>
      <c r="BP997" s="8">
        <v>82.47</v>
      </c>
      <c r="BQ997" s="4"/>
      <c r="BR997" s="8"/>
      <c r="BS997" s="7"/>
      <c r="BT997" s="7"/>
      <c r="BU997" s="2" t="s">
        <v>107</v>
      </c>
      <c r="BV997" s="2" t="s">
        <v>95</v>
      </c>
      <c r="BW997" s="2" t="s">
        <v>697</v>
      </c>
      <c r="BX997" s="2" t="s">
        <v>764</v>
      </c>
      <c r="BY997" s="2" t="s">
        <v>110</v>
      </c>
      <c r="BZ997" s="2" t="s">
        <v>98</v>
      </c>
    </row>
    <row r="998">
      <c r="A998" s="2" t="s">
        <v>4591</v>
      </c>
      <c r="B998" s="2" t="s">
        <v>4584</v>
      </c>
      <c r="C998" s="2" t="s">
        <v>4477</v>
      </c>
      <c r="D998" s="2" t="s">
        <v>4585</v>
      </c>
      <c r="E998" s="2" t="s">
        <v>4586</v>
      </c>
      <c r="F998" s="2" t="s">
        <v>4587</v>
      </c>
      <c r="G998" s="2" t="s">
        <v>4587</v>
      </c>
      <c r="H998" s="2" t="s">
        <v>4587</v>
      </c>
      <c r="I998" s="2" t="s">
        <v>4588</v>
      </c>
      <c r="J998" s="2" t="s">
        <v>93</v>
      </c>
      <c r="K998" s="2" t="s">
        <v>277</v>
      </c>
      <c r="L998" s="3">
        <v>68.82</v>
      </c>
      <c r="M998" s="3">
        <v>72.26</v>
      </c>
      <c r="N998" s="3">
        <v>149.99</v>
      </c>
      <c r="O998" s="2" t="s">
        <v>95</v>
      </c>
      <c r="P998" s="2" t="s">
        <v>96</v>
      </c>
      <c r="Q998" s="2" t="s">
        <v>97</v>
      </c>
      <c r="R998" s="2" t="s">
        <v>98</v>
      </c>
      <c r="S998" s="2" t="s">
        <v>98</v>
      </c>
      <c r="T998" s="2" t="s">
        <v>98</v>
      </c>
      <c r="U998" s="2" t="s">
        <v>100</v>
      </c>
      <c r="V998" s="2" t="s">
        <v>296</v>
      </c>
      <c r="W998" s="2" t="s">
        <v>119</v>
      </c>
      <c r="X998" s="2" t="s">
        <v>963</v>
      </c>
      <c r="Y998" s="2" t="s">
        <v>4592</v>
      </c>
      <c r="Z998" s="4">
        <v>43</v>
      </c>
      <c r="AA998" s="4">
        <f>=ROUNDDOWN(5.375,0)</f>
      </c>
      <c r="AB998" s="5">
        <v>8</v>
      </c>
      <c r="AC998" s="2" t="s">
        <v>323</v>
      </c>
      <c r="AD998" s="4">
        <v>120</v>
      </c>
      <c r="AE998" s="4">
        <v>120</v>
      </c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98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/>
      <c r="AW998" s="8"/>
      <c r="AX998" s="4"/>
      <c r="AY998" s="8"/>
      <c r="AZ998" s="7"/>
      <c r="BA998" s="7"/>
      <c r="BB998" s="7"/>
      <c r="BC998" s="4" t="s">
        <v>98</v>
      </c>
      <c r="BD998" s="8" t="s">
        <v>98</v>
      </c>
      <c r="BE998" s="4" t="s">
        <v>98</v>
      </c>
      <c r="BF998" s="8" t="s">
        <v>98</v>
      </c>
      <c r="BG998" s="7" t="s">
        <v>98</v>
      </c>
      <c r="BH998" s="7" t="s">
        <v>98</v>
      </c>
      <c r="BI998" s="7"/>
      <c r="BJ998" s="4">
        <v>3</v>
      </c>
      <c r="BK998" s="8">
        <v>235.31</v>
      </c>
      <c r="BL998" s="2" t="s">
        <v>4593</v>
      </c>
      <c r="BM998" s="7"/>
      <c r="BN998" s="7"/>
      <c r="BO998" s="4"/>
      <c r="BP998" s="8"/>
      <c r="BQ998" s="4"/>
      <c r="BR998" s="8"/>
      <c r="BS998" s="7"/>
      <c r="BT998" s="7"/>
      <c r="BU998" s="2" t="s">
        <v>107</v>
      </c>
      <c r="BV998" s="2" t="s">
        <v>95</v>
      </c>
      <c r="BW998" s="2" t="s">
        <v>4594</v>
      </c>
      <c r="BX998" s="2" t="s">
        <v>1843</v>
      </c>
      <c r="BY998" s="2" t="s">
        <v>110</v>
      </c>
      <c r="BZ998" s="2" t="s">
        <v>98</v>
      </c>
    </row>
    <row r="999">
      <c r="A999" s="2" t="s">
        <v>4595</v>
      </c>
      <c r="B999" s="2" t="s">
        <v>4584</v>
      </c>
      <c r="C999" s="2" t="s">
        <v>4477</v>
      </c>
      <c r="D999" s="2" t="s">
        <v>4585</v>
      </c>
      <c r="E999" s="2" t="s">
        <v>4586</v>
      </c>
      <c r="F999" s="2" t="s">
        <v>4587</v>
      </c>
      <c r="G999" s="2" t="s">
        <v>4587</v>
      </c>
      <c r="H999" s="2" t="s">
        <v>4587</v>
      </c>
      <c r="I999" s="2" t="s">
        <v>4588</v>
      </c>
      <c r="J999" s="2" t="s">
        <v>93</v>
      </c>
      <c r="K999" s="2" t="s">
        <v>1262</v>
      </c>
      <c r="L999" s="3">
        <v>68.82</v>
      </c>
      <c r="M999" s="3">
        <v>72.26</v>
      </c>
      <c r="N999" s="3">
        <v>149.99</v>
      </c>
      <c r="O999" s="2" t="s">
        <v>95</v>
      </c>
      <c r="P999" s="2" t="s">
        <v>96</v>
      </c>
      <c r="Q999" s="2" t="s">
        <v>97</v>
      </c>
      <c r="R999" s="2" t="s">
        <v>98</v>
      </c>
      <c r="S999" s="2" t="s">
        <v>98</v>
      </c>
      <c r="T999" s="2" t="s">
        <v>98</v>
      </c>
      <c r="U999" s="2" t="s">
        <v>100</v>
      </c>
      <c r="V999" s="2" t="s">
        <v>296</v>
      </c>
      <c r="W999" s="2" t="s">
        <v>119</v>
      </c>
      <c r="X999" s="2" t="s">
        <v>963</v>
      </c>
      <c r="Y999" s="2" t="s">
        <v>4592</v>
      </c>
      <c r="Z999" s="4">
        <v>122</v>
      </c>
      <c r="AA999" s="4">
        <f>=ROUNDDOWN(20.3333333333333,0)</f>
      </c>
      <c r="AB999" s="5">
        <v>6</v>
      </c>
      <c r="AC999" s="2" t="s">
        <v>98</v>
      </c>
      <c r="AD999" s="4"/>
      <c r="AE999" s="4"/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98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/>
      <c r="AW999" s="8"/>
      <c r="AX999" s="4"/>
      <c r="AY999" s="8"/>
      <c r="AZ999" s="7"/>
      <c r="BA999" s="7"/>
      <c r="BB999" s="7"/>
      <c r="BC999" s="4" t="s">
        <v>98</v>
      </c>
      <c r="BD999" s="8" t="s">
        <v>98</v>
      </c>
      <c r="BE999" s="4" t="s">
        <v>98</v>
      </c>
      <c r="BF999" s="8" t="s">
        <v>98</v>
      </c>
      <c r="BG999" s="7" t="s">
        <v>98</v>
      </c>
      <c r="BH999" s="7" t="s">
        <v>98</v>
      </c>
      <c r="BI999" s="7"/>
      <c r="BJ999" s="4">
        <v>6</v>
      </c>
      <c r="BK999" s="8">
        <v>435.9</v>
      </c>
      <c r="BL999" s="2" t="s">
        <v>4596</v>
      </c>
      <c r="BM999" s="7"/>
      <c r="BN999" s="7"/>
      <c r="BO999" s="4"/>
      <c r="BP999" s="8"/>
      <c r="BQ999" s="4"/>
      <c r="BR999" s="8"/>
      <c r="BS999" s="7"/>
      <c r="BT999" s="7"/>
      <c r="BU999" s="2" t="s">
        <v>107</v>
      </c>
      <c r="BV999" s="2" t="s">
        <v>95</v>
      </c>
      <c r="BW999" s="2" t="s">
        <v>4594</v>
      </c>
      <c r="BX999" s="2" t="s">
        <v>2134</v>
      </c>
      <c r="BY999" s="2" t="s">
        <v>110</v>
      </c>
      <c r="BZ999" s="2" t="s">
        <v>98</v>
      </c>
    </row>
    <row r="1000">
      <c r="A1000" s="2" t="s">
        <v>4597</v>
      </c>
      <c r="B1000" s="2" t="s">
        <v>4584</v>
      </c>
      <c r="C1000" s="2" t="s">
        <v>4477</v>
      </c>
      <c r="D1000" s="2" t="s">
        <v>4585</v>
      </c>
      <c r="E1000" s="2" t="s">
        <v>4586</v>
      </c>
      <c r="F1000" s="2" t="s">
        <v>4587</v>
      </c>
      <c r="G1000" s="2" t="s">
        <v>4587</v>
      </c>
      <c r="H1000" s="2" t="s">
        <v>4587</v>
      </c>
      <c r="I1000" s="2" t="s">
        <v>4588</v>
      </c>
      <c r="J1000" s="2" t="s">
        <v>93</v>
      </c>
      <c r="K1000" s="2" t="s">
        <v>2608</v>
      </c>
      <c r="L1000" s="3">
        <v>68.82</v>
      </c>
      <c r="M1000" s="3">
        <v>72.26</v>
      </c>
      <c r="N1000" s="3">
        <v>149.99</v>
      </c>
      <c r="O1000" s="2" t="s">
        <v>95</v>
      </c>
      <c r="P1000" s="2" t="s">
        <v>134</v>
      </c>
      <c r="Q1000" s="2" t="s">
        <v>97</v>
      </c>
      <c r="R1000" s="2" t="s">
        <v>98</v>
      </c>
      <c r="S1000" s="2" t="s">
        <v>98</v>
      </c>
      <c r="T1000" s="2" t="s">
        <v>98</v>
      </c>
      <c r="U1000" s="2" t="s">
        <v>100</v>
      </c>
      <c r="V1000" s="2" t="s">
        <v>296</v>
      </c>
      <c r="W1000" s="2" t="s">
        <v>119</v>
      </c>
      <c r="X1000" s="2" t="s">
        <v>963</v>
      </c>
      <c r="Y1000" s="2" t="s">
        <v>4592</v>
      </c>
      <c r="Z1000" s="4">
        <v>88</v>
      </c>
      <c r="AA1000" s="4">
        <f>=ROUNDDOWN(22,0)</f>
      </c>
      <c r="AB1000" s="5">
        <v>4</v>
      </c>
      <c r="AC1000" s="2" t="s">
        <v>4598</v>
      </c>
      <c r="AD1000" s="4">
        <v>100</v>
      </c>
      <c r="AE1000" s="4">
        <v>100</v>
      </c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98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 t="s">
        <v>98</v>
      </c>
      <c r="BD1000" s="8" t="s">
        <v>98</v>
      </c>
      <c r="BE1000" s="4" t="s">
        <v>98</v>
      </c>
      <c r="BF1000" s="8" t="s">
        <v>98</v>
      </c>
      <c r="BG1000" s="7" t="s">
        <v>98</v>
      </c>
      <c r="BH1000" s="7" t="s">
        <v>98</v>
      </c>
      <c r="BI1000" s="7"/>
      <c r="BJ1000" s="4">
        <v>1</v>
      </c>
      <c r="BK1000" s="8">
        <v>72.63</v>
      </c>
      <c r="BL1000" s="2" t="s">
        <v>931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107</v>
      </c>
      <c r="BV1000" s="2" t="s">
        <v>95</v>
      </c>
      <c r="BW1000" s="2" t="s">
        <v>4594</v>
      </c>
      <c r="BX1000" s="2" t="s">
        <v>4599</v>
      </c>
      <c r="BY1000" s="2" t="s">
        <v>110</v>
      </c>
      <c r="BZ1000" s="2" t="s">
        <v>98</v>
      </c>
    </row>
    <row r="1001">
      <c r="A1001" s="2" t="s">
        <v>4600</v>
      </c>
      <c r="B1001" s="2" t="s">
        <v>4584</v>
      </c>
      <c r="C1001" s="2" t="s">
        <v>4477</v>
      </c>
      <c r="D1001" s="2" t="s">
        <v>4585</v>
      </c>
      <c r="E1001" s="2" t="s">
        <v>4586</v>
      </c>
      <c r="F1001" s="2" t="s">
        <v>4601</v>
      </c>
      <c r="G1001" s="2" t="s">
        <v>4601</v>
      </c>
      <c r="H1001" s="2" t="s">
        <v>4601</v>
      </c>
      <c r="I1001" s="2" t="s">
        <v>4602</v>
      </c>
      <c r="J1001" s="2" t="s">
        <v>93</v>
      </c>
      <c r="K1001" s="2" t="s">
        <v>421</v>
      </c>
      <c r="L1001" s="3">
        <v>80.15</v>
      </c>
      <c r="M1001" s="3">
        <v>84.16</v>
      </c>
      <c r="N1001" s="3">
        <v>184.99</v>
      </c>
      <c r="O1001" s="2" t="s">
        <v>95</v>
      </c>
      <c r="P1001" s="2" t="s">
        <v>96</v>
      </c>
      <c r="Q1001" s="2" t="s">
        <v>97</v>
      </c>
      <c r="R1001" s="2" t="s">
        <v>98</v>
      </c>
      <c r="S1001" s="2" t="s">
        <v>98</v>
      </c>
      <c r="T1001" s="2" t="s">
        <v>98</v>
      </c>
      <c r="U1001" s="2" t="s">
        <v>100</v>
      </c>
      <c r="V1001" s="2" t="s">
        <v>296</v>
      </c>
      <c r="W1001" s="2" t="s">
        <v>119</v>
      </c>
      <c r="X1001" s="2" t="s">
        <v>98</v>
      </c>
      <c r="Y1001" s="2" t="s">
        <v>4589</v>
      </c>
      <c r="Z1001" s="4">
        <v>81</v>
      </c>
      <c r="AA1001" s="4">
        <f>=ROUNDDOWN(16.2,0)</f>
      </c>
      <c r="AB1001" s="5">
        <v>5</v>
      </c>
      <c r="AC1001" s="2" t="s">
        <v>4598</v>
      </c>
      <c r="AD1001" s="4">
        <v>100</v>
      </c>
      <c r="AE1001" s="4">
        <v>100</v>
      </c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98</v>
      </c>
      <c r="AM1001" s="4"/>
      <c r="AN1001" s="4"/>
      <c r="AO1001" s="7">
        <v>0</v>
      </c>
      <c r="AP1001" s="4">
        <v>1</v>
      </c>
      <c r="AQ1001" s="8">
        <v>72.24</v>
      </c>
      <c r="AR1001" s="4"/>
      <c r="AS1001" s="8"/>
      <c r="AT1001" s="7"/>
      <c r="AU1001" s="7"/>
      <c r="AV1001" s="4">
        <v>1</v>
      </c>
      <c r="AW1001" s="8">
        <v>72.24</v>
      </c>
      <c r="AX1001" s="4"/>
      <c r="AY1001" s="8"/>
      <c r="AZ1001" s="7"/>
      <c r="BA1001" s="7"/>
      <c r="BB1001" s="7">
        <v>1</v>
      </c>
      <c r="BC1001" s="4">
        <v>1</v>
      </c>
      <c r="BD1001" s="8">
        <v>72.24</v>
      </c>
      <c r="BE1001" s="4" t="s">
        <v>98</v>
      </c>
      <c r="BF1001" s="8" t="s">
        <v>98</v>
      </c>
      <c r="BG1001" s="7" t="s">
        <v>98</v>
      </c>
      <c r="BH1001" s="7" t="s">
        <v>98</v>
      </c>
      <c r="BI1001" s="7">
        <v>1</v>
      </c>
      <c r="BJ1001" s="4">
        <v>5</v>
      </c>
      <c r="BK1001" s="8">
        <v>383.88</v>
      </c>
      <c r="BL1001" s="2" t="s">
        <v>4603</v>
      </c>
      <c r="BM1001" s="7">
        <v>0.2</v>
      </c>
      <c r="BN1001" s="7">
        <v>0.1882</v>
      </c>
      <c r="BO1001" s="4">
        <v>1</v>
      </c>
      <c r="BP1001" s="8">
        <v>72.24</v>
      </c>
      <c r="BQ1001" s="4"/>
      <c r="BR1001" s="8"/>
      <c r="BS1001" s="7"/>
      <c r="BT1001" s="7"/>
      <c r="BU1001" s="2" t="s">
        <v>107</v>
      </c>
      <c r="BV1001" s="2" t="s">
        <v>95</v>
      </c>
      <c r="BW1001" s="2" t="s">
        <v>697</v>
      </c>
      <c r="BX1001" s="2" t="s">
        <v>4604</v>
      </c>
      <c r="BY1001" s="2" t="s">
        <v>110</v>
      </c>
      <c r="BZ1001" s="2" t="s">
        <v>98</v>
      </c>
    </row>
    <row r="1002">
      <c r="A1002" s="2" t="s">
        <v>4605</v>
      </c>
      <c r="B1002" s="2" t="s">
        <v>4584</v>
      </c>
      <c r="C1002" s="2" t="s">
        <v>4477</v>
      </c>
      <c r="D1002" s="2" t="s">
        <v>4585</v>
      </c>
      <c r="E1002" s="2" t="s">
        <v>4586</v>
      </c>
      <c r="F1002" s="2" t="s">
        <v>4601</v>
      </c>
      <c r="G1002" s="2" t="s">
        <v>4601</v>
      </c>
      <c r="H1002" s="2" t="s">
        <v>4601</v>
      </c>
      <c r="I1002" s="2" t="s">
        <v>4602</v>
      </c>
      <c r="J1002" s="2" t="s">
        <v>93</v>
      </c>
      <c r="K1002" s="2" t="s">
        <v>294</v>
      </c>
      <c r="L1002" s="3">
        <v>80.15</v>
      </c>
      <c r="M1002" s="3">
        <v>84.16</v>
      </c>
      <c r="N1002" s="3">
        <v>184.99</v>
      </c>
      <c r="O1002" s="2" t="s">
        <v>95</v>
      </c>
      <c r="P1002" s="2" t="s">
        <v>96</v>
      </c>
      <c r="Q1002" s="2" t="s">
        <v>97</v>
      </c>
      <c r="R1002" s="2" t="s">
        <v>98</v>
      </c>
      <c r="S1002" s="2" t="s">
        <v>98</v>
      </c>
      <c r="T1002" s="2" t="s">
        <v>98</v>
      </c>
      <c r="U1002" s="2" t="s">
        <v>100</v>
      </c>
      <c r="V1002" s="2" t="s">
        <v>296</v>
      </c>
      <c r="W1002" s="2" t="s">
        <v>103</v>
      </c>
      <c r="X1002" s="2" t="s">
        <v>98</v>
      </c>
      <c r="Y1002" s="2" t="s">
        <v>4606</v>
      </c>
      <c r="Z1002" s="4">
        <v>205</v>
      </c>
      <c r="AA1002" s="4">
        <f>=ROUNDDOWN(22.7777777777778,0)</f>
      </c>
      <c r="AB1002" s="5">
        <v>9</v>
      </c>
      <c r="AC1002" s="2" t="s">
        <v>98</v>
      </c>
      <c r="AD1002" s="4"/>
      <c r="AE1002" s="4"/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98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 t="s">
        <v>98</v>
      </c>
      <c r="BD1002" s="8" t="s">
        <v>98</v>
      </c>
      <c r="BE1002" s="4" t="s">
        <v>98</v>
      </c>
      <c r="BF1002" s="8" t="s">
        <v>98</v>
      </c>
      <c r="BG1002" s="7" t="s">
        <v>98</v>
      </c>
      <c r="BH1002" s="7" t="s">
        <v>98</v>
      </c>
      <c r="BI1002" s="7"/>
      <c r="BJ1002" s="4">
        <v>3</v>
      </c>
      <c r="BK1002" s="8">
        <v>265.09</v>
      </c>
      <c r="BL1002" s="2" t="s">
        <v>4607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107</v>
      </c>
      <c r="BV1002" s="2" t="s">
        <v>95</v>
      </c>
      <c r="BW1002" s="2" t="s">
        <v>4308</v>
      </c>
      <c r="BX1002" s="2" t="s">
        <v>4608</v>
      </c>
      <c r="BY1002" s="2" t="s">
        <v>110</v>
      </c>
      <c r="BZ1002" s="2" t="s">
        <v>98</v>
      </c>
    </row>
    <row r="1003">
      <c r="A1003" s="2" t="s">
        <v>4609</v>
      </c>
      <c r="B1003" s="2" t="s">
        <v>4584</v>
      </c>
      <c r="C1003" s="2" t="s">
        <v>4477</v>
      </c>
      <c r="D1003" s="2" t="s">
        <v>4585</v>
      </c>
      <c r="E1003" s="2" t="s">
        <v>4586</v>
      </c>
      <c r="F1003" s="2" t="s">
        <v>1783</v>
      </c>
      <c r="G1003" s="2" t="s">
        <v>1783</v>
      </c>
      <c r="H1003" s="2" t="s">
        <v>1783</v>
      </c>
      <c r="I1003" s="2" t="s">
        <v>4610</v>
      </c>
      <c r="J1003" s="2" t="s">
        <v>93</v>
      </c>
      <c r="K1003" s="2" t="s">
        <v>2608</v>
      </c>
      <c r="L1003" s="3">
        <v>26.6</v>
      </c>
      <c r="M1003" s="3">
        <v>27.93</v>
      </c>
      <c r="N1003" s="3">
        <v>59.99</v>
      </c>
      <c r="O1003" s="2" t="s">
        <v>95</v>
      </c>
      <c r="P1003" s="2" t="s">
        <v>96</v>
      </c>
      <c r="Q1003" s="2" t="s">
        <v>97</v>
      </c>
      <c r="R1003" s="2" t="s">
        <v>98</v>
      </c>
      <c r="S1003" s="2" t="s">
        <v>98</v>
      </c>
      <c r="T1003" s="2" t="s">
        <v>98</v>
      </c>
      <c r="U1003" s="2" t="s">
        <v>98</v>
      </c>
      <c r="V1003" s="2" t="s">
        <v>296</v>
      </c>
      <c r="W1003" s="2" t="s">
        <v>103</v>
      </c>
      <c r="X1003" s="2" t="s">
        <v>98</v>
      </c>
      <c r="Y1003" s="2" t="s">
        <v>4611</v>
      </c>
      <c r="Z1003" s="4">
        <v>347</v>
      </c>
      <c r="AA1003" s="4">
        <f>=ROUNDDOWN(18.2631578947368,0)</f>
      </c>
      <c r="AB1003" s="5">
        <v>19</v>
      </c>
      <c r="AC1003" s="2" t="s">
        <v>1457</v>
      </c>
      <c r="AD1003" s="4">
        <v>100</v>
      </c>
      <c r="AE1003" s="4">
        <v>100</v>
      </c>
      <c r="AF1003" s="6">
        <v>65</v>
      </c>
      <c r="AG1003" s="6"/>
      <c r="AH1003" s="7">
        <v>1</v>
      </c>
      <c r="AI1003" s="4"/>
      <c r="AJ1003" s="4">
        <f>=ROUNDDOWN({0},0)</f>
      </c>
      <c r="AK1003" s="5"/>
      <c r="AL1003" s="2" t="s">
        <v>98</v>
      </c>
      <c r="AM1003" s="4"/>
      <c r="AN1003" s="4"/>
      <c r="AO1003" s="7">
        <v>0</v>
      </c>
      <c r="AP1003" s="4">
        <v>1</v>
      </c>
      <c r="AQ1003" s="8">
        <v>34.73</v>
      </c>
      <c r="AR1003" s="4"/>
      <c r="AS1003" s="8"/>
      <c r="AT1003" s="7"/>
      <c r="AU1003" s="7"/>
      <c r="AV1003" s="4">
        <v>1</v>
      </c>
      <c r="AW1003" s="8">
        <v>34.73</v>
      </c>
      <c r="AX1003" s="4"/>
      <c r="AY1003" s="8"/>
      <c r="AZ1003" s="7"/>
      <c r="BA1003" s="7"/>
      <c r="BB1003" s="7">
        <v>1</v>
      </c>
      <c r="BC1003" s="4">
        <v>1</v>
      </c>
      <c r="BD1003" s="8">
        <v>34.73</v>
      </c>
      <c r="BE1003" s="4"/>
      <c r="BF1003" s="8"/>
      <c r="BG1003" s="7"/>
      <c r="BH1003" s="7"/>
      <c r="BI1003" s="7">
        <v>1</v>
      </c>
      <c r="BJ1003" s="4">
        <v>16</v>
      </c>
      <c r="BK1003" s="8">
        <v>515.77</v>
      </c>
      <c r="BL1003" s="2" t="s">
        <v>4612</v>
      </c>
      <c r="BM1003" s="7">
        <v>0.0625</v>
      </c>
      <c r="BN1003" s="7">
        <v>0.0673</v>
      </c>
      <c r="BO1003" s="4">
        <v>1</v>
      </c>
      <c r="BP1003" s="8">
        <v>34.73</v>
      </c>
      <c r="BQ1003" s="4"/>
      <c r="BR1003" s="8"/>
      <c r="BS1003" s="7"/>
      <c r="BT1003" s="7"/>
      <c r="BU1003" s="2" t="s">
        <v>107</v>
      </c>
      <c r="BV1003" s="2" t="s">
        <v>95</v>
      </c>
      <c r="BW1003" s="2" t="s">
        <v>4613</v>
      </c>
      <c r="BX1003" s="2" t="s">
        <v>4480</v>
      </c>
      <c r="BY1003" s="2" t="s">
        <v>110</v>
      </c>
      <c r="BZ1003" s="2" t="s">
        <v>98</v>
      </c>
    </row>
    <row r="1004">
      <c r="A1004" s="2" t="s">
        <v>4614</v>
      </c>
      <c r="B1004" s="2" t="s">
        <v>4584</v>
      </c>
      <c r="C1004" s="2" t="s">
        <v>4477</v>
      </c>
      <c r="D1004" s="2" t="s">
        <v>4585</v>
      </c>
      <c r="E1004" s="2" t="s">
        <v>4586</v>
      </c>
      <c r="F1004" s="2" t="s">
        <v>4615</v>
      </c>
      <c r="G1004" s="2" t="s">
        <v>4615</v>
      </c>
      <c r="H1004" s="2" t="s">
        <v>4615</v>
      </c>
      <c r="I1004" s="2" t="s">
        <v>4616</v>
      </c>
      <c r="J1004" s="2" t="s">
        <v>93</v>
      </c>
      <c r="K1004" s="2" t="s">
        <v>133</v>
      </c>
      <c r="L1004" s="3">
        <v>27.48</v>
      </c>
      <c r="M1004" s="3">
        <v>28.85</v>
      </c>
      <c r="N1004" s="3">
        <v>59.99</v>
      </c>
      <c r="O1004" s="2" t="s">
        <v>95</v>
      </c>
      <c r="P1004" s="2" t="s">
        <v>134</v>
      </c>
      <c r="Q1004" s="2" t="s">
        <v>97</v>
      </c>
      <c r="R1004" s="2" t="s">
        <v>98</v>
      </c>
      <c r="S1004" s="2" t="s">
        <v>98</v>
      </c>
      <c r="T1004" s="2" t="s">
        <v>98</v>
      </c>
      <c r="U1004" s="2" t="s">
        <v>117</v>
      </c>
      <c r="V1004" s="2" t="s">
        <v>296</v>
      </c>
      <c r="W1004" s="2" t="s">
        <v>102</v>
      </c>
      <c r="X1004" s="2" t="s">
        <v>98</v>
      </c>
      <c r="Y1004" s="2" t="s">
        <v>4617</v>
      </c>
      <c r="Z1004" s="4">
        <v>58</v>
      </c>
      <c r="AA1004" s="4">
        <f>=ROUNDDOWN(10.9433962264151,0)</f>
      </c>
      <c r="AB1004" s="5">
        <v>5.3</v>
      </c>
      <c r="AC1004" s="2" t="s">
        <v>1457</v>
      </c>
      <c r="AD1004" s="4">
        <v>100</v>
      </c>
      <c r="AE1004" s="4">
        <v>100</v>
      </c>
      <c r="AF1004" s="6">
        <v>65</v>
      </c>
      <c r="AG1004" s="6"/>
      <c r="AH1004" s="7">
        <v>1</v>
      </c>
      <c r="AI1004" s="4"/>
      <c r="AJ1004" s="4">
        <f>=ROUNDDOWN({0},0)</f>
      </c>
      <c r="AK1004" s="5"/>
      <c r="AL1004" s="2" t="s">
        <v>98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/>
      <c r="AW1004" s="8"/>
      <c r="AX1004" s="4"/>
      <c r="AY1004" s="8"/>
      <c r="AZ1004" s="7"/>
      <c r="BA1004" s="7"/>
      <c r="BB1004" s="7"/>
      <c r="BC1004" s="4"/>
      <c r="BD1004" s="8"/>
      <c r="BE1004" s="4"/>
      <c r="BF1004" s="8"/>
      <c r="BG1004" s="7"/>
      <c r="BH1004" s="7"/>
      <c r="BI1004" s="7"/>
      <c r="BJ1004" s="4">
        <v>3</v>
      </c>
      <c r="BK1004" s="8">
        <v>86.41</v>
      </c>
      <c r="BL1004" s="2" t="s">
        <v>4618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107</v>
      </c>
      <c r="BV1004" s="2" t="s">
        <v>95</v>
      </c>
      <c r="BW1004" s="2" t="s">
        <v>4308</v>
      </c>
      <c r="BX1004" s="2" t="s">
        <v>4619</v>
      </c>
      <c r="BY1004" s="2" t="s">
        <v>110</v>
      </c>
      <c r="BZ1004" s="2" t="s">
        <v>98</v>
      </c>
    </row>
    <row r="1005">
      <c r="A1005" s="2" t="s">
        <v>4620</v>
      </c>
      <c r="B1005" s="2" t="s">
        <v>4584</v>
      </c>
      <c r="C1005" s="2" t="s">
        <v>4477</v>
      </c>
      <c r="D1005" s="2" t="s">
        <v>4585</v>
      </c>
      <c r="E1005" s="2" t="s">
        <v>4586</v>
      </c>
      <c r="F1005" s="2" t="s">
        <v>4621</v>
      </c>
      <c r="G1005" s="2" t="s">
        <v>4621</v>
      </c>
      <c r="H1005" s="2" t="s">
        <v>4621</v>
      </c>
      <c r="I1005" s="2" t="s">
        <v>4622</v>
      </c>
      <c r="J1005" s="2" t="s">
        <v>93</v>
      </c>
      <c r="K1005" s="2" t="s">
        <v>277</v>
      </c>
      <c r="L1005" s="3">
        <v>94.62</v>
      </c>
      <c r="M1005" s="3">
        <v>99.35</v>
      </c>
      <c r="N1005" s="3">
        <v>214.99</v>
      </c>
      <c r="O1005" s="2" t="s">
        <v>95</v>
      </c>
      <c r="P1005" s="2" t="s">
        <v>163</v>
      </c>
      <c r="Q1005" s="2" t="s">
        <v>97</v>
      </c>
      <c r="R1005" s="2" t="s">
        <v>98</v>
      </c>
      <c r="S1005" s="2" t="s">
        <v>98</v>
      </c>
      <c r="T1005" s="2" t="s">
        <v>98</v>
      </c>
      <c r="U1005" s="2" t="s">
        <v>98</v>
      </c>
      <c r="V1005" s="2" t="s">
        <v>439</v>
      </c>
      <c r="W1005" s="2" t="s">
        <v>119</v>
      </c>
      <c r="X1005" s="2" t="s">
        <v>98</v>
      </c>
      <c r="Y1005" s="2" t="s">
        <v>1551</v>
      </c>
      <c r="Z1005" s="4">
        <v>237</v>
      </c>
      <c r="AA1005" s="4">
        <f>=ROUNDDOWN(25.7608695652174,0)</f>
      </c>
      <c r="AB1005" s="5">
        <v>9.2</v>
      </c>
      <c r="AC1005" s="2" t="s">
        <v>98</v>
      </c>
      <c r="AD1005" s="4"/>
      <c r="AE1005" s="4"/>
      <c r="AF1005" s="6">
        <v>65</v>
      </c>
      <c r="AG1005" s="6"/>
      <c r="AH1005" s="7">
        <v>1</v>
      </c>
      <c r="AI1005" s="4"/>
      <c r="AJ1005" s="4">
        <f>=ROUNDDOWN({0},0)</f>
      </c>
      <c r="AK1005" s="5"/>
      <c r="AL1005" s="2" t="s">
        <v>98</v>
      </c>
      <c r="AM1005" s="4"/>
      <c r="AN1005" s="4"/>
      <c r="AO1005" s="7">
        <v>0</v>
      </c>
      <c r="AP1005" s="4"/>
      <c r="AQ1005" s="8"/>
      <c r="AR1005" s="4">
        <v>1</v>
      </c>
      <c r="AS1005" s="8">
        <v>85.28</v>
      </c>
      <c r="AT1005" s="7">
        <v>-1</v>
      </c>
      <c r="AU1005" s="7">
        <v>-1</v>
      </c>
      <c r="AV1005" s="4"/>
      <c r="AW1005" s="8"/>
      <c r="AX1005" s="4">
        <v>1</v>
      </c>
      <c r="AY1005" s="8">
        <v>85.28</v>
      </c>
      <c r="AZ1005" s="7">
        <v>-1</v>
      </c>
      <c r="BA1005" s="7">
        <v>-1</v>
      </c>
      <c r="BB1005" s="7"/>
      <c r="BC1005" s="4" t="s">
        <v>98</v>
      </c>
      <c r="BD1005" s="8" t="s">
        <v>98</v>
      </c>
      <c r="BE1005" s="4">
        <v>1</v>
      </c>
      <c r="BF1005" s="8">
        <v>85.28</v>
      </c>
      <c r="BG1005" s="7" t="s">
        <v>98</v>
      </c>
      <c r="BH1005" s="7" t="s">
        <v>98</v>
      </c>
      <c r="BI1005" s="7"/>
      <c r="BJ1005" s="4">
        <v>8</v>
      </c>
      <c r="BK1005" s="8">
        <v>892.25</v>
      </c>
      <c r="BL1005" s="2" t="s">
        <v>4623</v>
      </c>
      <c r="BM1005" s="7"/>
      <c r="BN1005" s="7"/>
      <c r="BO1005" s="4"/>
      <c r="BP1005" s="8"/>
      <c r="BQ1005" s="4">
        <v>1</v>
      </c>
      <c r="BR1005" s="8">
        <v>85.28</v>
      </c>
      <c r="BS1005" s="7">
        <v>-1</v>
      </c>
      <c r="BT1005" s="7">
        <v>-1</v>
      </c>
      <c r="BU1005" s="2" t="s">
        <v>107</v>
      </c>
      <c r="BV1005" s="2" t="s">
        <v>95</v>
      </c>
      <c r="BW1005" s="2" t="s">
        <v>4624</v>
      </c>
      <c r="BX1005" s="2" t="s">
        <v>4625</v>
      </c>
      <c r="BY1005" s="2" t="s">
        <v>110</v>
      </c>
      <c r="BZ1005" s="2" t="s">
        <v>98</v>
      </c>
    </row>
    <row r="1006">
      <c r="A1006" s="2" t="s">
        <v>4626</v>
      </c>
      <c r="B1006" s="2" t="s">
        <v>4584</v>
      </c>
      <c r="C1006" s="2" t="s">
        <v>4477</v>
      </c>
      <c r="D1006" s="2" t="s">
        <v>4585</v>
      </c>
      <c r="E1006" s="2" t="s">
        <v>4586</v>
      </c>
      <c r="F1006" s="2" t="s">
        <v>4621</v>
      </c>
      <c r="G1006" s="2" t="s">
        <v>4621</v>
      </c>
      <c r="H1006" s="2" t="s">
        <v>4621</v>
      </c>
      <c r="I1006" s="2" t="s">
        <v>4622</v>
      </c>
      <c r="J1006" s="2" t="s">
        <v>93</v>
      </c>
      <c r="K1006" s="2" t="s">
        <v>294</v>
      </c>
      <c r="L1006" s="3">
        <v>102.85</v>
      </c>
      <c r="M1006" s="3">
        <v>107.99</v>
      </c>
      <c r="N1006" s="3">
        <v>214.99</v>
      </c>
      <c r="O1006" s="2" t="s">
        <v>95</v>
      </c>
      <c r="P1006" s="2" t="s">
        <v>115</v>
      </c>
      <c r="Q1006" s="2" t="s">
        <v>97</v>
      </c>
      <c r="R1006" s="2" t="s">
        <v>98</v>
      </c>
      <c r="S1006" s="2" t="s">
        <v>98</v>
      </c>
      <c r="T1006" s="2" t="s">
        <v>98</v>
      </c>
      <c r="U1006" s="2" t="s">
        <v>100</v>
      </c>
      <c r="V1006" s="2" t="s">
        <v>296</v>
      </c>
      <c r="W1006" s="2" t="s">
        <v>103</v>
      </c>
      <c r="X1006" s="2" t="s">
        <v>98</v>
      </c>
      <c r="Y1006" s="2" t="s">
        <v>4627</v>
      </c>
      <c r="Z1006" s="4">
        <v>139</v>
      </c>
      <c r="AA1006" s="4">
        <f>=ROUNDDOWN(463.333333333333,0)</f>
      </c>
      <c r="AB1006" s="5">
        <v>0.3</v>
      </c>
      <c r="AC1006" s="2" t="s">
        <v>98</v>
      </c>
      <c r="AD1006" s="4"/>
      <c r="AE1006" s="4"/>
      <c r="AF1006" s="6">
        <v>65</v>
      </c>
      <c r="AG1006" s="6"/>
      <c r="AH1006" s="7">
        <v>1</v>
      </c>
      <c r="AI1006" s="4"/>
      <c r="AJ1006" s="4">
        <f>=ROUNDDOWN({0},0)</f>
      </c>
      <c r="AK1006" s="5"/>
      <c r="AL1006" s="2" t="s">
        <v>98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 t="s">
        <v>98</v>
      </c>
      <c r="BD1006" s="8" t="s">
        <v>98</v>
      </c>
      <c r="BE1006" s="4" t="s">
        <v>98</v>
      </c>
      <c r="BF1006" s="8" t="s">
        <v>98</v>
      </c>
      <c r="BG1006" s="7" t="s">
        <v>98</v>
      </c>
      <c r="BH1006" s="7" t="s">
        <v>98</v>
      </c>
      <c r="BI1006" s="7"/>
      <c r="BJ1006" s="4"/>
      <c r="BK1006" s="8"/>
      <c r="BL1006" s="2" t="s">
        <v>4628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107</v>
      </c>
      <c r="BV1006" s="2" t="s">
        <v>95</v>
      </c>
      <c r="BW1006" s="2" t="s">
        <v>4308</v>
      </c>
      <c r="BX1006" s="2" t="s">
        <v>98</v>
      </c>
      <c r="BY1006" s="2" t="s">
        <v>110</v>
      </c>
      <c r="BZ1006" s="2" t="s">
        <v>98</v>
      </c>
    </row>
    <row r="1007">
      <c r="A1007" s="2" t="s">
        <v>4629</v>
      </c>
      <c r="B1007" s="2" t="s">
        <v>4584</v>
      </c>
      <c r="C1007" s="2" t="s">
        <v>4477</v>
      </c>
      <c r="D1007" s="2" t="s">
        <v>4585</v>
      </c>
      <c r="E1007" s="2" t="s">
        <v>4586</v>
      </c>
      <c r="F1007" s="2" t="s">
        <v>4630</v>
      </c>
      <c r="G1007" s="2" t="s">
        <v>4630</v>
      </c>
      <c r="H1007" s="2" t="s">
        <v>4630</v>
      </c>
      <c r="I1007" s="2" t="s">
        <v>4588</v>
      </c>
      <c r="J1007" s="2" t="s">
        <v>93</v>
      </c>
      <c r="K1007" s="2" t="s">
        <v>174</v>
      </c>
      <c r="L1007" s="3">
        <v>62.74</v>
      </c>
      <c r="M1007" s="3">
        <v>65.88</v>
      </c>
      <c r="N1007" s="3">
        <v>134.99</v>
      </c>
      <c r="O1007" s="2" t="s">
        <v>95</v>
      </c>
      <c r="P1007" s="2" t="s">
        <v>134</v>
      </c>
      <c r="Q1007" s="2" t="s">
        <v>97</v>
      </c>
      <c r="R1007" s="2" t="s">
        <v>98</v>
      </c>
      <c r="S1007" s="2" t="s">
        <v>98</v>
      </c>
      <c r="T1007" s="2" t="s">
        <v>98</v>
      </c>
      <c r="U1007" s="2" t="s">
        <v>100</v>
      </c>
      <c r="V1007" s="2" t="s">
        <v>296</v>
      </c>
      <c r="W1007" s="2" t="s">
        <v>119</v>
      </c>
      <c r="X1007" s="2" t="s">
        <v>98</v>
      </c>
      <c r="Y1007" s="2" t="s">
        <v>4589</v>
      </c>
      <c r="Z1007" s="4">
        <v>124</v>
      </c>
      <c r="AA1007" s="4">
        <f>=ROUNDDOWN(15.5,0)</f>
      </c>
      <c r="AB1007" s="5">
        <v>8</v>
      </c>
      <c r="AC1007" s="2" t="s">
        <v>98</v>
      </c>
      <c r="AD1007" s="4"/>
      <c r="AE1007" s="4"/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98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/>
      <c r="BD1007" s="8"/>
      <c r="BE1007" s="4"/>
      <c r="BF1007" s="8"/>
      <c r="BG1007" s="7"/>
      <c r="BH1007" s="7"/>
      <c r="BI1007" s="7"/>
      <c r="BJ1007" s="4"/>
      <c r="BK1007" s="8"/>
      <c r="BL1007" s="2" t="s">
        <v>98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107</v>
      </c>
      <c r="BV1007" s="2" t="s">
        <v>95</v>
      </c>
      <c r="BW1007" s="2" t="s">
        <v>697</v>
      </c>
      <c r="BX1007" s="2" t="s">
        <v>3506</v>
      </c>
      <c r="BY1007" s="2" t="s">
        <v>110</v>
      </c>
      <c r="BZ1007" s="2" t="s">
        <v>98</v>
      </c>
    </row>
    <row r="1008">
      <c r="A1008" s="2" t="s">
        <v>4631</v>
      </c>
      <c r="B1008" s="2" t="s">
        <v>4584</v>
      </c>
      <c r="C1008" s="2" t="s">
        <v>4477</v>
      </c>
      <c r="D1008" s="2" t="s">
        <v>4585</v>
      </c>
      <c r="E1008" s="2" t="s">
        <v>4586</v>
      </c>
      <c r="F1008" s="2" t="s">
        <v>4632</v>
      </c>
      <c r="G1008" s="2" t="s">
        <v>4632</v>
      </c>
      <c r="H1008" s="2" t="s">
        <v>4632</v>
      </c>
      <c r="I1008" s="2" t="s">
        <v>4633</v>
      </c>
      <c r="J1008" s="2" t="s">
        <v>93</v>
      </c>
      <c r="K1008" s="2" t="s">
        <v>174</v>
      </c>
      <c r="L1008" s="3">
        <v>43.2</v>
      </c>
      <c r="M1008" s="3">
        <v>45.36</v>
      </c>
      <c r="N1008" s="3">
        <v>99.99</v>
      </c>
      <c r="O1008" s="2" t="s">
        <v>95</v>
      </c>
      <c r="P1008" s="2" t="s">
        <v>142</v>
      </c>
      <c r="Q1008" s="2" t="s">
        <v>97</v>
      </c>
      <c r="R1008" s="2" t="s">
        <v>98</v>
      </c>
      <c r="S1008" s="2" t="s">
        <v>98</v>
      </c>
      <c r="T1008" s="2" t="s">
        <v>98</v>
      </c>
      <c r="U1008" s="2" t="s">
        <v>117</v>
      </c>
      <c r="V1008" s="2" t="s">
        <v>296</v>
      </c>
      <c r="W1008" s="2" t="s">
        <v>119</v>
      </c>
      <c r="X1008" s="2" t="s">
        <v>103</v>
      </c>
      <c r="Y1008" s="2" t="s">
        <v>3066</v>
      </c>
      <c r="Z1008" s="4">
        <v>75</v>
      </c>
      <c r="AA1008" s="4">
        <f>=ROUNDDOWN(375,0)</f>
      </c>
      <c r="AB1008" s="5">
        <v>0.2</v>
      </c>
      <c r="AC1008" s="2" t="s">
        <v>98</v>
      </c>
      <c r="AD1008" s="4"/>
      <c r="AE1008" s="4"/>
      <c r="AF1008" s="6">
        <v>63</v>
      </c>
      <c r="AG1008" s="6"/>
      <c r="AH1008" s="7">
        <v>1</v>
      </c>
      <c r="AI1008" s="4"/>
      <c r="AJ1008" s="4">
        <f>=ROUNDDOWN({0},0)</f>
      </c>
      <c r="AK1008" s="5"/>
      <c r="AL1008" s="2" t="s">
        <v>98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/>
      <c r="BD1008" s="8"/>
      <c r="BE1008" s="4"/>
      <c r="BF1008" s="8"/>
      <c r="BG1008" s="7"/>
      <c r="BH1008" s="7"/>
      <c r="BI1008" s="7"/>
      <c r="BJ1008" s="4">
        <v>2</v>
      </c>
      <c r="BK1008" s="8">
        <v>110.4</v>
      </c>
      <c r="BL1008" s="2" t="s">
        <v>4634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107</v>
      </c>
      <c r="BV1008" s="2" t="s">
        <v>95</v>
      </c>
      <c r="BW1008" s="2" t="s">
        <v>4635</v>
      </c>
      <c r="BX1008" s="2" t="s">
        <v>98</v>
      </c>
      <c r="BY1008" s="2" t="s">
        <v>110</v>
      </c>
      <c r="BZ1008" s="2" t="s">
        <v>98</v>
      </c>
    </row>
    <row r="1009">
      <c r="A1009" s="2" t="s">
        <v>4636</v>
      </c>
      <c r="B1009" s="2" t="s">
        <v>4584</v>
      </c>
      <c r="C1009" s="2" t="s">
        <v>4477</v>
      </c>
      <c r="D1009" s="2" t="s">
        <v>4585</v>
      </c>
      <c r="E1009" s="2" t="s">
        <v>4586</v>
      </c>
      <c r="F1009" s="2" t="s">
        <v>4637</v>
      </c>
      <c r="G1009" s="2" t="s">
        <v>4637</v>
      </c>
      <c r="H1009" s="2" t="s">
        <v>4637</v>
      </c>
      <c r="I1009" s="2" t="s">
        <v>4638</v>
      </c>
      <c r="J1009" s="2" t="s">
        <v>93</v>
      </c>
      <c r="K1009" s="2" t="s">
        <v>4639</v>
      </c>
      <c r="L1009" s="3">
        <v>28.87</v>
      </c>
      <c r="M1009" s="3">
        <v>30.31</v>
      </c>
      <c r="N1009" s="3">
        <v>64.99</v>
      </c>
      <c r="O1009" s="2" t="s">
        <v>95</v>
      </c>
      <c r="P1009" s="2" t="s">
        <v>96</v>
      </c>
      <c r="Q1009" s="2" t="s">
        <v>97</v>
      </c>
      <c r="R1009" s="2" t="s">
        <v>98</v>
      </c>
      <c r="S1009" s="2" t="s">
        <v>98</v>
      </c>
      <c r="T1009" s="2" t="s">
        <v>98</v>
      </c>
      <c r="U1009" s="2" t="s">
        <v>117</v>
      </c>
      <c r="V1009" s="2" t="s">
        <v>439</v>
      </c>
      <c r="W1009" s="2" t="s">
        <v>119</v>
      </c>
      <c r="X1009" s="2" t="s">
        <v>98</v>
      </c>
      <c r="Y1009" s="2" t="s">
        <v>1551</v>
      </c>
      <c r="Z1009" s="4">
        <v>282</v>
      </c>
      <c r="AA1009" s="4">
        <f>=ROUNDDOWN(20.1428571428571,0)</f>
      </c>
      <c r="AB1009" s="5">
        <v>14</v>
      </c>
      <c r="AC1009" s="2" t="s">
        <v>98</v>
      </c>
      <c r="AD1009" s="4"/>
      <c r="AE1009" s="4"/>
      <c r="AF1009" s="6">
        <v>65</v>
      </c>
      <c r="AG1009" s="6"/>
      <c r="AH1009" s="7">
        <v>1</v>
      </c>
      <c r="AI1009" s="4"/>
      <c r="AJ1009" s="4">
        <f>=ROUNDDOWN({0},0)</f>
      </c>
      <c r="AK1009" s="5"/>
      <c r="AL1009" s="2" t="s">
        <v>98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/>
      <c r="AW1009" s="8"/>
      <c r="AX1009" s="4"/>
      <c r="AY1009" s="8"/>
      <c r="AZ1009" s="7"/>
      <c r="BA1009" s="7"/>
      <c r="BB1009" s="7"/>
      <c r="BC1009" s="4"/>
      <c r="BD1009" s="8"/>
      <c r="BE1009" s="4"/>
      <c r="BF1009" s="8"/>
      <c r="BG1009" s="7"/>
      <c r="BH1009" s="7"/>
      <c r="BI1009" s="7"/>
      <c r="BJ1009" s="4">
        <v>2</v>
      </c>
      <c r="BK1009" s="8">
        <v>65.69</v>
      </c>
      <c r="BL1009" s="2" t="s">
        <v>4640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107</v>
      </c>
      <c r="BV1009" s="2" t="s">
        <v>95</v>
      </c>
      <c r="BW1009" s="2" t="s">
        <v>4624</v>
      </c>
      <c r="BX1009" s="2" t="s">
        <v>810</v>
      </c>
      <c r="BY1009" s="2" t="s">
        <v>110</v>
      </c>
      <c r="BZ1009" s="2" t="s">
        <v>98</v>
      </c>
    </row>
    <row r="1010">
      <c r="A1010" s="2" t="s">
        <v>4641</v>
      </c>
      <c r="B1010" s="2" t="s">
        <v>4584</v>
      </c>
      <c r="C1010" s="2" t="s">
        <v>4477</v>
      </c>
      <c r="D1010" s="2" t="s">
        <v>4585</v>
      </c>
      <c r="E1010" s="2" t="s">
        <v>4586</v>
      </c>
      <c r="F1010" s="2" t="s">
        <v>4642</v>
      </c>
      <c r="G1010" s="2" t="s">
        <v>4642</v>
      </c>
      <c r="H1010" s="2" t="s">
        <v>4642</v>
      </c>
      <c r="I1010" s="2" t="s">
        <v>4643</v>
      </c>
      <c r="J1010" s="2" t="s">
        <v>93</v>
      </c>
      <c r="K1010" s="2" t="s">
        <v>174</v>
      </c>
      <c r="L1010" s="3">
        <v>26.46</v>
      </c>
      <c r="M1010" s="3">
        <v>27.78</v>
      </c>
      <c r="N1010" s="3">
        <v>59.99</v>
      </c>
      <c r="O1010" s="2" t="s">
        <v>95</v>
      </c>
      <c r="P1010" s="2" t="s">
        <v>96</v>
      </c>
      <c r="Q1010" s="2" t="s">
        <v>97</v>
      </c>
      <c r="R1010" s="2" t="s">
        <v>98</v>
      </c>
      <c r="S1010" s="2" t="s">
        <v>98</v>
      </c>
      <c r="T1010" s="2" t="s">
        <v>98</v>
      </c>
      <c r="U1010" s="2" t="s">
        <v>98</v>
      </c>
      <c r="V1010" s="2" t="s">
        <v>439</v>
      </c>
      <c r="W1010" s="2" t="s">
        <v>119</v>
      </c>
      <c r="X1010" s="2" t="s">
        <v>98</v>
      </c>
      <c r="Y1010" s="2" t="s">
        <v>4644</v>
      </c>
      <c r="Z1010" s="4">
        <v>229</v>
      </c>
      <c r="AA1010" s="4">
        <f>=ROUNDDOWN(22.9,0)</f>
      </c>
      <c r="AB1010" s="5">
        <v>10</v>
      </c>
      <c r="AC1010" s="2" t="s">
        <v>98</v>
      </c>
      <c r="AD1010" s="4"/>
      <c r="AE1010" s="4"/>
      <c r="AF1010" s="6">
        <v>65</v>
      </c>
      <c r="AG1010" s="6"/>
      <c r="AH1010" s="7">
        <v>1</v>
      </c>
      <c r="AI1010" s="4"/>
      <c r="AJ1010" s="4">
        <f>=ROUNDDOWN({0},0)</f>
      </c>
      <c r="AK1010" s="5"/>
      <c r="AL1010" s="2" t="s">
        <v>98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/>
      <c r="AW1010" s="8"/>
      <c r="AX1010" s="4"/>
      <c r="AY1010" s="8"/>
      <c r="AZ1010" s="7"/>
      <c r="BA1010" s="7"/>
      <c r="BB1010" s="7"/>
      <c r="BC1010" s="4"/>
      <c r="BD1010" s="8"/>
      <c r="BE1010" s="4"/>
      <c r="BF1010" s="8"/>
      <c r="BG1010" s="7"/>
      <c r="BH1010" s="7"/>
      <c r="BI1010" s="7"/>
      <c r="BJ1010" s="4"/>
      <c r="BK1010" s="8"/>
      <c r="BL1010" s="2" t="s">
        <v>2239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107</v>
      </c>
      <c r="BV1010" s="2" t="s">
        <v>95</v>
      </c>
      <c r="BW1010" s="2" t="s">
        <v>4624</v>
      </c>
      <c r="BX1010" s="2" t="s">
        <v>4645</v>
      </c>
      <c r="BY1010" s="2" t="s">
        <v>110</v>
      </c>
      <c r="BZ1010" s="2" t="s">
        <v>98</v>
      </c>
    </row>
    <row r="1011">
      <c r="A1011" s="2" t="s">
        <v>4646</v>
      </c>
      <c r="B1011" s="2" t="s">
        <v>4584</v>
      </c>
      <c r="C1011" s="2" t="s">
        <v>4477</v>
      </c>
      <c r="D1011" s="2" t="s">
        <v>4585</v>
      </c>
      <c r="E1011" s="2" t="s">
        <v>4586</v>
      </c>
      <c r="F1011" s="2" t="s">
        <v>4647</v>
      </c>
      <c r="G1011" s="2" t="s">
        <v>4647</v>
      </c>
      <c r="H1011" s="2" t="s">
        <v>4647</v>
      </c>
      <c r="I1011" s="2" t="s">
        <v>4648</v>
      </c>
      <c r="J1011" s="2" t="s">
        <v>93</v>
      </c>
      <c r="K1011" s="2" t="s">
        <v>133</v>
      </c>
      <c r="L1011" s="3">
        <v>67.1</v>
      </c>
      <c r="M1011" s="3">
        <v>70.46</v>
      </c>
      <c r="N1011" s="3">
        <v>139.99</v>
      </c>
      <c r="O1011" s="2" t="s">
        <v>95</v>
      </c>
      <c r="P1011" s="2" t="s">
        <v>96</v>
      </c>
      <c r="Q1011" s="2" t="s">
        <v>97</v>
      </c>
      <c r="R1011" s="2" t="s">
        <v>98</v>
      </c>
      <c r="S1011" s="2" t="s">
        <v>98</v>
      </c>
      <c r="T1011" s="2" t="s">
        <v>98</v>
      </c>
      <c r="U1011" s="2" t="s">
        <v>100</v>
      </c>
      <c r="V1011" s="2" t="s">
        <v>439</v>
      </c>
      <c r="W1011" s="2" t="s">
        <v>119</v>
      </c>
      <c r="X1011" s="2" t="s">
        <v>98</v>
      </c>
      <c r="Y1011" s="2" t="s">
        <v>4649</v>
      </c>
      <c r="Z1011" s="4">
        <v>159</v>
      </c>
      <c r="AA1011" s="4">
        <f>=ROUNDDOWN(14.4545454545455,0)</f>
      </c>
      <c r="AB1011" s="5">
        <v>11</v>
      </c>
      <c r="AC1011" s="2" t="s">
        <v>4598</v>
      </c>
      <c r="AD1011" s="4">
        <v>200</v>
      </c>
      <c r="AE1011" s="4">
        <v>200</v>
      </c>
      <c r="AF1011" s="6">
        <v>65</v>
      </c>
      <c r="AG1011" s="6"/>
      <c r="AH1011" s="7">
        <v>1</v>
      </c>
      <c r="AI1011" s="4"/>
      <c r="AJ1011" s="4">
        <f>=ROUNDDOWN({0},0)</f>
      </c>
      <c r="AK1011" s="5"/>
      <c r="AL1011" s="2" t="s">
        <v>98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/>
      <c r="BD1011" s="8"/>
      <c r="BE1011" s="4"/>
      <c r="BF1011" s="8"/>
      <c r="BG1011" s="7"/>
      <c r="BH1011" s="7"/>
      <c r="BI1011" s="7"/>
      <c r="BJ1011" s="4">
        <v>4</v>
      </c>
      <c r="BK1011" s="8">
        <v>295.46</v>
      </c>
      <c r="BL1011" s="2" t="s">
        <v>3886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107</v>
      </c>
      <c r="BV1011" s="2" t="s">
        <v>95</v>
      </c>
      <c r="BW1011" s="2" t="s">
        <v>4624</v>
      </c>
      <c r="BX1011" s="2" t="s">
        <v>4625</v>
      </c>
      <c r="BY1011" s="2" t="s">
        <v>110</v>
      </c>
      <c r="BZ1011" s="2" t="s">
        <v>98</v>
      </c>
    </row>
    <row r="1012">
      <c r="A1012" s="2" t="s">
        <v>4650</v>
      </c>
      <c r="B1012" s="2" t="s">
        <v>4584</v>
      </c>
      <c r="C1012" s="2" t="s">
        <v>4477</v>
      </c>
      <c r="D1012" s="2" t="s">
        <v>4585</v>
      </c>
      <c r="E1012" s="2" t="s">
        <v>4586</v>
      </c>
      <c r="F1012" s="2" t="s">
        <v>4651</v>
      </c>
      <c r="G1012" s="2" t="s">
        <v>4651</v>
      </c>
      <c r="H1012" s="2" t="s">
        <v>4651</v>
      </c>
      <c r="I1012" s="2" t="s">
        <v>4652</v>
      </c>
      <c r="J1012" s="2" t="s">
        <v>93</v>
      </c>
      <c r="K1012" s="2" t="s">
        <v>219</v>
      </c>
      <c r="L1012" s="3">
        <v>76.5</v>
      </c>
      <c r="M1012" s="3">
        <v>80.33</v>
      </c>
      <c r="N1012" s="3">
        <v>159.99</v>
      </c>
      <c r="O1012" s="2" t="s">
        <v>95</v>
      </c>
      <c r="P1012" s="2" t="s">
        <v>295</v>
      </c>
      <c r="Q1012" s="2" t="s">
        <v>97</v>
      </c>
      <c r="R1012" s="2" t="s">
        <v>98</v>
      </c>
      <c r="S1012" s="2" t="s">
        <v>98</v>
      </c>
      <c r="T1012" s="2" t="s">
        <v>98</v>
      </c>
      <c r="U1012" s="2" t="s">
        <v>100</v>
      </c>
      <c r="V1012" s="2" t="s">
        <v>296</v>
      </c>
      <c r="W1012" s="2" t="s">
        <v>102</v>
      </c>
      <c r="X1012" s="2" t="s">
        <v>102</v>
      </c>
      <c r="Y1012" s="2" t="s">
        <v>4653</v>
      </c>
      <c r="Z1012" s="4">
        <v>94</v>
      </c>
      <c r="AA1012" s="4">
        <f>=ROUNDDOWN({0},0)</f>
      </c>
      <c r="AB1012" s="5"/>
      <c r="AC1012" s="2" t="s">
        <v>98</v>
      </c>
      <c r="AD1012" s="4"/>
      <c r="AE1012" s="4"/>
      <c r="AF1012" s="6">
        <v>63</v>
      </c>
      <c r="AG1012" s="6"/>
      <c r="AH1012" s="7">
        <v>1</v>
      </c>
      <c r="AI1012" s="4"/>
      <c r="AJ1012" s="4">
        <f>=ROUNDDOWN({0},0)</f>
      </c>
      <c r="AK1012" s="5"/>
      <c r="AL1012" s="2" t="s">
        <v>98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 t="s">
        <v>98</v>
      </c>
      <c r="BD1012" s="8" t="s">
        <v>98</v>
      </c>
      <c r="BE1012" s="4" t="s">
        <v>98</v>
      </c>
      <c r="BF1012" s="8" t="s">
        <v>98</v>
      </c>
      <c r="BG1012" s="7" t="s">
        <v>98</v>
      </c>
      <c r="BH1012" s="7" t="s">
        <v>98</v>
      </c>
      <c r="BI1012" s="7"/>
      <c r="BJ1012" s="4"/>
      <c r="BK1012" s="8"/>
      <c r="BL1012" s="2" t="s">
        <v>98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4654</v>
      </c>
      <c r="BV1012" s="2" t="s">
        <v>95</v>
      </c>
      <c r="BW1012" s="2" t="s">
        <v>98</v>
      </c>
      <c r="BX1012" s="2" t="s">
        <v>98</v>
      </c>
      <c r="BY1012" s="2" t="s">
        <v>110</v>
      </c>
      <c r="BZ1012" s="2" t="s">
        <v>98</v>
      </c>
    </row>
    <row r="1013">
      <c r="A1013" s="2" t="s">
        <v>4655</v>
      </c>
      <c r="B1013" s="2" t="s">
        <v>4584</v>
      </c>
      <c r="C1013" s="2" t="s">
        <v>4477</v>
      </c>
      <c r="D1013" s="2" t="s">
        <v>4585</v>
      </c>
      <c r="E1013" s="2" t="s">
        <v>4586</v>
      </c>
      <c r="F1013" s="2" t="s">
        <v>4651</v>
      </c>
      <c r="G1013" s="2" t="s">
        <v>4651</v>
      </c>
      <c r="H1013" s="2" t="s">
        <v>4651</v>
      </c>
      <c r="I1013" s="2" t="s">
        <v>4652</v>
      </c>
      <c r="J1013" s="2" t="s">
        <v>93</v>
      </c>
      <c r="K1013" s="2" t="s">
        <v>4656</v>
      </c>
      <c r="L1013" s="3">
        <v>76.5</v>
      </c>
      <c r="M1013" s="3">
        <v>80.33</v>
      </c>
      <c r="N1013" s="3">
        <v>159.99</v>
      </c>
      <c r="O1013" s="2" t="s">
        <v>95</v>
      </c>
      <c r="P1013" s="2" t="s">
        <v>295</v>
      </c>
      <c r="Q1013" s="2" t="s">
        <v>97</v>
      </c>
      <c r="R1013" s="2" t="s">
        <v>98</v>
      </c>
      <c r="S1013" s="2" t="s">
        <v>98</v>
      </c>
      <c r="T1013" s="2" t="s">
        <v>98</v>
      </c>
      <c r="U1013" s="2" t="s">
        <v>100</v>
      </c>
      <c r="V1013" s="2" t="s">
        <v>296</v>
      </c>
      <c r="W1013" s="2" t="s">
        <v>102</v>
      </c>
      <c r="X1013" s="2" t="s">
        <v>102</v>
      </c>
      <c r="Y1013" s="2" t="s">
        <v>4653</v>
      </c>
      <c r="Z1013" s="4">
        <v>87</v>
      </c>
      <c r="AA1013" s="4">
        <f>=ROUNDDOWN({0},0)</f>
      </c>
      <c r="AB1013" s="5"/>
      <c r="AC1013" s="2" t="s">
        <v>1457</v>
      </c>
      <c r="AD1013" s="4">
        <v>14</v>
      </c>
      <c r="AE1013" s="4">
        <v>14</v>
      </c>
      <c r="AF1013" s="6">
        <v>63</v>
      </c>
      <c r="AG1013" s="6"/>
      <c r="AH1013" s="7">
        <v>1</v>
      </c>
      <c r="AI1013" s="4"/>
      <c r="AJ1013" s="4">
        <f>=ROUNDDOWN({0},0)</f>
      </c>
      <c r="AK1013" s="5"/>
      <c r="AL1013" s="2" t="s">
        <v>98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/>
      <c r="AW1013" s="8"/>
      <c r="AX1013" s="4"/>
      <c r="AY1013" s="8"/>
      <c r="AZ1013" s="7"/>
      <c r="BA1013" s="7"/>
      <c r="BB1013" s="7"/>
      <c r="BC1013" s="4" t="s">
        <v>98</v>
      </c>
      <c r="BD1013" s="8" t="s">
        <v>98</v>
      </c>
      <c r="BE1013" s="4" t="s">
        <v>98</v>
      </c>
      <c r="BF1013" s="8" t="s">
        <v>98</v>
      </c>
      <c r="BG1013" s="7" t="s">
        <v>98</v>
      </c>
      <c r="BH1013" s="7" t="s">
        <v>98</v>
      </c>
      <c r="BI1013" s="7"/>
      <c r="BJ1013" s="4"/>
      <c r="BK1013" s="8"/>
      <c r="BL1013" s="2" t="s">
        <v>98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107</v>
      </c>
      <c r="BV1013" s="2" t="s">
        <v>95</v>
      </c>
      <c r="BW1013" s="2" t="s">
        <v>4352</v>
      </c>
      <c r="BX1013" s="2" t="s">
        <v>98</v>
      </c>
      <c r="BY1013" s="2" t="s">
        <v>110</v>
      </c>
      <c r="BZ1013" s="2" t="s">
        <v>98</v>
      </c>
    </row>
    <row r="1014">
      <c r="A1014" s="2" t="s">
        <v>4657</v>
      </c>
      <c r="B1014" s="2" t="s">
        <v>4584</v>
      </c>
      <c r="C1014" s="2" t="s">
        <v>4477</v>
      </c>
      <c r="D1014" s="2" t="s">
        <v>4585</v>
      </c>
      <c r="E1014" s="2" t="s">
        <v>4586</v>
      </c>
      <c r="F1014" s="2" t="s">
        <v>4651</v>
      </c>
      <c r="G1014" s="2" t="s">
        <v>4651</v>
      </c>
      <c r="H1014" s="2" t="s">
        <v>4651</v>
      </c>
      <c r="I1014" s="2" t="s">
        <v>4652</v>
      </c>
      <c r="J1014" s="2" t="s">
        <v>93</v>
      </c>
      <c r="K1014" s="2" t="s">
        <v>4658</v>
      </c>
      <c r="L1014" s="3">
        <v>76.5</v>
      </c>
      <c r="M1014" s="3">
        <v>80.33</v>
      </c>
      <c r="N1014" s="3">
        <v>159.99</v>
      </c>
      <c r="O1014" s="2" t="s">
        <v>95</v>
      </c>
      <c r="P1014" s="2" t="s">
        <v>295</v>
      </c>
      <c r="Q1014" s="2" t="s">
        <v>97</v>
      </c>
      <c r="R1014" s="2" t="s">
        <v>98</v>
      </c>
      <c r="S1014" s="2" t="s">
        <v>98</v>
      </c>
      <c r="T1014" s="2" t="s">
        <v>98</v>
      </c>
      <c r="U1014" s="2" t="s">
        <v>100</v>
      </c>
      <c r="V1014" s="2" t="s">
        <v>296</v>
      </c>
      <c r="W1014" s="2" t="s">
        <v>102</v>
      </c>
      <c r="X1014" s="2" t="s">
        <v>102</v>
      </c>
      <c r="Y1014" s="2" t="s">
        <v>4653</v>
      </c>
      <c r="Z1014" s="4">
        <v>77</v>
      </c>
      <c r="AA1014" s="4">
        <f>=ROUNDDOWN({0},0)</f>
      </c>
      <c r="AB1014" s="5"/>
      <c r="AC1014" s="2" t="s">
        <v>1457</v>
      </c>
      <c r="AD1014" s="4">
        <v>22</v>
      </c>
      <c r="AE1014" s="4">
        <v>22</v>
      </c>
      <c r="AF1014" s="6">
        <v>63</v>
      </c>
      <c r="AG1014" s="6"/>
      <c r="AH1014" s="7">
        <v>1</v>
      </c>
      <c r="AI1014" s="4"/>
      <c r="AJ1014" s="4">
        <f>=ROUNDDOWN({0},0)</f>
      </c>
      <c r="AK1014" s="5"/>
      <c r="AL1014" s="2" t="s">
        <v>98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/>
      <c r="AW1014" s="8"/>
      <c r="AX1014" s="4"/>
      <c r="AY1014" s="8"/>
      <c r="AZ1014" s="7"/>
      <c r="BA1014" s="7"/>
      <c r="BB1014" s="7"/>
      <c r="BC1014" s="4" t="s">
        <v>98</v>
      </c>
      <c r="BD1014" s="8" t="s">
        <v>98</v>
      </c>
      <c r="BE1014" s="4" t="s">
        <v>98</v>
      </c>
      <c r="BF1014" s="8" t="s">
        <v>98</v>
      </c>
      <c r="BG1014" s="7" t="s">
        <v>98</v>
      </c>
      <c r="BH1014" s="7" t="s">
        <v>98</v>
      </c>
      <c r="BI1014" s="7"/>
      <c r="BJ1014" s="4"/>
      <c r="BK1014" s="8"/>
      <c r="BL1014" s="2" t="s">
        <v>98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4654</v>
      </c>
      <c r="BV1014" s="2" t="s">
        <v>95</v>
      </c>
      <c r="BW1014" s="2" t="s">
        <v>98</v>
      </c>
      <c r="BX1014" s="2" t="s">
        <v>98</v>
      </c>
      <c r="BY1014" s="2" t="s">
        <v>110</v>
      </c>
      <c r="BZ1014" s="2" t="s">
        <v>98</v>
      </c>
    </row>
    <row r="1015">
      <c r="A1015" s="2" t="s">
        <v>4659</v>
      </c>
      <c r="B1015" s="2" t="s">
        <v>4584</v>
      </c>
      <c r="C1015" s="2" t="s">
        <v>4477</v>
      </c>
      <c r="D1015" s="2" t="s">
        <v>4585</v>
      </c>
      <c r="E1015" s="2" t="s">
        <v>4586</v>
      </c>
      <c r="F1015" s="2" t="s">
        <v>4660</v>
      </c>
      <c r="G1015" s="2" t="s">
        <v>4660</v>
      </c>
      <c r="H1015" s="2" t="s">
        <v>4660</v>
      </c>
      <c r="I1015" s="2" t="s">
        <v>4661</v>
      </c>
      <c r="J1015" s="2" t="s">
        <v>93</v>
      </c>
      <c r="K1015" s="2" t="s">
        <v>364</v>
      </c>
      <c r="L1015" s="3">
        <v>44.54</v>
      </c>
      <c r="M1015" s="3">
        <v>46.77</v>
      </c>
      <c r="N1015" s="3">
        <v>94.99</v>
      </c>
      <c r="O1015" s="2" t="s">
        <v>95</v>
      </c>
      <c r="P1015" s="2" t="s">
        <v>134</v>
      </c>
      <c r="Q1015" s="2" t="s">
        <v>97</v>
      </c>
      <c r="R1015" s="2" t="s">
        <v>98</v>
      </c>
      <c r="S1015" s="2" t="s">
        <v>98</v>
      </c>
      <c r="T1015" s="2" t="s">
        <v>98</v>
      </c>
      <c r="U1015" s="2" t="s">
        <v>117</v>
      </c>
      <c r="V1015" s="2" t="s">
        <v>296</v>
      </c>
      <c r="W1015" s="2" t="s">
        <v>102</v>
      </c>
      <c r="X1015" s="2" t="s">
        <v>98</v>
      </c>
      <c r="Y1015" s="2" t="s">
        <v>4617</v>
      </c>
      <c r="Z1015" s="4">
        <v>203</v>
      </c>
      <c r="AA1015" s="4">
        <f>=ROUNDDOWN(59.7058823529412,0)</f>
      </c>
      <c r="AB1015" s="5">
        <v>3.4</v>
      </c>
      <c r="AC1015" s="2" t="s">
        <v>98</v>
      </c>
      <c r="AD1015" s="4"/>
      <c r="AE1015" s="4"/>
      <c r="AF1015" s="6">
        <v>65</v>
      </c>
      <c r="AG1015" s="6"/>
      <c r="AH1015" s="7">
        <v>1</v>
      </c>
      <c r="AI1015" s="4"/>
      <c r="AJ1015" s="4">
        <f>=ROUNDDOWN({0},0)</f>
      </c>
      <c r="AK1015" s="5"/>
      <c r="AL1015" s="2" t="s">
        <v>98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/>
      <c r="AW1015" s="8"/>
      <c r="AX1015" s="4"/>
      <c r="AY1015" s="8"/>
      <c r="AZ1015" s="7"/>
      <c r="BA1015" s="7"/>
      <c r="BB1015" s="7"/>
      <c r="BC1015" s="4"/>
      <c r="BD1015" s="8"/>
      <c r="BE1015" s="4"/>
      <c r="BF1015" s="8"/>
      <c r="BG1015" s="7"/>
      <c r="BH1015" s="7"/>
      <c r="BI1015" s="7"/>
      <c r="BJ1015" s="4">
        <v>3</v>
      </c>
      <c r="BK1015" s="8">
        <v>141.54</v>
      </c>
      <c r="BL1015" s="2" t="s">
        <v>1379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107</v>
      </c>
      <c r="BV1015" s="2" t="s">
        <v>95</v>
      </c>
      <c r="BW1015" s="2" t="s">
        <v>4308</v>
      </c>
      <c r="BX1015" s="2" t="s">
        <v>475</v>
      </c>
      <c r="BY1015" s="2" t="s">
        <v>110</v>
      </c>
      <c r="BZ1015" s="2" t="s">
        <v>98</v>
      </c>
    </row>
    <row r="1016">
      <c r="A1016" s="2" t="s">
        <v>4662</v>
      </c>
      <c r="B1016" s="2" t="s">
        <v>4584</v>
      </c>
      <c r="C1016" s="2" t="s">
        <v>4477</v>
      </c>
      <c r="D1016" s="2" t="s">
        <v>4585</v>
      </c>
      <c r="E1016" s="2" t="s">
        <v>4586</v>
      </c>
      <c r="F1016" s="2" t="s">
        <v>4663</v>
      </c>
      <c r="G1016" s="2" t="s">
        <v>4663</v>
      </c>
      <c r="H1016" s="2" t="s">
        <v>4663</v>
      </c>
      <c r="I1016" s="2" t="s">
        <v>4664</v>
      </c>
      <c r="J1016" s="2" t="s">
        <v>93</v>
      </c>
      <c r="K1016" s="2" t="s">
        <v>473</v>
      </c>
      <c r="L1016" s="3">
        <v>26.78</v>
      </c>
      <c r="M1016" s="3">
        <v>28.12</v>
      </c>
      <c r="N1016" s="3">
        <v>59.99</v>
      </c>
      <c r="O1016" s="2" t="s">
        <v>95</v>
      </c>
      <c r="P1016" s="2" t="s">
        <v>134</v>
      </c>
      <c r="Q1016" s="2" t="s">
        <v>97</v>
      </c>
      <c r="R1016" s="2" t="s">
        <v>98</v>
      </c>
      <c r="S1016" s="2" t="s">
        <v>98</v>
      </c>
      <c r="T1016" s="2" t="s">
        <v>98</v>
      </c>
      <c r="U1016" s="2" t="s">
        <v>117</v>
      </c>
      <c r="V1016" s="2" t="s">
        <v>296</v>
      </c>
      <c r="W1016" s="2" t="s">
        <v>102</v>
      </c>
      <c r="X1016" s="2" t="s">
        <v>98</v>
      </c>
      <c r="Y1016" s="2" t="s">
        <v>4617</v>
      </c>
      <c r="Z1016" s="4">
        <v>10</v>
      </c>
      <c r="AA1016" s="4">
        <f>=ROUNDDOWN(1.25,0)</f>
      </c>
      <c r="AB1016" s="5">
        <v>8</v>
      </c>
      <c r="AC1016" s="2" t="s">
        <v>323</v>
      </c>
      <c r="AD1016" s="4">
        <v>100</v>
      </c>
      <c r="AE1016" s="4">
        <v>200</v>
      </c>
      <c r="AF1016" s="6">
        <v>65</v>
      </c>
      <c r="AG1016" s="6"/>
      <c r="AH1016" s="7">
        <v>1</v>
      </c>
      <c r="AI1016" s="4"/>
      <c r="AJ1016" s="4">
        <f>=ROUNDDOWN({0},0)</f>
      </c>
      <c r="AK1016" s="5"/>
      <c r="AL1016" s="2" t="s">
        <v>98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/>
      <c r="AW1016" s="8"/>
      <c r="AX1016" s="4"/>
      <c r="AY1016" s="8"/>
      <c r="AZ1016" s="7"/>
      <c r="BA1016" s="7"/>
      <c r="BB1016" s="7"/>
      <c r="BC1016" s="4" t="s">
        <v>98</v>
      </c>
      <c r="BD1016" s="8" t="s">
        <v>98</v>
      </c>
      <c r="BE1016" s="4" t="s">
        <v>98</v>
      </c>
      <c r="BF1016" s="8" t="s">
        <v>98</v>
      </c>
      <c r="BG1016" s="7" t="s">
        <v>98</v>
      </c>
      <c r="BH1016" s="7" t="s">
        <v>98</v>
      </c>
      <c r="BI1016" s="7"/>
      <c r="BJ1016" s="4">
        <v>6</v>
      </c>
      <c r="BK1016" s="8">
        <v>174.68</v>
      </c>
      <c r="BL1016" s="2" t="s">
        <v>4665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107</v>
      </c>
      <c r="BV1016" s="2" t="s">
        <v>95</v>
      </c>
      <c r="BW1016" s="2" t="s">
        <v>4308</v>
      </c>
      <c r="BX1016" s="2" t="s">
        <v>4666</v>
      </c>
      <c r="BY1016" s="2" t="s">
        <v>110</v>
      </c>
      <c r="BZ1016" s="2" t="s">
        <v>98</v>
      </c>
    </row>
    <row r="1017">
      <c r="A1017" s="2" t="s">
        <v>4667</v>
      </c>
      <c r="B1017" s="2" t="s">
        <v>4584</v>
      </c>
      <c r="C1017" s="2" t="s">
        <v>4477</v>
      </c>
      <c r="D1017" s="2" t="s">
        <v>4585</v>
      </c>
      <c r="E1017" s="2" t="s">
        <v>4586</v>
      </c>
      <c r="F1017" s="2" t="s">
        <v>4663</v>
      </c>
      <c r="G1017" s="2" t="s">
        <v>4663</v>
      </c>
      <c r="H1017" s="2" t="s">
        <v>4663</v>
      </c>
      <c r="I1017" s="2" t="s">
        <v>4664</v>
      </c>
      <c r="J1017" s="2" t="s">
        <v>93</v>
      </c>
      <c r="K1017" s="2" t="s">
        <v>174</v>
      </c>
      <c r="L1017" s="3">
        <v>28.19</v>
      </c>
      <c r="M1017" s="3">
        <v>29.6</v>
      </c>
      <c r="N1017" s="3">
        <v>59.99</v>
      </c>
      <c r="O1017" s="2" t="s">
        <v>95</v>
      </c>
      <c r="P1017" s="2" t="s">
        <v>134</v>
      </c>
      <c r="Q1017" s="2" t="s">
        <v>97</v>
      </c>
      <c r="R1017" s="2" t="s">
        <v>98</v>
      </c>
      <c r="S1017" s="2" t="s">
        <v>98</v>
      </c>
      <c r="T1017" s="2" t="s">
        <v>98</v>
      </c>
      <c r="U1017" s="2" t="s">
        <v>117</v>
      </c>
      <c r="V1017" s="2" t="s">
        <v>296</v>
      </c>
      <c r="W1017" s="2" t="s">
        <v>102</v>
      </c>
      <c r="X1017" s="2" t="s">
        <v>98</v>
      </c>
      <c r="Y1017" s="2" t="s">
        <v>4617</v>
      </c>
      <c r="Z1017" s="4">
        <v>10</v>
      </c>
      <c r="AA1017" s="4">
        <f>=ROUNDDOWN(3.2258064516129,0)</f>
      </c>
      <c r="AB1017" s="5">
        <v>3.1</v>
      </c>
      <c r="AC1017" s="2" t="s">
        <v>323</v>
      </c>
      <c r="AD1017" s="4">
        <v>100</v>
      </c>
      <c r="AE1017" s="4">
        <v>200</v>
      </c>
      <c r="AF1017" s="6">
        <v>65</v>
      </c>
      <c r="AG1017" s="6"/>
      <c r="AH1017" s="7">
        <v>1</v>
      </c>
      <c r="AI1017" s="4"/>
      <c r="AJ1017" s="4">
        <f>=ROUNDDOWN({0},0)</f>
      </c>
      <c r="AK1017" s="5"/>
      <c r="AL1017" s="2" t="s">
        <v>98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/>
      <c r="AW1017" s="8"/>
      <c r="AX1017" s="4"/>
      <c r="AY1017" s="8"/>
      <c r="AZ1017" s="7"/>
      <c r="BA1017" s="7"/>
      <c r="BB1017" s="7"/>
      <c r="BC1017" s="4" t="s">
        <v>98</v>
      </c>
      <c r="BD1017" s="8" t="s">
        <v>98</v>
      </c>
      <c r="BE1017" s="4" t="s">
        <v>98</v>
      </c>
      <c r="BF1017" s="8" t="s">
        <v>98</v>
      </c>
      <c r="BG1017" s="7" t="s">
        <v>98</v>
      </c>
      <c r="BH1017" s="7" t="s">
        <v>98</v>
      </c>
      <c r="BI1017" s="7"/>
      <c r="BJ1017" s="4">
        <v>1</v>
      </c>
      <c r="BK1017" s="8">
        <v>27.41</v>
      </c>
      <c r="BL1017" s="2" t="s">
        <v>895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107</v>
      </c>
      <c r="BV1017" s="2" t="s">
        <v>95</v>
      </c>
      <c r="BW1017" s="2" t="s">
        <v>4308</v>
      </c>
      <c r="BX1017" s="2" t="s">
        <v>98</v>
      </c>
      <c r="BY1017" s="2" t="s">
        <v>110</v>
      </c>
      <c r="BZ1017" s="2" t="s">
        <v>98</v>
      </c>
    </row>
    <row r="1018">
      <c r="A1018" s="2" t="s">
        <v>4668</v>
      </c>
      <c r="B1018" s="2" t="s">
        <v>4584</v>
      </c>
      <c r="C1018" s="2" t="s">
        <v>4477</v>
      </c>
      <c r="D1018" s="2" t="s">
        <v>4585</v>
      </c>
      <c r="E1018" s="2" t="s">
        <v>4586</v>
      </c>
      <c r="F1018" s="2" t="s">
        <v>4669</v>
      </c>
      <c r="G1018" s="2" t="s">
        <v>4669</v>
      </c>
      <c r="H1018" s="2" t="s">
        <v>4669</v>
      </c>
      <c r="I1018" s="2" t="s">
        <v>4670</v>
      </c>
      <c r="J1018" s="2" t="s">
        <v>93</v>
      </c>
      <c r="K1018" s="2" t="s">
        <v>4671</v>
      </c>
      <c r="L1018" s="3">
        <v>33.11</v>
      </c>
      <c r="M1018" s="3">
        <v>34.77</v>
      </c>
      <c r="N1018" s="3">
        <v>74.99</v>
      </c>
      <c r="O1018" s="2" t="s">
        <v>95</v>
      </c>
      <c r="P1018" s="2" t="s">
        <v>134</v>
      </c>
      <c r="Q1018" s="2" t="s">
        <v>97</v>
      </c>
      <c r="R1018" s="2" t="s">
        <v>98</v>
      </c>
      <c r="S1018" s="2" t="s">
        <v>98</v>
      </c>
      <c r="T1018" s="2" t="s">
        <v>98</v>
      </c>
      <c r="U1018" s="2" t="s">
        <v>117</v>
      </c>
      <c r="V1018" s="2" t="s">
        <v>439</v>
      </c>
      <c r="W1018" s="2" t="s">
        <v>119</v>
      </c>
      <c r="X1018" s="2" t="s">
        <v>98</v>
      </c>
      <c r="Y1018" s="2" t="s">
        <v>3468</v>
      </c>
      <c r="Z1018" s="4">
        <v>114</v>
      </c>
      <c r="AA1018" s="4">
        <f>=ROUNDDOWN(14.25,0)</f>
      </c>
      <c r="AB1018" s="5">
        <v>8</v>
      </c>
      <c r="AC1018" s="2" t="s">
        <v>4598</v>
      </c>
      <c r="AD1018" s="4">
        <v>100</v>
      </c>
      <c r="AE1018" s="4">
        <v>100</v>
      </c>
      <c r="AF1018" s="6">
        <v>65</v>
      </c>
      <c r="AG1018" s="6"/>
      <c r="AH1018" s="7">
        <v>1</v>
      </c>
      <c r="AI1018" s="4"/>
      <c r="AJ1018" s="4">
        <f>=ROUNDDOWN({0},0)</f>
      </c>
      <c r="AK1018" s="5"/>
      <c r="AL1018" s="2" t="s">
        <v>98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/>
      <c r="AW1018" s="8"/>
      <c r="AX1018" s="4"/>
      <c r="AY1018" s="8"/>
      <c r="AZ1018" s="7"/>
      <c r="BA1018" s="7"/>
      <c r="BB1018" s="7"/>
      <c r="BC1018" s="4"/>
      <c r="BD1018" s="8"/>
      <c r="BE1018" s="4"/>
      <c r="BF1018" s="8"/>
      <c r="BG1018" s="7"/>
      <c r="BH1018" s="7"/>
      <c r="BI1018" s="7"/>
      <c r="BJ1018" s="4">
        <v>3</v>
      </c>
      <c r="BK1018" s="8">
        <v>119.61</v>
      </c>
      <c r="BL1018" s="2" t="s">
        <v>4672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107</v>
      </c>
      <c r="BV1018" s="2" t="s">
        <v>95</v>
      </c>
      <c r="BW1018" s="2" t="s">
        <v>4624</v>
      </c>
      <c r="BX1018" s="2" t="s">
        <v>4673</v>
      </c>
      <c r="BY1018" s="2" t="s">
        <v>110</v>
      </c>
      <c r="BZ1018" s="2" t="s">
        <v>98</v>
      </c>
    </row>
    <row r="1019">
      <c r="A1019" s="2" t="s">
        <v>4674</v>
      </c>
      <c r="B1019" s="2" t="s">
        <v>4584</v>
      </c>
      <c r="C1019" s="2" t="s">
        <v>4477</v>
      </c>
      <c r="D1019" s="2" t="s">
        <v>4585</v>
      </c>
      <c r="E1019" s="2" t="s">
        <v>4586</v>
      </c>
      <c r="F1019" s="2" t="s">
        <v>4675</v>
      </c>
      <c r="G1019" s="2" t="s">
        <v>4675</v>
      </c>
      <c r="H1019" s="2" t="s">
        <v>4675</v>
      </c>
      <c r="I1019" s="2" t="s">
        <v>4676</v>
      </c>
      <c r="J1019" s="2" t="s">
        <v>93</v>
      </c>
      <c r="K1019" s="2" t="s">
        <v>421</v>
      </c>
      <c r="L1019" s="3">
        <v>28.42</v>
      </c>
      <c r="M1019" s="3">
        <v>29.84</v>
      </c>
      <c r="N1019" s="3">
        <v>64.99</v>
      </c>
      <c r="O1019" s="2" t="s">
        <v>95</v>
      </c>
      <c r="P1019" s="2" t="s">
        <v>134</v>
      </c>
      <c r="Q1019" s="2" t="s">
        <v>97</v>
      </c>
      <c r="R1019" s="2" t="s">
        <v>98</v>
      </c>
      <c r="S1019" s="2" t="s">
        <v>98</v>
      </c>
      <c r="T1019" s="2" t="s">
        <v>98</v>
      </c>
      <c r="U1019" s="2" t="s">
        <v>117</v>
      </c>
      <c r="V1019" s="2" t="s">
        <v>439</v>
      </c>
      <c r="W1019" s="2" t="s">
        <v>119</v>
      </c>
      <c r="X1019" s="2" t="s">
        <v>98</v>
      </c>
      <c r="Y1019" s="2" t="s">
        <v>4677</v>
      </c>
      <c r="Z1019" s="4">
        <v>65</v>
      </c>
      <c r="AA1019" s="4">
        <f>=ROUNDDOWN(7.22222222222222,0)</f>
      </c>
      <c r="AB1019" s="5">
        <v>9</v>
      </c>
      <c r="AC1019" s="2" t="s">
        <v>222</v>
      </c>
      <c r="AD1019" s="4">
        <v>100</v>
      </c>
      <c r="AE1019" s="4">
        <v>200</v>
      </c>
      <c r="AF1019" s="6">
        <v>65</v>
      </c>
      <c r="AG1019" s="6"/>
      <c r="AH1019" s="7">
        <v>1</v>
      </c>
      <c r="AI1019" s="4"/>
      <c r="AJ1019" s="4">
        <f>=ROUNDDOWN({0},0)</f>
      </c>
      <c r="AK1019" s="5"/>
      <c r="AL1019" s="2" t="s">
        <v>98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/>
      <c r="AW1019" s="8"/>
      <c r="AX1019" s="4"/>
      <c r="AY1019" s="8"/>
      <c r="AZ1019" s="7"/>
      <c r="BA1019" s="7"/>
      <c r="BB1019" s="7"/>
      <c r="BC1019" s="4"/>
      <c r="BD1019" s="8"/>
      <c r="BE1019" s="4"/>
      <c r="BF1019" s="8"/>
      <c r="BG1019" s="7"/>
      <c r="BH1019" s="7"/>
      <c r="BI1019" s="7"/>
      <c r="BJ1019" s="4">
        <v>9</v>
      </c>
      <c r="BK1019" s="8">
        <v>287.53</v>
      </c>
      <c r="BL1019" s="2" t="s">
        <v>4360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107</v>
      </c>
      <c r="BV1019" s="2" t="s">
        <v>95</v>
      </c>
      <c r="BW1019" s="2" t="s">
        <v>4594</v>
      </c>
      <c r="BX1019" s="2" t="s">
        <v>4264</v>
      </c>
      <c r="BY1019" s="2" t="s">
        <v>110</v>
      </c>
      <c r="BZ1019" s="2" t="s">
        <v>98</v>
      </c>
    </row>
    <row r="1020">
      <c r="A1020" s="2" t="s">
        <v>4678</v>
      </c>
      <c r="B1020" s="2" t="s">
        <v>4584</v>
      </c>
      <c r="C1020" s="2" t="s">
        <v>4477</v>
      </c>
      <c r="D1020" s="2" t="s">
        <v>4585</v>
      </c>
      <c r="E1020" s="2" t="s">
        <v>4586</v>
      </c>
      <c r="F1020" s="2" t="s">
        <v>4679</v>
      </c>
      <c r="G1020" s="2" t="s">
        <v>4679</v>
      </c>
      <c r="H1020" s="2" t="s">
        <v>4679</v>
      </c>
      <c r="I1020" s="2" t="s">
        <v>4680</v>
      </c>
      <c r="J1020" s="2" t="s">
        <v>93</v>
      </c>
      <c r="K1020" s="2" t="s">
        <v>4681</v>
      </c>
      <c r="L1020" s="3">
        <v>36</v>
      </c>
      <c r="M1020" s="3">
        <v>37.8</v>
      </c>
      <c r="N1020" s="3">
        <v>74.99</v>
      </c>
      <c r="O1020" s="2" t="s">
        <v>95</v>
      </c>
      <c r="P1020" s="2" t="s">
        <v>96</v>
      </c>
      <c r="Q1020" s="2" t="s">
        <v>97</v>
      </c>
      <c r="R1020" s="2" t="s">
        <v>98</v>
      </c>
      <c r="S1020" s="2" t="s">
        <v>98</v>
      </c>
      <c r="T1020" s="2" t="s">
        <v>98</v>
      </c>
      <c r="U1020" s="2" t="s">
        <v>98</v>
      </c>
      <c r="V1020" s="2" t="s">
        <v>296</v>
      </c>
      <c r="W1020" s="2" t="s">
        <v>102</v>
      </c>
      <c r="X1020" s="2" t="s">
        <v>103</v>
      </c>
      <c r="Y1020" s="2" t="s">
        <v>4682</v>
      </c>
      <c r="Z1020" s="4">
        <v>108</v>
      </c>
      <c r="AA1020" s="4">
        <f>=ROUNDDOWN(5.4,0)</f>
      </c>
      <c r="AB1020" s="5">
        <v>20</v>
      </c>
      <c r="AC1020" s="2" t="s">
        <v>323</v>
      </c>
      <c r="AD1020" s="4">
        <v>100</v>
      </c>
      <c r="AE1020" s="4">
        <v>350</v>
      </c>
      <c r="AF1020" s="6">
        <v>63</v>
      </c>
      <c r="AG1020" s="6"/>
      <c r="AH1020" s="7">
        <v>1</v>
      </c>
      <c r="AI1020" s="4"/>
      <c r="AJ1020" s="4">
        <f>=ROUNDDOWN({0},0)</f>
      </c>
      <c r="AK1020" s="5"/>
      <c r="AL1020" s="2" t="s">
        <v>98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/>
      <c r="AW1020" s="8"/>
      <c r="AX1020" s="4"/>
      <c r="AY1020" s="8"/>
      <c r="AZ1020" s="7"/>
      <c r="BA1020" s="7"/>
      <c r="BB1020" s="7"/>
      <c r="BC1020" s="4"/>
      <c r="BD1020" s="8"/>
      <c r="BE1020" s="4"/>
      <c r="BF1020" s="8"/>
      <c r="BG1020" s="7"/>
      <c r="BH1020" s="7"/>
      <c r="BI1020" s="7"/>
      <c r="BJ1020" s="4">
        <v>19</v>
      </c>
      <c r="BK1020" s="8">
        <v>721.74</v>
      </c>
      <c r="BL1020" s="2" t="s">
        <v>4683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107</v>
      </c>
      <c r="BV1020" s="2" t="s">
        <v>95</v>
      </c>
      <c r="BW1020" s="2" t="s">
        <v>4635</v>
      </c>
      <c r="BX1020" s="2" t="s">
        <v>4684</v>
      </c>
      <c r="BY1020" s="2" t="s">
        <v>110</v>
      </c>
      <c r="BZ1020" s="2" t="s">
        <v>98</v>
      </c>
    </row>
    <row r="1021">
      <c r="A1021" s="2" t="s">
        <v>4685</v>
      </c>
      <c r="B1021" s="2" t="s">
        <v>4584</v>
      </c>
      <c r="C1021" s="2" t="s">
        <v>4477</v>
      </c>
      <c r="D1021" s="2" t="s">
        <v>4686</v>
      </c>
      <c r="E1021" s="2" t="s">
        <v>4687</v>
      </c>
      <c r="F1021" s="2" t="s">
        <v>4688</v>
      </c>
      <c r="G1021" s="2" t="s">
        <v>4688</v>
      </c>
      <c r="H1021" s="2" t="s">
        <v>4688</v>
      </c>
      <c r="I1021" s="2" t="s">
        <v>4689</v>
      </c>
      <c r="J1021" s="2" t="s">
        <v>93</v>
      </c>
      <c r="K1021" s="2" t="s">
        <v>473</v>
      </c>
      <c r="L1021" s="3">
        <v>117.76</v>
      </c>
      <c r="M1021" s="3">
        <v>123.65</v>
      </c>
      <c r="N1021" s="3">
        <v>279.99</v>
      </c>
      <c r="O1021" s="2" t="s">
        <v>95</v>
      </c>
      <c r="P1021" s="2" t="s">
        <v>115</v>
      </c>
      <c r="Q1021" s="2" t="s">
        <v>97</v>
      </c>
      <c r="R1021" s="2" t="s">
        <v>98</v>
      </c>
      <c r="S1021" s="2" t="s">
        <v>98</v>
      </c>
      <c r="T1021" s="2" t="s">
        <v>98</v>
      </c>
      <c r="U1021" s="2" t="s">
        <v>117</v>
      </c>
      <c r="V1021" s="2" t="s">
        <v>296</v>
      </c>
      <c r="W1021" s="2" t="s">
        <v>102</v>
      </c>
      <c r="X1021" s="2" t="s">
        <v>103</v>
      </c>
      <c r="Y1021" s="2" t="s">
        <v>353</v>
      </c>
      <c r="Z1021" s="4">
        <v>75</v>
      </c>
      <c r="AA1021" s="4">
        <f>=ROUNDDOWN(187.5,0)</f>
      </c>
      <c r="AB1021" s="5">
        <v>0.4</v>
      </c>
      <c r="AC1021" s="2" t="s">
        <v>98</v>
      </c>
      <c r="AD1021" s="4"/>
      <c r="AE1021" s="4"/>
      <c r="AF1021" s="6">
        <v>63</v>
      </c>
      <c r="AG1021" s="6"/>
      <c r="AH1021" s="7">
        <v>1</v>
      </c>
      <c r="AI1021" s="4"/>
      <c r="AJ1021" s="4">
        <f>=ROUNDDOWN({0},0)</f>
      </c>
      <c r="AK1021" s="5"/>
      <c r="AL1021" s="2" t="s">
        <v>98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/>
      <c r="AW1021" s="8"/>
      <c r="AX1021" s="4"/>
      <c r="AY1021" s="8"/>
      <c r="AZ1021" s="7"/>
      <c r="BA1021" s="7"/>
      <c r="BB1021" s="7"/>
      <c r="BC1021" s="4"/>
      <c r="BD1021" s="8"/>
      <c r="BE1021" s="4"/>
      <c r="BF1021" s="8"/>
      <c r="BG1021" s="7"/>
      <c r="BH1021" s="7"/>
      <c r="BI1021" s="7"/>
      <c r="BJ1021" s="4"/>
      <c r="BK1021" s="8"/>
      <c r="BL1021" s="2" t="s">
        <v>98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107</v>
      </c>
      <c r="BV1021" s="2" t="s">
        <v>95</v>
      </c>
      <c r="BW1021" s="2" t="s">
        <v>4635</v>
      </c>
      <c r="BX1021" s="2" t="s">
        <v>98</v>
      </c>
      <c r="BY1021" s="2" t="s">
        <v>110</v>
      </c>
      <c r="BZ1021" s="2" t="s">
        <v>98</v>
      </c>
    </row>
    <row r="1022">
      <c r="A1022" s="2" t="s">
        <v>4690</v>
      </c>
      <c r="B1022" s="2" t="s">
        <v>4584</v>
      </c>
      <c r="C1022" s="2" t="s">
        <v>4477</v>
      </c>
      <c r="D1022" s="2" t="s">
        <v>4686</v>
      </c>
      <c r="E1022" s="2" t="s">
        <v>4687</v>
      </c>
      <c r="F1022" s="2" t="s">
        <v>2988</v>
      </c>
      <c r="G1022" s="2" t="s">
        <v>2988</v>
      </c>
      <c r="H1022" s="2" t="s">
        <v>2988</v>
      </c>
      <c r="I1022" s="2" t="s">
        <v>4691</v>
      </c>
      <c r="J1022" s="2" t="s">
        <v>93</v>
      </c>
      <c r="K1022" s="2" t="s">
        <v>174</v>
      </c>
      <c r="L1022" s="3">
        <v>63.75</v>
      </c>
      <c r="M1022" s="3">
        <v>66.94</v>
      </c>
      <c r="N1022" s="3">
        <v>139.99</v>
      </c>
      <c r="O1022" s="2" t="s">
        <v>95</v>
      </c>
      <c r="P1022" s="2" t="s">
        <v>115</v>
      </c>
      <c r="Q1022" s="2" t="s">
        <v>97</v>
      </c>
      <c r="R1022" s="2" t="s">
        <v>98</v>
      </c>
      <c r="S1022" s="2" t="s">
        <v>98</v>
      </c>
      <c r="T1022" s="2" t="s">
        <v>98</v>
      </c>
      <c r="U1022" s="2" t="s">
        <v>117</v>
      </c>
      <c r="V1022" s="2" t="s">
        <v>296</v>
      </c>
      <c r="W1022" s="2" t="s">
        <v>103</v>
      </c>
      <c r="X1022" s="2" t="s">
        <v>204</v>
      </c>
      <c r="Y1022" s="2" t="s">
        <v>4692</v>
      </c>
      <c r="Z1022" s="4">
        <v>98</v>
      </c>
      <c r="AA1022" s="4">
        <f>=ROUNDDOWN(326.666666666667,0)</f>
      </c>
      <c r="AB1022" s="5">
        <v>0.3</v>
      </c>
      <c r="AC1022" s="2" t="s">
        <v>98</v>
      </c>
      <c r="AD1022" s="4"/>
      <c r="AE1022" s="4"/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98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/>
      <c r="AW1022" s="8"/>
      <c r="AX1022" s="4"/>
      <c r="AY1022" s="8"/>
      <c r="AZ1022" s="7"/>
      <c r="BA1022" s="7"/>
      <c r="BB1022" s="7"/>
      <c r="BC1022" s="4"/>
      <c r="BD1022" s="8"/>
      <c r="BE1022" s="4"/>
      <c r="BF1022" s="8"/>
      <c r="BG1022" s="7"/>
      <c r="BH1022" s="7"/>
      <c r="BI1022" s="7"/>
      <c r="BJ1022" s="4"/>
      <c r="BK1022" s="8"/>
      <c r="BL1022" s="2" t="s">
        <v>2959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107</v>
      </c>
      <c r="BV1022" s="2" t="s">
        <v>95</v>
      </c>
      <c r="BW1022" s="2" t="s">
        <v>4635</v>
      </c>
      <c r="BX1022" s="2" t="s">
        <v>98</v>
      </c>
      <c r="BY1022" s="2" t="s">
        <v>110</v>
      </c>
      <c r="BZ1022" s="2" t="s">
        <v>98</v>
      </c>
    </row>
    <row r="1023">
      <c r="A1023" s="2" t="s">
        <v>4693</v>
      </c>
      <c r="B1023" s="2" t="s">
        <v>4584</v>
      </c>
      <c r="C1023" s="2" t="s">
        <v>4694</v>
      </c>
      <c r="D1023" s="2" t="s">
        <v>4585</v>
      </c>
      <c r="E1023" s="2" t="s">
        <v>4586</v>
      </c>
      <c r="F1023" s="2" t="s">
        <v>4695</v>
      </c>
      <c r="G1023" s="2" t="s">
        <v>4695</v>
      </c>
      <c r="H1023" s="2" t="s">
        <v>4695</v>
      </c>
      <c r="I1023" s="2" t="s">
        <v>4664</v>
      </c>
      <c r="J1023" s="2" t="s">
        <v>93</v>
      </c>
      <c r="K1023" s="2" t="s">
        <v>174</v>
      </c>
      <c r="L1023" s="3">
        <v>37.75</v>
      </c>
      <c r="M1023" s="3">
        <v>39.64</v>
      </c>
      <c r="N1023" s="3">
        <v>84.99</v>
      </c>
      <c r="O1023" s="2" t="s">
        <v>95</v>
      </c>
      <c r="P1023" s="2" t="s">
        <v>134</v>
      </c>
      <c r="Q1023" s="2" t="s">
        <v>97</v>
      </c>
      <c r="R1023" s="2" t="s">
        <v>98</v>
      </c>
      <c r="S1023" s="2" t="s">
        <v>98</v>
      </c>
      <c r="T1023" s="2" t="s">
        <v>98</v>
      </c>
      <c r="U1023" s="2" t="s">
        <v>117</v>
      </c>
      <c r="V1023" s="2" t="s">
        <v>296</v>
      </c>
      <c r="W1023" s="2" t="s">
        <v>102</v>
      </c>
      <c r="X1023" s="2" t="s">
        <v>98</v>
      </c>
      <c r="Y1023" s="2" t="s">
        <v>4696</v>
      </c>
      <c r="Z1023" s="4">
        <v>170</v>
      </c>
      <c r="AA1023" s="4">
        <f>=ROUNDDOWN(21.25,0)</f>
      </c>
      <c r="AB1023" s="5">
        <v>8</v>
      </c>
      <c r="AC1023" s="2" t="s">
        <v>98</v>
      </c>
      <c r="AD1023" s="4"/>
      <c r="AE1023" s="4"/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98</v>
      </c>
      <c r="AM1023" s="4"/>
      <c r="AN1023" s="4"/>
      <c r="AO1023" s="7">
        <v>0</v>
      </c>
      <c r="AP1023" s="4">
        <v>2</v>
      </c>
      <c r="AQ1023" s="8">
        <v>103.08</v>
      </c>
      <c r="AR1023" s="4"/>
      <c r="AS1023" s="8"/>
      <c r="AT1023" s="7"/>
      <c r="AU1023" s="7"/>
      <c r="AV1023" s="4">
        <v>2</v>
      </c>
      <c r="AW1023" s="8">
        <v>103.08</v>
      </c>
      <c r="AX1023" s="4"/>
      <c r="AY1023" s="8"/>
      <c r="AZ1023" s="7"/>
      <c r="BA1023" s="7"/>
      <c r="BB1023" s="7">
        <v>1</v>
      </c>
      <c r="BC1023" s="4">
        <v>2</v>
      </c>
      <c r="BD1023" s="8">
        <v>103.08</v>
      </c>
      <c r="BE1023" s="4"/>
      <c r="BF1023" s="8"/>
      <c r="BG1023" s="7"/>
      <c r="BH1023" s="7"/>
      <c r="BI1023" s="7">
        <v>1</v>
      </c>
      <c r="BJ1023" s="4">
        <v>3</v>
      </c>
      <c r="BK1023" s="8">
        <v>142.42</v>
      </c>
      <c r="BL1023" s="2" t="s">
        <v>4697</v>
      </c>
      <c r="BM1023" s="7">
        <v>0.6667</v>
      </c>
      <c r="BN1023" s="7">
        <v>0.7238</v>
      </c>
      <c r="BO1023" s="4">
        <v>2</v>
      </c>
      <c r="BP1023" s="8">
        <v>103.08</v>
      </c>
      <c r="BQ1023" s="4"/>
      <c r="BR1023" s="8"/>
      <c r="BS1023" s="7"/>
      <c r="BT1023" s="7"/>
      <c r="BU1023" s="2" t="s">
        <v>107</v>
      </c>
      <c r="BV1023" s="2" t="s">
        <v>95</v>
      </c>
      <c r="BW1023" s="2" t="s">
        <v>4308</v>
      </c>
      <c r="BX1023" s="2" t="s">
        <v>1969</v>
      </c>
      <c r="BY1023" s="2" t="s">
        <v>110</v>
      </c>
      <c r="BZ1023" s="2" t="s">
        <v>98</v>
      </c>
    </row>
    <row r="1024">
      <c r="A1024" s="2" t="s">
        <v>4698</v>
      </c>
      <c r="B1024" s="2" t="s">
        <v>4584</v>
      </c>
      <c r="C1024" s="2" t="s">
        <v>4694</v>
      </c>
      <c r="D1024" s="2" t="s">
        <v>4585</v>
      </c>
      <c r="E1024" s="2" t="s">
        <v>4586</v>
      </c>
      <c r="F1024" s="2" t="s">
        <v>4699</v>
      </c>
      <c r="G1024" s="2" t="s">
        <v>4699</v>
      </c>
      <c r="H1024" s="2" t="s">
        <v>4699</v>
      </c>
      <c r="I1024" s="2" t="s">
        <v>4700</v>
      </c>
      <c r="J1024" s="2" t="s">
        <v>93</v>
      </c>
      <c r="K1024" s="2" t="s">
        <v>967</v>
      </c>
      <c r="L1024" s="3">
        <v>50.14</v>
      </c>
      <c r="M1024" s="3">
        <v>52.65</v>
      </c>
      <c r="N1024" s="3">
        <v>119.99</v>
      </c>
      <c r="O1024" s="2" t="s">
        <v>95</v>
      </c>
      <c r="P1024" s="2" t="s">
        <v>134</v>
      </c>
      <c r="Q1024" s="2" t="s">
        <v>97</v>
      </c>
      <c r="R1024" s="2" t="s">
        <v>98</v>
      </c>
      <c r="S1024" s="2" t="s">
        <v>98</v>
      </c>
      <c r="T1024" s="2" t="s">
        <v>98</v>
      </c>
      <c r="U1024" s="2" t="s">
        <v>117</v>
      </c>
      <c r="V1024" s="2" t="s">
        <v>296</v>
      </c>
      <c r="W1024" s="2" t="s">
        <v>103</v>
      </c>
      <c r="X1024" s="2" t="s">
        <v>102</v>
      </c>
      <c r="Y1024" s="2" t="s">
        <v>3066</v>
      </c>
      <c r="Z1024" s="4">
        <v>35</v>
      </c>
      <c r="AA1024" s="4">
        <f>=ROUNDDOWN(8.75,0)</f>
      </c>
      <c r="AB1024" s="5">
        <v>4</v>
      </c>
      <c r="AC1024" s="2" t="s">
        <v>4598</v>
      </c>
      <c r="AD1024" s="4">
        <v>100</v>
      </c>
      <c r="AE1024" s="4">
        <v>100</v>
      </c>
      <c r="AF1024" s="6">
        <v>63</v>
      </c>
      <c r="AG1024" s="6"/>
      <c r="AH1024" s="7">
        <v>1</v>
      </c>
      <c r="AI1024" s="4"/>
      <c r="AJ1024" s="4">
        <f>=ROUNDDOWN({0},0)</f>
      </c>
      <c r="AK1024" s="5"/>
      <c r="AL1024" s="2" t="s">
        <v>98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/>
      <c r="AW1024" s="8"/>
      <c r="AX1024" s="4"/>
      <c r="AY1024" s="8"/>
      <c r="AZ1024" s="7"/>
      <c r="BA1024" s="7"/>
      <c r="BB1024" s="7"/>
      <c r="BC1024" s="4"/>
      <c r="BD1024" s="8"/>
      <c r="BE1024" s="4"/>
      <c r="BF1024" s="8"/>
      <c r="BG1024" s="7"/>
      <c r="BH1024" s="7"/>
      <c r="BI1024" s="7"/>
      <c r="BJ1024" s="4">
        <v>1</v>
      </c>
      <c r="BK1024" s="8">
        <v>55.12</v>
      </c>
      <c r="BL1024" s="2" t="s">
        <v>2662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107</v>
      </c>
      <c r="BV1024" s="2" t="s">
        <v>95</v>
      </c>
      <c r="BW1024" s="2" t="s">
        <v>4635</v>
      </c>
      <c r="BX1024" s="2" t="s">
        <v>4480</v>
      </c>
      <c r="BY1024" s="2" t="s">
        <v>110</v>
      </c>
      <c r="BZ1024" s="2" t="s">
        <v>98</v>
      </c>
    </row>
    <row r="1025">
      <c r="A1025" s="2" t="s">
        <v>4701</v>
      </c>
      <c r="B1025" s="2" t="s">
        <v>4584</v>
      </c>
      <c r="C1025" s="2" t="s">
        <v>4694</v>
      </c>
      <c r="D1025" s="2" t="s">
        <v>4585</v>
      </c>
      <c r="E1025" s="2" t="s">
        <v>4586</v>
      </c>
      <c r="F1025" s="2" t="s">
        <v>4702</v>
      </c>
      <c r="G1025" s="2" t="s">
        <v>4702</v>
      </c>
      <c r="H1025" s="2" t="s">
        <v>4702</v>
      </c>
      <c r="I1025" s="2" t="s">
        <v>4703</v>
      </c>
      <c r="J1025" s="2" t="s">
        <v>93</v>
      </c>
      <c r="K1025" s="2" t="s">
        <v>294</v>
      </c>
      <c r="L1025" s="3">
        <v>52.44</v>
      </c>
      <c r="M1025" s="3">
        <v>55.06</v>
      </c>
      <c r="N1025" s="3">
        <v>119.99</v>
      </c>
      <c r="O1025" s="2" t="s">
        <v>95</v>
      </c>
      <c r="P1025" s="2" t="s">
        <v>142</v>
      </c>
      <c r="Q1025" s="2" t="s">
        <v>97</v>
      </c>
      <c r="R1025" s="2" t="s">
        <v>98</v>
      </c>
      <c r="S1025" s="2" t="s">
        <v>98</v>
      </c>
      <c r="T1025" s="2" t="s">
        <v>98</v>
      </c>
      <c r="U1025" s="2" t="s">
        <v>117</v>
      </c>
      <c r="V1025" s="2" t="s">
        <v>296</v>
      </c>
      <c r="W1025" s="2" t="s">
        <v>102</v>
      </c>
      <c r="X1025" s="2" t="s">
        <v>103</v>
      </c>
      <c r="Y1025" s="2" t="s">
        <v>2712</v>
      </c>
      <c r="Z1025" s="4">
        <v>45</v>
      </c>
      <c r="AA1025" s="4">
        <f>=ROUNDDOWN(56.25,0)</f>
      </c>
      <c r="AB1025" s="5">
        <v>0.8</v>
      </c>
      <c r="AC1025" s="2" t="s">
        <v>98</v>
      </c>
      <c r="AD1025" s="4"/>
      <c r="AE1025" s="4"/>
      <c r="AF1025" s="6">
        <v>63</v>
      </c>
      <c r="AG1025" s="6"/>
      <c r="AH1025" s="7">
        <v>1</v>
      </c>
      <c r="AI1025" s="4"/>
      <c r="AJ1025" s="4">
        <f>=ROUNDDOWN({0},0)</f>
      </c>
      <c r="AK1025" s="5"/>
      <c r="AL1025" s="2" t="s">
        <v>98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/>
      <c r="BD1025" s="8"/>
      <c r="BE1025" s="4"/>
      <c r="BF1025" s="8"/>
      <c r="BG1025" s="7"/>
      <c r="BH1025" s="7"/>
      <c r="BI1025" s="7"/>
      <c r="BJ1025" s="4"/>
      <c r="BK1025" s="8"/>
      <c r="BL1025" s="2" t="s">
        <v>98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107</v>
      </c>
      <c r="BV1025" s="2" t="s">
        <v>95</v>
      </c>
      <c r="BW1025" s="2" t="s">
        <v>4635</v>
      </c>
      <c r="BX1025" s="2" t="s">
        <v>4704</v>
      </c>
      <c r="BY1025" s="2" t="s">
        <v>110</v>
      </c>
      <c r="BZ1025" s="2" t="s">
        <v>98</v>
      </c>
    </row>
    <row r="1026">
      <c r="A1026" s="2" t="s">
        <v>4705</v>
      </c>
      <c r="B1026" s="2" t="s">
        <v>4584</v>
      </c>
      <c r="C1026" s="2" t="s">
        <v>4694</v>
      </c>
      <c r="D1026" s="2" t="s">
        <v>4585</v>
      </c>
      <c r="E1026" s="2" t="s">
        <v>4586</v>
      </c>
      <c r="F1026" s="2" t="s">
        <v>4706</v>
      </c>
      <c r="G1026" s="2" t="s">
        <v>4706</v>
      </c>
      <c r="H1026" s="2" t="s">
        <v>4706</v>
      </c>
      <c r="I1026" s="2" t="s">
        <v>4707</v>
      </c>
      <c r="J1026" s="2" t="s">
        <v>93</v>
      </c>
      <c r="K1026" s="2" t="s">
        <v>174</v>
      </c>
      <c r="L1026" s="3">
        <v>45.36</v>
      </c>
      <c r="M1026" s="3">
        <v>47.63</v>
      </c>
      <c r="N1026" s="3">
        <v>104.99</v>
      </c>
      <c r="O1026" s="2" t="s">
        <v>95</v>
      </c>
      <c r="P1026" s="2" t="s">
        <v>115</v>
      </c>
      <c r="Q1026" s="2" t="s">
        <v>97</v>
      </c>
      <c r="R1026" s="2" t="s">
        <v>98</v>
      </c>
      <c r="S1026" s="2" t="s">
        <v>98</v>
      </c>
      <c r="T1026" s="2" t="s">
        <v>98</v>
      </c>
      <c r="U1026" s="2" t="s">
        <v>117</v>
      </c>
      <c r="V1026" s="2" t="s">
        <v>296</v>
      </c>
      <c r="W1026" s="2" t="s">
        <v>102</v>
      </c>
      <c r="X1026" s="2" t="s">
        <v>103</v>
      </c>
      <c r="Y1026" s="2" t="s">
        <v>4692</v>
      </c>
      <c r="Z1026" s="4">
        <v>13</v>
      </c>
      <c r="AA1026" s="4">
        <f>=ROUNDDOWN(4.33333333333333,0)</f>
      </c>
      <c r="AB1026" s="5">
        <v>3</v>
      </c>
      <c r="AC1026" s="2" t="s">
        <v>98</v>
      </c>
      <c r="AD1026" s="4"/>
      <c r="AE1026" s="4"/>
      <c r="AF1026" s="6">
        <v>65</v>
      </c>
      <c r="AG1026" s="6"/>
      <c r="AH1026" s="7">
        <v>1</v>
      </c>
      <c r="AI1026" s="4"/>
      <c r="AJ1026" s="4">
        <f>=ROUNDDOWN({0},0)</f>
      </c>
      <c r="AK1026" s="5"/>
      <c r="AL1026" s="2" t="s">
        <v>98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/>
      <c r="AW1026" s="8"/>
      <c r="AX1026" s="4"/>
      <c r="AY1026" s="8"/>
      <c r="AZ1026" s="7"/>
      <c r="BA1026" s="7"/>
      <c r="BB1026" s="7"/>
      <c r="BC1026" s="4"/>
      <c r="BD1026" s="8"/>
      <c r="BE1026" s="4"/>
      <c r="BF1026" s="8"/>
      <c r="BG1026" s="7"/>
      <c r="BH1026" s="7"/>
      <c r="BI1026" s="7"/>
      <c r="BJ1026" s="4"/>
      <c r="BK1026" s="8"/>
      <c r="BL1026" s="2" t="s">
        <v>98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107</v>
      </c>
      <c r="BV1026" s="2" t="s">
        <v>95</v>
      </c>
      <c r="BW1026" s="2" t="s">
        <v>4635</v>
      </c>
      <c r="BX1026" s="2" t="s">
        <v>1151</v>
      </c>
      <c r="BY1026" s="2" t="s">
        <v>110</v>
      </c>
      <c r="BZ1026" s="2" t="s">
        <v>98</v>
      </c>
    </row>
    <row r="1027">
      <c r="A1027" s="2" t="s">
        <v>4708</v>
      </c>
      <c r="B1027" s="2" t="s">
        <v>4584</v>
      </c>
      <c r="C1027" s="2" t="s">
        <v>4694</v>
      </c>
      <c r="D1027" s="2" t="s">
        <v>4585</v>
      </c>
      <c r="E1027" s="2" t="s">
        <v>4586</v>
      </c>
      <c r="F1027" s="2" t="s">
        <v>1466</v>
      </c>
      <c r="G1027" s="2" t="s">
        <v>1466</v>
      </c>
      <c r="H1027" s="2" t="s">
        <v>1466</v>
      </c>
      <c r="I1027" s="2" t="s">
        <v>4709</v>
      </c>
      <c r="J1027" s="2" t="s">
        <v>93</v>
      </c>
      <c r="K1027" s="2" t="s">
        <v>967</v>
      </c>
      <c r="L1027" s="3">
        <v>81.97</v>
      </c>
      <c r="M1027" s="3">
        <v>86.07</v>
      </c>
      <c r="N1027" s="3">
        <v>189.99</v>
      </c>
      <c r="O1027" s="2" t="s">
        <v>95</v>
      </c>
      <c r="P1027" s="2" t="s">
        <v>134</v>
      </c>
      <c r="Q1027" s="2" t="s">
        <v>97</v>
      </c>
      <c r="R1027" s="2" t="s">
        <v>98</v>
      </c>
      <c r="S1027" s="2" t="s">
        <v>4710</v>
      </c>
      <c r="T1027" s="2" t="s">
        <v>98</v>
      </c>
      <c r="U1027" s="2" t="s">
        <v>98</v>
      </c>
      <c r="V1027" s="2" t="s">
        <v>439</v>
      </c>
      <c r="W1027" s="2" t="s">
        <v>103</v>
      </c>
      <c r="X1027" s="2" t="s">
        <v>98</v>
      </c>
      <c r="Y1027" s="2" t="s">
        <v>366</v>
      </c>
      <c r="Z1027" s="4">
        <v>167</v>
      </c>
      <c r="AA1027" s="4">
        <f>=ROUNDDOWN(23.8571428571429,0)</f>
      </c>
      <c r="AB1027" s="5">
        <v>7</v>
      </c>
      <c r="AC1027" s="2" t="s">
        <v>98</v>
      </c>
      <c r="AD1027" s="4"/>
      <c r="AE1027" s="4"/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98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/>
      <c r="AW1027" s="8"/>
      <c r="AX1027" s="4"/>
      <c r="AY1027" s="8"/>
      <c r="AZ1027" s="7"/>
      <c r="BA1027" s="7"/>
      <c r="BB1027" s="7"/>
      <c r="BC1027" s="4"/>
      <c r="BD1027" s="8"/>
      <c r="BE1027" s="4"/>
      <c r="BF1027" s="8"/>
      <c r="BG1027" s="7"/>
      <c r="BH1027" s="7"/>
      <c r="BI1027" s="7"/>
      <c r="BJ1027" s="4">
        <v>1</v>
      </c>
      <c r="BK1027" s="8">
        <v>87.71</v>
      </c>
      <c r="BL1027" s="2" t="s">
        <v>3346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107</v>
      </c>
      <c r="BV1027" s="2" t="s">
        <v>95</v>
      </c>
      <c r="BW1027" s="2" t="s">
        <v>497</v>
      </c>
      <c r="BX1027" s="2" t="s">
        <v>4192</v>
      </c>
      <c r="BY1027" s="2" t="s">
        <v>110</v>
      </c>
      <c r="BZ1027" s="2" t="s">
        <v>98</v>
      </c>
    </row>
    <row r="1028">
      <c r="A1028" s="2" t="s">
        <v>4711</v>
      </c>
      <c r="B1028" s="2" t="s">
        <v>4584</v>
      </c>
      <c r="C1028" s="2" t="s">
        <v>4694</v>
      </c>
      <c r="D1028" s="2" t="s">
        <v>4585</v>
      </c>
      <c r="E1028" s="2" t="s">
        <v>4586</v>
      </c>
      <c r="F1028" s="2" t="s">
        <v>4712</v>
      </c>
      <c r="G1028" s="2" t="s">
        <v>4712</v>
      </c>
      <c r="H1028" s="2" t="s">
        <v>4712</v>
      </c>
      <c r="I1028" s="2" t="s">
        <v>4713</v>
      </c>
      <c r="J1028" s="2" t="s">
        <v>93</v>
      </c>
      <c r="K1028" s="2" t="s">
        <v>4714</v>
      </c>
      <c r="L1028" s="3">
        <v>108.45</v>
      </c>
      <c r="M1028" s="3">
        <v>113.87</v>
      </c>
      <c r="N1028" s="3">
        <v>249.99</v>
      </c>
      <c r="O1028" s="2" t="s">
        <v>95</v>
      </c>
      <c r="P1028" s="2" t="s">
        <v>134</v>
      </c>
      <c r="Q1028" s="2" t="s">
        <v>97</v>
      </c>
      <c r="R1028" s="2" t="s">
        <v>98</v>
      </c>
      <c r="S1028" s="2" t="s">
        <v>98</v>
      </c>
      <c r="T1028" s="2" t="s">
        <v>98</v>
      </c>
      <c r="U1028" s="2" t="s">
        <v>117</v>
      </c>
      <c r="V1028" s="2" t="s">
        <v>296</v>
      </c>
      <c r="W1028" s="2" t="s">
        <v>103</v>
      </c>
      <c r="X1028" s="2" t="s">
        <v>98</v>
      </c>
      <c r="Y1028" s="2" t="s">
        <v>4715</v>
      </c>
      <c r="Z1028" s="4">
        <v>86</v>
      </c>
      <c r="AA1028" s="4">
        <f>=ROUNDDOWN(34.4,0)</f>
      </c>
      <c r="AB1028" s="5">
        <v>2.5</v>
      </c>
      <c r="AC1028" s="2" t="s">
        <v>98</v>
      </c>
      <c r="AD1028" s="4"/>
      <c r="AE1028" s="4"/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98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 t="s">
        <v>98</v>
      </c>
      <c r="BD1028" s="8" t="s">
        <v>98</v>
      </c>
      <c r="BE1028" s="4" t="s">
        <v>98</v>
      </c>
      <c r="BF1028" s="8" t="s">
        <v>98</v>
      </c>
      <c r="BG1028" s="7" t="s">
        <v>98</v>
      </c>
      <c r="BH1028" s="7" t="s">
        <v>98</v>
      </c>
      <c r="BI1028" s="7"/>
      <c r="BJ1028" s="4">
        <v>1</v>
      </c>
      <c r="BK1028" s="8">
        <v>136.15</v>
      </c>
      <c r="BL1028" s="2" t="s">
        <v>4716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107</v>
      </c>
      <c r="BV1028" s="2" t="s">
        <v>95</v>
      </c>
      <c r="BW1028" s="2" t="s">
        <v>4717</v>
      </c>
      <c r="BX1028" s="2" t="s">
        <v>98</v>
      </c>
      <c r="BY1028" s="2" t="s">
        <v>110</v>
      </c>
      <c r="BZ1028" s="2" t="s">
        <v>98</v>
      </c>
    </row>
    <row r="1029">
      <c r="A1029" s="2" t="s">
        <v>4718</v>
      </c>
      <c r="B1029" s="2" t="s">
        <v>4584</v>
      </c>
      <c r="C1029" s="2" t="s">
        <v>4694</v>
      </c>
      <c r="D1029" s="2" t="s">
        <v>4585</v>
      </c>
      <c r="E1029" s="2" t="s">
        <v>4586</v>
      </c>
      <c r="F1029" s="2" t="s">
        <v>4712</v>
      </c>
      <c r="G1029" s="2" t="s">
        <v>4712</v>
      </c>
      <c r="H1029" s="2" t="s">
        <v>4712</v>
      </c>
      <c r="I1029" s="2" t="s">
        <v>4713</v>
      </c>
      <c r="J1029" s="2" t="s">
        <v>93</v>
      </c>
      <c r="K1029" s="2" t="s">
        <v>4719</v>
      </c>
      <c r="L1029" s="3">
        <v>108.45</v>
      </c>
      <c r="M1029" s="3">
        <v>113.87</v>
      </c>
      <c r="N1029" s="3">
        <v>249.99</v>
      </c>
      <c r="O1029" s="2" t="s">
        <v>95</v>
      </c>
      <c r="P1029" s="2" t="s">
        <v>163</v>
      </c>
      <c r="Q1029" s="2" t="s">
        <v>97</v>
      </c>
      <c r="R1029" s="2" t="s">
        <v>98</v>
      </c>
      <c r="S1029" s="2" t="s">
        <v>4720</v>
      </c>
      <c r="T1029" s="2" t="s">
        <v>98</v>
      </c>
      <c r="U1029" s="2" t="s">
        <v>98</v>
      </c>
      <c r="V1029" s="2" t="s">
        <v>439</v>
      </c>
      <c r="W1029" s="2" t="s">
        <v>103</v>
      </c>
      <c r="X1029" s="2" t="s">
        <v>98</v>
      </c>
      <c r="Y1029" s="2" t="s">
        <v>4721</v>
      </c>
      <c r="Z1029" s="4">
        <v>222</v>
      </c>
      <c r="AA1029" s="4">
        <f>=ROUNDDOWN(18.5,0)</f>
      </c>
      <c r="AB1029" s="5">
        <v>12</v>
      </c>
      <c r="AC1029" s="2" t="s">
        <v>222</v>
      </c>
      <c r="AD1029" s="4">
        <v>100</v>
      </c>
      <c r="AE1029" s="4">
        <v>100</v>
      </c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98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/>
      <c r="AW1029" s="8"/>
      <c r="AX1029" s="4"/>
      <c r="AY1029" s="8"/>
      <c r="AZ1029" s="7"/>
      <c r="BA1029" s="7"/>
      <c r="BB1029" s="7"/>
      <c r="BC1029" s="4" t="s">
        <v>98</v>
      </c>
      <c r="BD1029" s="8" t="s">
        <v>98</v>
      </c>
      <c r="BE1029" s="4" t="s">
        <v>98</v>
      </c>
      <c r="BF1029" s="8" t="s">
        <v>98</v>
      </c>
      <c r="BG1029" s="7" t="s">
        <v>98</v>
      </c>
      <c r="BH1029" s="7" t="s">
        <v>98</v>
      </c>
      <c r="BI1029" s="7"/>
      <c r="BJ1029" s="4">
        <v>18</v>
      </c>
      <c r="BK1029" s="8">
        <v>2217.07</v>
      </c>
      <c r="BL1029" s="2" t="s">
        <v>4722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107</v>
      </c>
      <c r="BV1029" s="2" t="s">
        <v>95</v>
      </c>
      <c r="BW1029" s="2" t="s">
        <v>4723</v>
      </c>
      <c r="BX1029" s="2" t="s">
        <v>1389</v>
      </c>
      <c r="BY1029" s="2" t="s">
        <v>110</v>
      </c>
      <c r="BZ1029" s="2" t="s">
        <v>98</v>
      </c>
    </row>
    <row r="1030">
      <c r="A1030" s="2" t="s">
        <v>4724</v>
      </c>
      <c r="B1030" s="2" t="s">
        <v>4584</v>
      </c>
      <c r="C1030" s="2" t="s">
        <v>4694</v>
      </c>
      <c r="D1030" s="2" t="s">
        <v>4585</v>
      </c>
      <c r="E1030" s="2" t="s">
        <v>4586</v>
      </c>
      <c r="F1030" s="2" t="s">
        <v>4725</v>
      </c>
      <c r="G1030" s="2" t="s">
        <v>4725</v>
      </c>
      <c r="H1030" s="2" t="s">
        <v>4725</v>
      </c>
      <c r="I1030" s="2" t="s">
        <v>4726</v>
      </c>
      <c r="J1030" s="2" t="s">
        <v>93</v>
      </c>
      <c r="K1030" s="2" t="s">
        <v>4727</v>
      </c>
      <c r="L1030" s="3">
        <v>56.1</v>
      </c>
      <c r="M1030" s="3">
        <v>58.9</v>
      </c>
      <c r="N1030" s="3">
        <v>119.99</v>
      </c>
      <c r="O1030" s="2" t="s">
        <v>95</v>
      </c>
      <c r="P1030" s="2" t="s">
        <v>115</v>
      </c>
      <c r="Q1030" s="2" t="s">
        <v>97</v>
      </c>
      <c r="R1030" s="2" t="s">
        <v>98</v>
      </c>
      <c r="S1030" s="2" t="s">
        <v>98</v>
      </c>
      <c r="T1030" s="2" t="s">
        <v>98</v>
      </c>
      <c r="U1030" s="2" t="s">
        <v>117</v>
      </c>
      <c r="V1030" s="2" t="s">
        <v>296</v>
      </c>
      <c r="W1030" s="2" t="s">
        <v>102</v>
      </c>
      <c r="X1030" s="2" t="s">
        <v>103</v>
      </c>
      <c r="Y1030" s="2" t="s">
        <v>554</v>
      </c>
      <c r="Z1030" s="4">
        <v>20</v>
      </c>
      <c r="AA1030" s="4">
        <f>=ROUNDDOWN(25,0)</f>
      </c>
      <c r="AB1030" s="5">
        <v>0.8</v>
      </c>
      <c r="AC1030" s="2" t="s">
        <v>98</v>
      </c>
      <c r="AD1030" s="4"/>
      <c r="AE1030" s="4"/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98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/>
      <c r="AW1030" s="8"/>
      <c r="AX1030" s="4"/>
      <c r="AY1030" s="8"/>
      <c r="AZ1030" s="7"/>
      <c r="BA1030" s="7"/>
      <c r="BB1030" s="7"/>
      <c r="BC1030" s="4"/>
      <c r="BD1030" s="8"/>
      <c r="BE1030" s="4"/>
      <c r="BF1030" s="8"/>
      <c r="BG1030" s="7"/>
      <c r="BH1030" s="7"/>
      <c r="BI1030" s="7"/>
      <c r="BJ1030" s="4"/>
      <c r="BK1030" s="8"/>
      <c r="BL1030" s="2" t="s">
        <v>98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107</v>
      </c>
      <c r="BV1030" s="2" t="s">
        <v>95</v>
      </c>
      <c r="BW1030" s="2" t="s">
        <v>4635</v>
      </c>
      <c r="BX1030" s="2" t="s">
        <v>98</v>
      </c>
      <c r="BY1030" s="2" t="s">
        <v>110</v>
      </c>
      <c r="BZ1030" s="2" t="s">
        <v>98</v>
      </c>
    </row>
    <row r="1031">
      <c r="A1031" s="2" t="s">
        <v>4728</v>
      </c>
      <c r="B1031" s="2" t="s">
        <v>4584</v>
      </c>
      <c r="C1031" s="2" t="s">
        <v>4694</v>
      </c>
      <c r="D1031" s="2" t="s">
        <v>4585</v>
      </c>
      <c r="E1031" s="2" t="s">
        <v>4586</v>
      </c>
      <c r="F1031" s="2" t="s">
        <v>4729</v>
      </c>
      <c r="G1031" s="2" t="s">
        <v>4729</v>
      </c>
      <c r="H1031" s="2" t="s">
        <v>4729</v>
      </c>
      <c r="I1031" s="2" t="s">
        <v>4730</v>
      </c>
      <c r="J1031" s="2" t="s">
        <v>93</v>
      </c>
      <c r="K1031" s="2" t="s">
        <v>277</v>
      </c>
      <c r="L1031" s="3">
        <v>57</v>
      </c>
      <c r="M1031" s="3">
        <v>59.85</v>
      </c>
      <c r="N1031" s="3">
        <v>119</v>
      </c>
      <c r="O1031" s="2" t="s">
        <v>95</v>
      </c>
      <c r="P1031" s="2" t="s">
        <v>295</v>
      </c>
      <c r="Q1031" s="2" t="s">
        <v>97</v>
      </c>
      <c r="R1031" s="2" t="s">
        <v>98</v>
      </c>
      <c r="S1031" s="2" t="s">
        <v>98</v>
      </c>
      <c r="T1031" s="2" t="s">
        <v>98</v>
      </c>
      <c r="U1031" s="2" t="s">
        <v>117</v>
      </c>
      <c r="V1031" s="2" t="s">
        <v>296</v>
      </c>
      <c r="W1031" s="2" t="s">
        <v>119</v>
      </c>
      <c r="X1031" s="2" t="s">
        <v>314</v>
      </c>
      <c r="Y1031" s="2" t="s">
        <v>300</v>
      </c>
      <c r="Z1031" s="4">
        <v>82</v>
      </c>
      <c r="AA1031" s="4">
        <f>=ROUNDDOWN(136.666666666667,0)</f>
      </c>
      <c r="AB1031" s="5">
        <v>0.6</v>
      </c>
      <c r="AC1031" s="2" t="s">
        <v>98</v>
      </c>
      <c r="AD1031" s="4"/>
      <c r="AE1031" s="4"/>
      <c r="AF1031" s="6">
        <v>63</v>
      </c>
      <c r="AG1031" s="6"/>
      <c r="AH1031" s="7">
        <v>1</v>
      </c>
      <c r="AI1031" s="4"/>
      <c r="AJ1031" s="4">
        <f>=ROUNDDOWN({0},0)</f>
      </c>
      <c r="AK1031" s="5"/>
      <c r="AL1031" s="2" t="s">
        <v>98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/>
      <c r="AW1031" s="8"/>
      <c r="AX1031" s="4"/>
      <c r="AY1031" s="8"/>
      <c r="AZ1031" s="7"/>
      <c r="BA1031" s="7"/>
      <c r="BB1031" s="7"/>
      <c r="BC1031" s="4" t="s">
        <v>98</v>
      </c>
      <c r="BD1031" s="8" t="s">
        <v>98</v>
      </c>
      <c r="BE1031" s="4" t="s">
        <v>98</v>
      </c>
      <c r="BF1031" s="8" t="s">
        <v>98</v>
      </c>
      <c r="BG1031" s="7" t="s">
        <v>98</v>
      </c>
      <c r="BH1031" s="7" t="s">
        <v>98</v>
      </c>
      <c r="BI1031" s="7"/>
      <c r="BJ1031" s="4"/>
      <c r="BK1031" s="8"/>
      <c r="BL1031" s="2" t="s">
        <v>98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107</v>
      </c>
      <c r="BV1031" s="2" t="s">
        <v>95</v>
      </c>
      <c r="BW1031" s="2" t="s">
        <v>532</v>
      </c>
      <c r="BX1031" s="2" t="s">
        <v>98</v>
      </c>
      <c r="BY1031" s="2" t="s">
        <v>110</v>
      </c>
      <c r="BZ1031" s="2" t="s">
        <v>98</v>
      </c>
    </row>
    <row r="1032">
      <c r="A1032" s="2" t="s">
        <v>4731</v>
      </c>
      <c r="B1032" s="2" t="s">
        <v>4584</v>
      </c>
      <c r="C1032" s="2" t="s">
        <v>4694</v>
      </c>
      <c r="D1032" s="2" t="s">
        <v>4585</v>
      </c>
      <c r="E1032" s="2" t="s">
        <v>4586</v>
      </c>
      <c r="F1032" s="2" t="s">
        <v>4729</v>
      </c>
      <c r="G1032" s="2" t="s">
        <v>4729</v>
      </c>
      <c r="H1032" s="2" t="s">
        <v>4729</v>
      </c>
      <c r="I1032" s="2" t="s">
        <v>4730</v>
      </c>
      <c r="J1032" s="2" t="s">
        <v>93</v>
      </c>
      <c r="K1032" s="2" t="s">
        <v>4732</v>
      </c>
      <c r="L1032" s="3">
        <v>62</v>
      </c>
      <c r="M1032" s="3">
        <v>65.1</v>
      </c>
      <c r="N1032" s="3">
        <v>129.99</v>
      </c>
      <c r="O1032" s="2" t="s">
        <v>95</v>
      </c>
      <c r="P1032" s="2" t="s">
        <v>295</v>
      </c>
      <c r="Q1032" s="2" t="s">
        <v>97</v>
      </c>
      <c r="R1032" s="2" t="s">
        <v>98</v>
      </c>
      <c r="S1032" s="2" t="s">
        <v>98</v>
      </c>
      <c r="T1032" s="2" t="s">
        <v>98</v>
      </c>
      <c r="U1032" s="2" t="s">
        <v>117</v>
      </c>
      <c r="V1032" s="2" t="s">
        <v>296</v>
      </c>
      <c r="W1032" s="2" t="s">
        <v>119</v>
      </c>
      <c r="X1032" s="2" t="s">
        <v>314</v>
      </c>
      <c r="Y1032" s="2" t="s">
        <v>614</v>
      </c>
      <c r="Z1032" s="4">
        <v>100</v>
      </c>
      <c r="AA1032" s="4">
        <f>=ROUNDDOWN({0},0)</f>
      </c>
      <c r="AB1032" s="5"/>
      <c r="AC1032" s="2" t="s">
        <v>98</v>
      </c>
      <c r="AD1032" s="4"/>
      <c r="AE1032" s="4"/>
      <c r="AF1032" s="6">
        <v>63</v>
      </c>
      <c r="AG1032" s="6"/>
      <c r="AH1032" s="7">
        <v>1</v>
      </c>
      <c r="AI1032" s="4"/>
      <c r="AJ1032" s="4">
        <f>=ROUNDDOWN({0},0)</f>
      </c>
      <c r="AK1032" s="5"/>
      <c r="AL1032" s="2" t="s">
        <v>98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 t="s">
        <v>98</v>
      </c>
      <c r="BD1032" s="8" t="s">
        <v>98</v>
      </c>
      <c r="BE1032" s="4" t="s">
        <v>98</v>
      </c>
      <c r="BF1032" s="8" t="s">
        <v>98</v>
      </c>
      <c r="BG1032" s="7" t="s">
        <v>98</v>
      </c>
      <c r="BH1032" s="7" t="s">
        <v>98</v>
      </c>
      <c r="BI1032" s="7"/>
      <c r="BJ1032" s="4"/>
      <c r="BK1032" s="8"/>
      <c r="BL1032" s="2" t="s">
        <v>98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4654</v>
      </c>
      <c r="BV1032" s="2" t="s">
        <v>95</v>
      </c>
      <c r="BW1032" s="2" t="s">
        <v>98</v>
      </c>
      <c r="BX1032" s="2" t="s">
        <v>98</v>
      </c>
      <c r="BY1032" s="2" t="s">
        <v>110</v>
      </c>
      <c r="BZ1032" s="2" t="s">
        <v>98</v>
      </c>
    </row>
    <row r="1033">
      <c r="A1033" s="2" t="s">
        <v>4733</v>
      </c>
      <c r="B1033" s="2" t="s">
        <v>4584</v>
      </c>
      <c r="C1033" s="2" t="s">
        <v>4694</v>
      </c>
      <c r="D1033" s="2" t="s">
        <v>4585</v>
      </c>
      <c r="E1033" s="2" t="s">
        <v>4586</v>
      </c>
      <c r="F1033" s="2" t="s">
        <v>4734</v>
      </c>
      <c r="G1033" s="2" t="s">
        <v>4734</v>
      </c>
      <c r="H1033" s="2" t="s">
        <v>4734</v>
      </c>
      <c r="I1033" s="2" t="s">
        <v>4735</v>
      </c>
      <c r="J1033" s="2" t="s">
        <v>93</v>
      </c>
      <c r="K1033" s="2" t="s">
        <v>4736</v>
      </c>
      <c r="L1033" s="3">
        <v>78.14</v>
      </c>
      <c r="M1033" s="3">
        <v>82.05</v>
      </c>
      <c r="N1033" s="3">
        <v>179.99</v>
      </c>
      <c r="O1033" s="2" t="s">
        <v>95</v>
      </c>
      <c r="P1033" s="2" t="s">
        <v>134</v>
      </c>
      <c r="Q1033" s="2" t="s">
        <v>97</v>
      </c>
      <c r="R1033" s="2" t="s">
        <v>98</v>
      </c>
      <c r="S1033" s="2" t="s">
        <v>98</v>
      </c>
      <c r="T1033" s="2" t="s">
        <v>98</v>
      </c>
      <c r="U1033" s="2" t="s">
        <v>117</v>
      </c>
      <c r="V1033" s="2" t="s">
        <v>296</v>
      </c>
      <c r="W1033" s="2" t="s">
        <v>98</v>
      </c>
      <c r="X1033" s="2" t="s">
        <v>98</v>
      </c>
      <c r="Y1033" s="2" t="s">
        <v>1048</v>
      </c>
      <c r="Z1033" s="4">
        <v>119</v>
      </c>
      <c r="AA1033" s="4">
        <f>=ROUNDDOWN(29.75,0)</f>
      </c>
      <c r="AB1033" s="5">
        <v>4</v>
      </c>
      <c r="AC1033" s="2" t="s">
        <v>98</v>
      </c>
      <c r="AD1033" s="4"/>
      <c r="AE1033" s="4"/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98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/>
      <c r="BD1033" s="8"/>
      <c r="BE1033" s="4"/>
      <c r="BF1033" s="8"/>
      <c r="BG1033" s="7"/>
      <c r="BH1033" s="7"/>
      <c r="BI1033" s="7"/>
      <c r="BJ1033" s="4"/>
      <c r="BK1033" s="8"/>
      <c r="BL1033" s="2" t="s">
        <v>3291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107</v>
      </c>
      <c r="BV1033" s="2" t="s">
        <v>95</v>
      </c>
      <c r="BW1033" s="2" t="s">
        <v>4737</v>
      </c>
      <c r="BX1033" s="2" t="s">
        <v>637</v>
      </c>
      <c r="BY1033" s="2" t="s">
        <v>110</v>
      </c>
      <c r="BZ1033" s="2" t="s">
        <v>98</v>
      </c>
    </row>
    <row r="1034">
      <c r="A1034" s="2" t="s">
        <v>4738</v>
      </c>
      <c r="B1034" s="2" t="s">
        <v>4584</v>
      </c>
      <c r="C1034" s="2" t="s">
        <v>4694</v>
      </c>
      <c r="D1034" s="2" t="s">
        <v>4585</v>
      </c>
      <c r="E1034" s="2" t="s">
        <v>4586</v>
      </c>
      <c r="F1034" s="2" t="s">
        <v>4739</v>
      </c>
      <c r="G1034" s="2" t="s">
        <v>4739</v>
      </c>
      <c r="H1034" s="2" t="s">
        <v>4739</v>
      </c>
      <c r="I1034" s="2" t="s">
        <v>4740</v>
      </c>
      <c r="J1034" s="2" t="s">
        <v>93</v>
      </c>
      <c r="K1034" s="2" t="s">
        <v>604</v>
      </c>
      <c r="L1034" s="3">
        <v>50</v>
      </c>
      <c r="M1034" s="3">
        <v>52.5</v>
      </c>
      <c r="N1034" s="3">
        <v>104.99</v>
      </c>
      <c r="O1034" s="2" t="s">
        <v>95</v>
      </c>
      <c r="P1034" s="2" t="s">
        <v>295</v>
      </c>
      <c r="Q1034" s="2" t="s">
        <v>97</v>
      </c>
      <c r="R1034" s="2" t="s">
        <v>98</v>
      </c>
      <c r="S1034" s="2" t="s">
        <v>98</v>
      </c>
      <c r="T1034" s="2" t="s">
        <v>98</v>
      </c>
      <c r="U1034" s="2" t="s">
        <v>117</v>
      </c>
      <c r="V1034" s="2" t="s">
        <v>296</v>
      </c>
      <c r="W1034" s="2" t="s">
        <v>165</v>
      </c>
      <c r="X1034" s="2" t="s">
        <v>103</v>
      </c>
      <c r="Y1034" s="2" t="s">
        <v>1632</v>
      </c>
      <c r="Z1034" s="4">
        <v>100</v>
      </c>
      <c r="AA1034" s="4">
        <f>=ROUNDDOWN({0},0)</f>
      </c>
      <c r="AB1034" s="5"/>
      <c r="AC1034" s="2" t="s">
        <v>98</v>
      </c>
      <c r="AD1034" s="4"/>
      <c r="AE1034" s="4"/>
      <c r="AF1034" s="6">
        <v>63</v>
      </c>
      <c r="AG1034" s="6"/>
      <c r="AH1034" s="7">
        <v>1</v>
      </c>
      <c r="AI1034" s="4"/>
      <c r="AJ1034" s="4">
        <f>=ROUNDDOWN({0},0)</f>
      </c>
      <c r="AK1034" s="5"/>
      <c r="AL1034" s="2" t="s">
        <v>98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/>
      <c r="AW1034" s="8"/>
      <c r="AX1034" s="4"/>
      <c r="AY1034" s="8"/>
      <c r="AZ1034" s="7"/>
      <c r="BA1034" s="7"/>
      <c r="BB1034" s="7"/>
      <c r="BC1034" s="4"/>
      <c r="BD1034" s="8"/>
      <c r="BE1034" s="4"/>
      <c r="BF1034" s="8"/>
      <c r="BG1034" s="7"/>
      <c r="BH1034" s="7"/>
      <c r="BI1034" s="7"/>
      <c r="BJ1034" s="4"/>
      <c r="BK1034" s="8"/>
      <c r="BL1034" s="2" t="s">
        <v>98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324</v>
      </c>
      <c r="BV1034" s="2" t="s">
        <v>95</v>
      </c>
      <c r="BW1034" s="2" t="s">
        <v>98</v>
      </c>
      <c r="BX1034" s="2" t="s">
        <v>98</v>
      </c>
      <c r="BY1034" s="2" t="s">
        <v>110</v>
      </c>
      <c r="BZ1034" s="2" t="s">
        <v>98</v>
      </c>
    </row>
    <row r="1035">
      <c r="A1035" s="2" t="s">
        <v>4741</v>
      </c>
      <c r="B1035" s="2" t="s">
        <v>4584</v>
      </c>
      <c r="C1035" s="2" t="s">
        <v>4694</v>
      </c>
      <c r="D1035" s="2" t="s">
        <v>4585</v>
      </c>
      <c r="E1035" s="2" t="s">
        <v>4586</v>
      </c>
      <c r="F1035" s="2" t="s">
        <v>4742</v>
      </c>
      <c r="G1035" s="2" t="s">
        <v>4742</v>
      </c>
      <c r="H1035" s="2" t="s">
        <v>4742</v>
      </c>
      <c r="I1035" s="2" t="s">
        <v>4743</v>
      </c>
      <c r="J1035" s="2" t="s">
        <v>93</v>
      </c>
      <c r="K1035" s="2" t="s">
        <v>4168</v>
      </c>
      <c r="L1035" s="3">
        <v>113.85</v>
      </c>
      <c r="M1035" s="3">
        <v>119.54</v>
      </c>
      <c r="N1035" s="3">
        <v>249.99</v>
      </c>
      <c r="O1035" s="2" t="s">
        <v>95</v>
      </c>
      <c r="P1035" s="2" t="s">
        <v>163</v>
      </c>
      <c r="Q1035" s="2" t="s">
        <v>97</v>
      </c>
      <c r="R1035" s="2" t="s">
        <v>98</v>
      </c>
      <c r="S1035" s="2" t="s">
        <v>4744</v>
      </c>
      <c r="T1035" s="2" t="s">
        <v>98</v>
      </c>
      <c r="U1035" s="2" t="s">
        <v>98</v>
      </c>
      <c r="V1035" s="2" t="s">
        <v>439</v>
      </c>
      <c r="W1035" s="2" t="s">
        <v>103</v>
      </c>
      <c r="X1035" s="2" t="s">
        <v>98</v>
      </c>
      <c r="Y1035" s="2" t="s">
        <v>3041</v>
      </c>
      <c r="Z1035" s="4">
        <v>141</v>
      </c>
      <c r="AA1035" s="4">
        <f>=ROUNDDOWN(20.4347826086957,0)</f>
      </c>
      <c r="AB1035" s="5">
        <v>6.9</v>
      </c>
      <c r="AC1035" s="2" t="s">
        <v>1457</v>
      </c>
      <c r="AD1035" s="4">
        <v>120</v>
      </c>
      <c r="AE1035" s="4">
        <v>120</v>
      </c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98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/>
      <c r="AW1035" s="8"/>
      <c r="AX1035" s="4"/>
      <c r="AY1035" s="8"/>
      <c r="AZ1035" s="7"/>
      <c r="BA1035" s="7"/>
      <c r="BB1035" s="7"/>
      <c r="BC1035" s="4"/>
      <c r="BD1035" s="8"/>
      <c r="BE1035" s="4"/>
      <c r="BF1035" s="8"/>
      <c r="BG1035" s="7"/>
      <c r="BH1035" s="7"/>
      <c r="BI1035" s="7"/>
      <c r="BJ1035" s="4">
        <v>3</v>
      </c>
      <c r="BK1035" s="8">
        <v>378.16</v>
      </c>
      <c r="BL1035" s="2" t="s">
        <v>1583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107</v>
      </c>
      <c r="BV1035" s="2" t="s">
        <v>95</v>
      </c>
      <c r="BW1035" s="2" t="s">
        <v>4723</v>
      </c>
      <c r="BX1035" s="2" t="s">
        <v>1330</v>
      </c>
      <c r="BY1035" s="2" t="s">
        <v>110</v>
      </c>
      <c r="BZ1035" s="2" t="s">
        <v>98</v>
      </c>
    </row>
    <row r="1036">
      <c r="A1036" s="2" t="s">
        <v>4745</v>
      </c>
      <c r="B1036" s="2" t="s">
        <v>4584</v>
      </c>
      <c r="C1036" s="2" t="s">
        <v>4694</v>
      </c>
      <c r="D1036" s="2" t="s">
        <v>4585</v>
      </c>
      <c r="E1036" s="2" t="s">
        <v>4586</v>
      </c>
      <c r="F1036" s="2" t="s">
        <v>4746</v>
      </c>
      <c r="G1036" s="2" t="s">
        <v>4746</v>
      </c>
      <c r="H1036" s="2" t="s">
        <v>4746</v>
      </c>
      <c r="I1036" s="2" t="s">
        <v>4747</v>
      </c>
      <c r="J1036" s="2" t="s">
        <v>93</v>
      </c>
      <c r="K1036" s="2" t="s">
        <v>967</v>
      </c>
      <c r="L1036" s="3">
        <v>72</v>
      </c>
      <c r="M1036" s="3">
        <v>75.6</v>
      </c>
      <c r="N1036" s="3">
        <v>149.99</v>
      </c>
      <c r="O1036" s="2" t="s">
        <v>95</v>
      </c>
      <c r="P1036" s="2" t="s">
        <v>134</v>
      </c>
      <c r="Q1036" s="2" t="s">
        <v>97</v>
      </c>
      <c r="R1036" s="2" t="s">
        <v>98</v>
      </c>
      <c r="S1036" s="2" t="s">
        <v>4748</v>
      </c>
      <c r="T1036" s="2" t="s">
        <v>98</v>
      </c>
      <c r="U1036" s="2" t="s">
        <v>98</v>
      </c>
      <c r="V1036" s="2" t="s">
        <v>439</v>
      </c>
      <c r="W1036" s="2" t="s">
        <v>102</v>
      </c>
      <c r="X1036" s="2" t="s">
        <v>98</v>
      </c>
      <c r="Y1036" s="2" t="s">
        <v>366</v>
      </c>
      <c r="Z1036" s="4">
        <v>164</v>
      </c>
      <c r="AA1036" s="4">
        <f>=ROUNDDOWN(41,0)</f>
      </c>
      <c r="AB1036" s="5">
        <v>4</v>
      </c>
      <c r="AC1036" s="2" t="s">
        <v>98</v>
      </c>
      <c r="AD1036" s="4"/>
      <c r="AE1036" s="4"/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98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/>
      <c r="AW1036" s="8"/>
      <c r="AX1036" s="4"/>
      <c r="AY1036" s="8"/>
      <c r="AZ1036" s="7"/>
      <c r="BA1036" s="7"/>
      <c r="BB1036" s="7"/>
      <c r="BC1036" s="4"/>
      <c r="BD1036" s="8"/>
      <c r="BE1036" s="4"/>
      <c r="BF1036" s="8"/>
      <c r="BG1036" s="7"/>
      <c r="BH1036" s="7"/>
      <c r="BI1036" s="7"/>
      <c r="BJ1036" s="4">
        <v>3</v>
      </c>
      <c r="BK1036" s="8">
        <v>240.32</v>
      </c>
      <c r="BL1036" s="2" t="s">
        <v>4749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107</v>
      </c>
      <c r="BV1036" s="2" t="s">
        <v>95</v>
      </c>
      <c r="BW1036" s="2" t="s">
        <v>497</v>
      </c>
      <c r="BX1036" s="2" t="s">
        <v>1974</v>
      </c>
      <c r="BY1036" s="2" t="s">
        <v>110</v>
      </c>
      <c r="BZ1036" s="2" t="s">
        <v>98</v>
      </c>
    </row>
    <row r="1037">
      <c r="A1037" s="2" t="s">
        <v>4750</v>
      </c>
      <c r="B1037" s="2" t="s">
        <v>4584</v>
      </c>
      <c r="C1037" s="2" t="s">
        <v>4694</v>
      </c>
      <c r="D1037" s="2" t="s">
        <v>4585</v>
      </c>
      <c r="E1037" s="2" t="s">
        <v>4586</v>
      </c>
      <c r="F1037" s="2" t="s">
        <v>4751</v>
      </c>
      <c r="G1037" s="2" t="s">
        <v>4751</v>
      </c>
      <c r="H1037" s="2" t="s">
        <v>4751</v>
      </c>
      <c r="I1037" s="2" t="s">
        <v>4752</v>
      </c>
      <c r="J1037" s="2" t="s">
        <v>93</v>
      </c>
      <c r="K1037" s="2" t="s">
        <v>277</v>
      </c>
      <c r="L1037" s="3">
        <v>53</v>
      </c>
      <c r="M1037" s="3">
        <v>55.65</v>
      </c>
      <c r="N1037" s="3">
        <v>109.99</v>
      </c>
      <c r="O1037" s="2" t="s">
        <v>95</v>
      </c>
      <c r="P1037" s="2" t="s">
        <v>295</v>
      </c>
      <c r="Q1037" s="2" t="s">
        <v>97</v>
      </c>
      <c r="R1037" s="2" t="s">
        <v>98</v>
      </c>
      <c r="S1037" s="2" t="s">
        <v>98</v>
      </c>
      <c r="T1037" s="2" t="s">
        <v>98</v>
      </c>
      <c r="U1037" s="2" t="s">
        <v>117</v>
      </c>
      <c r="V1037" s="2" t="s">
        <v>296</v>
      </c>
      <c r="W1037" s="2" t="s">
        <v>103</v>
      </c>
      <c r="X1037" s="2" t="s">
        <v>297</v>
      </c>
      <c r="Y1037" s="2" t="s">
        <v>98</v>
      </c>
      <c r="Z1037" s="4"/>
      <c r="AA1037" s="4">
        <f>=ROUNDDOWN({0},0)</f>
      </c>
      <c r="AB1037" s="5"/>
      <c r="AC1037" s="2" t="s">
        <v>2416</v>
      </c>
      <c r="AD1037" s="4">
        <v>80</v>
      </c>
      <c r="AE1037" s="4">
        <v>80</v>
      </c>
      <c r="AF1037" s="6">
        <v>65</v>
      </c>
      <c r="AG1037" s="6"/>
      <c r="AH1037" s="7">
        <v>0</v>
      </c>
      <c r="AI1037" s="4"/>
      <c r="AJ1037" s="4">
        <f>=ROUNDDOWN({0},0)</f>
      </c>
      <c r="AK1037" s="5"/>
      <c r="AL1037" s="2" t="s">
        <v>98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 t="s">
        <v>98</v>
      </c>
      <c r="BD1037" s="8" t="s">
        <v>98</v>
      </c>
      <c r="BE1037" s="4" t="s">
        <v>98</v>
      </c>
      <c r="BF1037" s="8" t="s">
        <v>98</v>
      </c>
      <c r="BG1037" s="7" t="s">
        <v>98</v>
      </c>
      <c r="BH1037" s="7" t="s">
        <v>98</v>
      </c>
      <c r="BI1037" s="7"/>
      <c r="BJ1037" s="4"/>
      <c r="BK1037" s="8"/>
      <c r="BL1037" s="2" t="s">
        <v>98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324</v>
      </c>
      <c r="BV1037" s="2" t="s">
        <v>95</v>
      </c>
      <c r="BW1037" s="2" t="s">
        <v>98</v>
      </c>
      <c r="BX1037" s="2" t="s">
        <v>98</v>
      </c>
      <c r="BY1037" s="2" t="s">
        <v>110</v>
      </c>
      <c r="BZ1037" s="2" t="s">
        <v>98</v>
      </c>
    </row>
    <row r="1038">
      <c r="A1038" s="2" t="s">
        <v>4753</v>
      </c>
      <c r="B1038" s="2" t="s">
        <v>4584</v>
      </c>
      <c r="C1038" s="2" t="s">
        <v>4694</v>
      </c>
      <c r="D1038" s="2" t="s">
        <v>4585</v>
      </c>
      <c r="E1038" s="2" t="s">
        <v>4586</v>
      </c>
      <c r="F1038" s="2" t="s">
        <v>4751</v>
      </c>
      <c r="G1038" s="2" t="s">
        <v>4751</v>
      </c>
      <c r="H1038" s="2" t="s">
        <v>4751</v>
      </c>
      <c r="I1038" s="2" t="s">
        <v>4752</v>
      </c>
      <c r="J1038" s="2" t="s">
        <v>93</v>
      </c>
      <c r="K1038" s="2" t="s">
        <v>1005</v>
      </c>
      <c r="L1038" s="3">
        <v>53</v>
      </c>
      <c r="M1038" s="3">
        <v>55.65</v>
      </c>
      <c r="N1038" s="3">
        <v>109.99</v>
      </c>
      <c r="O1038" s="2" t="s">
        <v>95</v>
      </c>
      <c r="P1038" s="2" t="s">
        <v>295</v>
      </c>
      <c r="Q1038" s="2" t="s">
        <v>97</v>
      </c>
      <c r="R1038" s="2" t="s">
        <v>98</v>
      </c>
      <c r="S1038" s="2" t="s">
        <v>98</v>
      </c>
      <c r="T1038" s="2" t="s">
        <v>98</v>
      </c>
      <c r="U1038" s="2" t="s">
        <v>117</v>
      </c>
      <c r="V1038" s="2" t="s">
        <v>296</v>
      </c>
      <c r="W1038" s="2" t="s">
        <v>103</v>
      </c>
      <c r="X1038" s="2" t="s">
        <v>297</v>
      </c>
      <c r="Y1038" s="2" t="s">
        <v>98</v>
      </c>
      <c r="Z1038" s="4"/>
      <c r="AA1038" s="4">
        <f>=ROUNDDOWN({0},0)</f>
      </c>
      <c r="AB1038" s="5"/>
      <c r="AC1038" s="2" t="s">
        <v>2416</v>
      </c>
      <c r="AD1038" s="4">
        <v>50</v>
      </c>
      <c r="AE1038" s="4">
        <v>50</v>
      </c>
      <c r="AF1038" s="6">
        <v>65</v>
      </c>
      <c r="AG1038" s="6"/>
      <c r="AH1038" s="7">
        <v>0</v>
      </c>
      <c r="AI1038" s="4"/>
      <c r="AJ1038" s="4">
        <f>=ROUNDDOWN({0},0)</f>
      </c>
      <c r="AK1038" s="5"/>
      <c r="AL1038" s="2" t="s">
        <v>98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 t="s">
        <v>98</v>
      </c>
      <c r="BD1038" s="8" t="s">
        <v>98</v>
      </c>
      <c r="BE1038" s="4" t="s">
        <v>98</v>
      </c>
      <c r="BF1038" s="8" t="s">
        <v>98</v>
      </c>
      <c r="BG1038" s="7" t="s">
        <v>98</v>
      </c>
      <c r="BH1038" s="7" t="s">
        <v>98</v>
      </c>
      <c r="BI1038" s="7"/>
      <c r="BJ1038" s="4"/>
      <c r="BK1038" s="8"/>
      <c r="BL1038" s="2" t="s">
        <v>98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324</v>
      </c>
      <c r="BV1038" s="2" t="s">
        <v>95</v>
      </c>
      <c r="BW1038" s="2" t="s">
        <v>98</v>
      </c>
      <c r="BX1038" s="2" t="s">
        <v>98</v>
      </c>
      <c r="BY1038" s="2" t="s">
        <v>110</v>
      </c>
      <c r="BZ1038" s="2" t="s">
        <v>98</v>
      </c>
    </row>
    <row r="1039">
      <c r="A1039" s="2" t="s">
        <v>4754</v>
      </c>
      <c r="B1039" s="2" t="s">
        <v>4584</v>
      </c>
      <c r="C1039" s="2" t="s">
        <v>4694</v>
      </c>
      <c r="D1039" s="2" t="s">
        <v>4585</v>
      </c>
      <c r="E1039" s="2" t="s">
        <v>4586</v>
      </c>
      <c r="F1039" s="2" t="s">
        <v>4751</v>
      </c>
      <c r="G1039" s="2" t="s">
        <v>4751</v>
      </c>
      <c r="H1039" s="2" t="s">
        <v>4751</v>
      </c>
      <c r="I1039" s="2" t="s">
        <v>4752</v>
      </c>
      <c r="J1039" s="2" t="s">
        <v>93</v>
      </c>
      <c r="K1039" s="2" t="s">
        <v>133</v>
      </c>
      <c r="L1039" s="3">
        <v>53</v>
      </c>
      <c r="M1039" s="3">
        <v>55.65</v>
      </c>
      <c r="N1039" s="3">
        <v>109.99</v>
      </c>
      <c r="O1039" s="2" t="s">
        <v>95</v>
      </c>
      <c r="P1039" s="2" t="s">
        <v>295</v>
      </c>
      <c r="Q1039" s="2" t="s">
        <v>97</v>
      </c>
      <c r="R1039" s="2" t="s">
        <v>98</v>
      </c>
      <c r="S1039" s="2" t="s">
        <v>98</v>
      </c>
      <c r="T1039" s="2" t="s">
        <v>98</v>
      </c>
      <c r="U1039" s="2" t="s">
        <v>117</v>
      </c>
      <c r="V1039" s="2" t="s">
        <v>296</v>
      </c>
      <c r="W1039" s="2" t="s">
        <v>103</v>
      </c>
      <c r="X1039" s="2" t="s">
        <v>297</v>
      </c>
      <c r="Y1039" s="2" t="s">
        <v>98</v>
      </c>
      <c r="Z1039" s="4"/>
      <c r="AA1039" s="4">
        <f>=ROUNDDOWN({0},0)</f>
      </c>
      <c r="AB1039" s="5"/>
      <c r="AC1039" s="2" t="s">
        <v>2416</v>
      </c>
      <c r="AD1039" s="4">
        <v>120</v>
      </c>
      <c r="AE1039" s="4">
        <v>120</v>
      </c>
      <c r="AF1039" s="6">
        <v>65</v>
      </c>
      <c r="AG1039" s="6"/>
      <c r="AH1039" s="7">
        <v>0</v>
      </c>
      <c r="AI1039" s="4"/>
      <c r="AJ1039" s="4">
        <f>=ROUNDDOWN({0},0)</f>
      </c>
      <c r="AK1039" s="5"/>
      <c r="AL1039" s="2" t="s">
        <v>98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 t="s">
        <v>98</v>
      </c>
      <c r="BD1039" s="8" t="s">
        <v>98</v>
      </c>
      <c r="BE1039" s="4" t="s">
        <v>98</v>
      </c>
      <c r="BF1039" s="8" t="s">
        <v>98</v>
      </c>
      <c r="BG1039" s="7" t="s">
        <v>98</v>
      </c>
      <c r="BH1039" s="7" t="s">
        <v>98</v>
      </c>
      <c r="BI1039" s="7"/>
      <c r="BJ1039" s="4"/>
      <c r="BK1039" s="8"/>
      <c r="BL1039" s="2" t="s">
        <v>98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324</v>
      </c>
      <c r="BV1039" s="2" t="s">
        <v>95</v>
      </c>
      <c r="BW1039" s="2" t="s">
        <v>98</v>
      </c>
      <c r="BX1039" s="2" t="s">
        <v>98</v>
      </c>
      <c r="BY1039" s="2" t="s">
        <v>110</v>
      </c>
      <c r="BZ1039" s="2" t="s">
        <v>98</v>
      </c>
    </row>
    <row r="1040">
      <c r="A1040" s="2" t="s">
        <v>4755</v>
      </c>
      <c r="B1040" s="2" t="s">
        <v>4584</v>
      </c>
      <c r="C1040" s="2" t="s">
        <v>4694</v>
      </c>
      <c r="D1040" s="2" t="s">
        <v>4585</v>
      </c>
      <c r="E1040" s="2" t="s">
        <v>4586</v>
      </c>
      <c r="F1040" s="2" t="s">
        <v>4756</v>
      </c>
      <c r="G1040" s="2" t="s">
        <v>4756</v>
      </c>
      <c r="H1040" s="2" t="s">
        <v>4756</v>
      </c>
      <c r="I1040" s="2" t="s">
        <v>4757</v>
      </c>
      <c r="J1040" s="2" t="s">
        <v>93</v>
      </c>
      <c r="K1040" s="2" t="s">
        <v>277</v>
      </c>
      <c r="L1040" s="3">
        <v>52</v>
      </c>
      <c r="M1040" s="3">
        <v>54.6</v>
      </c>
      <c r="N1040" s="3">
        <v>109.99</v>
      </c>
      <c r="O1040" s="2" t="s">
        <v>95</v>
      </c>
      <c r="P1040" s="2" t="s">
        <v>295</v>
      </c>
      <c r="Q1040" s="2" t="s">
        <v>97</v>
      </c>
      <c r="R1040" s="2" t="s">
        <v>98</v>
      </c>
      <c r="S1040" s="2" t="s">
        <v>98</v>
      </c>
      <c r="T1040" s="2" t="s">
        <v>98</v>
      </c>
      <c r="U1040" s="2" t="s">
        <v>117</v>
      </c>
      <c r="V1040" s="2" t="s">
        <v>296</v>
      </c>
      <c r="W1040" s="2" t="s">
        <v>297</v>
      </c>
      <c r="X1040" s="2" t="s">
        <v>103</v>
      </c>
      <c r="Y1040" s="2" t="s">
        <v>98</v>
      </c>
      <c r="Z1040" s="4"/>
      <c r="AA1040" s="4">
        <f>=ROUNDDOWN({0},0)</f>
      </c>
      <c r="AB1040" s="5"/>
      <c r="AC1040" s="2" t="s">
        <v>2575</v>
      </c>
      <c r="AD1040" s="4">
        <v>100</v>
      </c>
      <c r="AE1040" s="4">
        <v>100</v>
      </c>
      <c r="AF1040" s="6">
        <v>65</v>
      </c>
      <c r="AG1040" s="6"/>
      <c r="AH1040" s="7">
        <v>0</v>
      </c>
      <c r="AI1040" s="4"/>
      <c r="AJ1040" s="4">
        <f>=ROUNDDOWN({0},0)</f>
      </c>
      <c r="AK1040" s="5"/>
      <c r="AL1040" s="2" t="s">
        <v>98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 t="s">
        <v>98</v>
      </c>
      <c r="BD1040" s="8" t="s">
        <v>98</v>
      </c>
      <c r="BE1040" s="4" t="s">
        <v>98</v>
      </c>
      <c r="BF1040" s="8" t="s">
        <v>98</v>
      </c>
      <c r="BG1040" s="7" t="s">
        <v>98</v>
      </c>
      <c r="BH1040" s="7" t="s">
        <v>98</v>
      </c>
      <c r="BI1040" s="7"/>
      <c r="BJ1040" s="4"/>
      <c r="BK1040" s="8"/>
      <c r="BL1040" s="2" t="s">
        <v>98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324</v>
      </c>
      <c r="BV1040" s="2" t="s">
        <v>95</v>
      </c>
      <c r="BW1040" s="2" t="s">
        <v>98</v>
      </c>
      <c r="BX1040" s="2" t="s">
        <v>98</v>
      </c>
      <c r="BY1040" s="2" t="s">
        <v>110</v>
      </c>
      <c r="BZ1040" s="2" t="s">
        <v>98</v>
      </c>
    </row>
    <row r="1041">
      <c r="A1041" s="2" t="s">
        <v>4758</v>
      </c>
      <c r="B1041" s="2" t="s">
        <v>4584</v>
      </c>
      <c r="C1041" s="2" t="s">
        <v>4694</v>
      </c>
      <c r="D1041" s="2" t="s">
        <v>4585</v>
      </c>
      <c r="E1041" s="2" t="s">
        <v>4586</v>
      </c>
      <c r="F1041" s="2" t="s">
        <v>4756</v>
      </c>
      <c r="G1041" s="2" t="s">
        <v>4756</v>
      </c>
      <c r="H1041" s="2" t="s">
        <v>4756</v>
      </c>
      <c r="I1041" s="2" t="s">
        <v>4759</v>
      </c>
      <c r="J1041" s="2" t="s">
        <v>93</v>
      </c>
      <c r="K1041" s="2" t="s">
        <v>1052</v>
      </c>
      <c r="L1041" s="3">
        <v>52</v>
      </c>
      <c r="M1041" s="3">
        <v>54.6</v>
      </c>
      <c r="N1041" s="3">
        <v>109.99</v>
      </c>
      <c r="O1041" s="2" t="s">
        <v>95</v>
      </c>
      <c r="P1041" s="2" t="s">
        <v>295</v>
      </c>
      <c r="Q1041" s="2" t="s">
        <v>97</v>
      </c>
      <c r="R1041" s="2" t="s">
        <v>98</v>
      </c>
      <c r="S1041" s="2" t="s">
        <v>98</v>
      </c>
      <c r="T1041" s="2" t="s">
        <v>98</v>
      </c>
      <c r="U1041" s="2" t="s">
        <v>117</v>
      </c>
      <c r="V1041" s="2" t="s">
        <v>296</v>
      </c>
      <c r="W1041" s="2" t="s">
        <v>297</v>
      </c>
      <c r="X1041" s="2" t="s">
        <v>103</v>
      </c>
      <c r="Y1041" s="2" t="s">
        <v>98</v>
      </c>
      <c r="Z1041" s="4"/>
      <c r="AA1041" s="4">
        <f>=ROUNDDOWN({0},0)</f>
      </c>
      <c r="AB1041" s="5"/>
      <c r="AC1041" s="2" t="s">
        <v>2575</v>
      </c>
      <c r="AD1041" s="4">
        <v>100</v>
      </c>
      <c r="AE1041" s="4">
        <v>100</v>
      </c>
      <c r="AF1041" s="6">
        <v>65</v>
      </c>
      <c r="AG1041" s="6"/>
      <c r="AH1041" s="7">
        <v>0</v>
      </c>
      <c r="AI1041" s="4"/>
      <c r="AJ1041" s="4">
        <f>=ROUNDDOWN({0},0)</f>
      </c>
      <c r="AK1041" s="5"/>
      <c r="AL1041" s="2" t="s">
        <v>98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/>
      <c r="AW1041" s="8"/>
      <c r="AX1041" s="4"/>
      <c r="AY1041" s="8"/>
      <c r="AZ1041" s="7"/>
      <c r="BA1041" s="7"/>
      <c r="BB1041" s="7"/>
      <c r="BC1041" s="4" t="s">
        <v>98</v>
      </c>
      <c r="BD1041" s="8" t="s">
        <v>98</v>
      </c>
      <c r="BE1041" s="4" t="s">
        <v>98</v>
      </c>
      <c r="BF1041" s="8" t="s">
        <v>98</v>
      </c>
      <c r="BG1041" s="7" t="s">
        <v>98</v>
      </c>
      <c r="BH1041" s="7" t="s">
        <v>98</v>
      </c>
      <c r="BI1041" s="7"/>
      <c r="BJ1041" s="4"/>
      <c r="BK1041" s="8"/>
      <c r="BL1041" s="2" t="s">
        <v>98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324</v>
      </c>
      <c r="BV1041" s="2" t="s">
        <v>95</v>
      </c>
      <c r="BW1041" s="2" t="s">
        <v>98</v>
      </c>
      <c r="BX1041" s="2" t="s">
        <v>98</v>
      </c>
      <c r="BY1041" s="2" t="s">
        <v>110</v>
      </c>
      <c r="BZ1041" s="2" t="s">
        <v>98</v>
      </c>
    </row>
    <row r="1042">
      <c r="A1042" s="2" t="s">
        <v>4760</v>
      </c>
      <c r="B1042" s="2" t="s">
        <v>4584</v>
      </c>
      <c r="C1042" s="2" t="s">
        <v>4694</v>
      </c>
      <c r="D1042" s="2" t="s">
        <v>4585</v>
      </c>
      <c r="E1042" s="2" t="s">
        <v>4586</v>
      </c>
      <c r="F1042" s="2" t="s">
        <v>4756</v>
      </c>
      <c r="G1042" s="2" t="s">
        <v>4756</v>
      </c>
      <c r="H1042" s="2" t="s">
        <v>4756</v>
      </c>
      <c r="I1042" s="2" t="s">
        <v>4761</v>
      </c>
      <c r="J1042" s="2" t="s">
        <v>93</v>
      </c>
      <c r="K1042" s="2" t="s">
        <v>1005</v>
      </c>
      <c r="L1042" s="3">
        <v>52</v>
      </c>
      <c r="M1042" s="3">
        <v>54.6</v>
      </c>
      <c r="N1042" s="3">
        <v>109.99</v>
      </c>
      <c r="O1042" s="2" t="s">
        <v>95</v>
      </c>
      <c r="P1042" s="2" t="s">
        <v>295</v>
      </c>
      <c r="Q1042" s="2" t="s">
        <v>97</v>
      </c>
      <c r="R1042" s="2" t="s">
        <v>98</v>
      </c>
      <c r="S1042" s="2" t="s">
        <v>98</v>
      </c>
      <c r="T1042" s="2" t="s">
        <v>98</v>
      </c>
      <c r="U1042" s="2" t="s">
        <v>117</v>
      </c>
      <c r="V1042" s="2" t="s">
        <v>296</v>
      </c>
      <c r="W1042" s="2" t="s">
        <v>297</v>
      </c>
      <c r="X1042" s="2" t="s">
        <v>103</v>
      </c>
      <c r="Y1042" s="2" t="s">
        <v>98</v>
      </c>
      <c r="Z1042" s="4"/>
      <c r="AA1042" s="4">
        <f>=ROUNDDOWN({0},0)</f>
      </c>
      <c r="AB1042" s="5"/>
      <c r="AC1042" s="2" t="s">
        <v>2575</v>
      </c>
      <c r="AD1042" s="4">
        <v>50</v>
      </c>
      <c r="AE1042" s="4">
        <v>50</v>
      </c>
      <c r="AF1042" s="6">
        <v>65</v>
      </c>
      <c r="AG1042" s="6"/>
      <c r="AH1042" s="7">
        <v>0</v>
      </c>
      <c r="AI1042" s="4"/>
      <c r="AJ1042" s="4">
        <f>=ROUNDDOWN({0},0)</f>
      </c>
      <c r="AK1042" s="5"/>
      <c r="AL1042" s="2" t="s">
        <v>98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/>
      <c r="AW1042" s="8"/>
      <c r="AX1042" s="4"/>
      <c r="AY1042" s="8"/>
      <c r="AZ1042" s="7"/>
      <c r="BA1042" s="7"/>
      <c r="BB1042" s="7"/>
      <c r="BC1042" s="4" t="s">
        <v>98</v>
      </c>
      <c r="BD1042" s="8" t="s">
        <v>98</v>
      </c>
      <c r="BE1042" s="4" t="s">
        <v>98</v>
      </c>
      <c r="BF1042" s="8" t="s">
        <v>98</v>
      </c>
      <c r="BG1042" s="7" t="s">
        <v>98</v>
      </c>
      <c r="BH1042" s="7" t="s">
        <v>98</v>
      </c>
      <c r="BI1042" s="7"/>
      <c r="BJ1042" s="4"/>
      <c r="BK1042" s="8"/>
      <c r="BL1042" s="2" t="s">
        <v>98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324</v>
      </c>
      <c r="BV1042" s="2" t="s">
        <v>95</v>
      </c>
      <c r="BW1042" s="2" t="s">
        <v>98</v>
      </c>
      <c r="BX1042" s="2" t="s">
        <v>98</v>
      </c>
      <c r="BY1042" s="2" t="s">
        <v>110</v>
      </c>
      <c r="BZ1042" s="2" t="s">
        <v>98</v>
      </c>
    </row>
    <row r="1043">
      <c r="A1043" s="2" t="s">
        <v>4762</v>
      </c>
      <c r="B1043" s="2" t="s">
        <v>4584</v>
      </c>
      <c r="C1043" s="2" t="s">
        <v>4694</v>
      </c>
      <c r="D1043" s="2" t="s">
        <v>4686</v>
      </c>
      <c r="E1043" s="2" t="s">
        <v>4687</v>
      </c>
      <c r="F1043" s="2" t="s">
        <v>1890</v>
      </c>
      <c r="G1043" s="2" t="s">
        <v>1890</v>
      </c>
      <c r="H1043" s="2" t="s">
        <v>1890</v>
      </c>
      <c r="I1043" s="2" t="s">
        <v>4763</v>
      </c>
      <c r="J1043" s="2" t="s">
        <v>93</v>
      </c>
      <c r="K1043" s="2" t="s">
        <v>174</v>
      </c>
      <c r="L1043" s="3">
        <v>109.35</v>
      </c>
      <c r="M1043" s="3">
        <v>114.82</v>
      </c>
      <c r="N1043" s="3">
        <v>254.99</v>
      </c>
      <c r="O1043" s="2" t="s">
        <v>95</v>
      </c>
      <c r="P1043" s="2" t="s">
        <v>142</v>
      </c>
      <c r="Q1043" s="2" t="s">
        <v>97</v>
      </c>
      <c r="R1043" s="2" t="s">
        <v>98</v>
      </c>
      <c r="S1043" s="2" t="s">
        <v>98</v>
      </c>
      <c r="T1043" s="2" t="s">
        <v>98</v>
      </c>
      <c r="U1043" s="2" t="s">
        <v>117</v>
      </c>
      <c r="V1043" s="2" t="s">
        <v>296</v>
      </c>
      <c r="W1043" s="2" t="s">
        <v>963</v>
      </c>
      <c r="X1043" s="2" t="s">
        <v>98</v>
      </c>
      <c r="Y1043" s="2" t="s">
        <v>4764</v>
      </c>
      <c r="Z1043" s="4">
        <v>71</v>
      </c>
      <c r="AA1043" s="4">
        <f>=ROUNDDOWN(355,0)</f>
      </c>
      <c r="AB1043" s="5">
        <v>0.2</v>
      </c>
      <c r="AC1043" s="2" t="s">
        <v>98</v>
      </c>
      <c r="AD1043" s="4"/>
      <c r="AE1043" s="4"/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98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/>
      <c r="AW1043" s="8"/>
      <c r="AX1043" s="4"/>
      <c r="AY1043" s="8"/>
      <c r="AZ1043" s="7"/>
      <c r="BA1043" s="7"/>
      <c r="BB1043" s="7"/>
      <c r="BC1043" s="4"/>
      <c r="BD1043" s="8"/>
      <c r="BE1043" s="4"/>
      <c r="BF1043" s="8"/>
      <c r="BG1043" s="7"/>
      <c r="BH1043" s="7"/>
      <c r="BI1043" s="7"/>
      <c r="BJ1043" s="4">
        <v>1</v>
      </c>
      <c r="BK1043" s="8">
        <v>133.95</v>
      </c>
      <c r="BL1043" s="2" t="s">
        <v>158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107</v>
      </c>
      <c r="BV1043" s="2" t="s">
        <v>95</v>
      </c>
      <c r="BW1043" s="2" t="s">
        <v>4635</v>
      </c>
      <c r="BX1043" s="2" t="s">
        <v>98</v>
      </c>
      <c r="BY1043" s="2" t="s">
        <v>110</v>
      </c>
      <c r="BZ1043" s="2" t="s">
        <v>98</v>
      </c>
    </row>
    <row r="1044">
      <c r="A1044" s="2" t="s">
        <v>4765</v>
      </c>
      <c r="B1044" s="2" t="s">
        <v>4584</v>
      </c>
      <c r="C1044" s="2" t="s">
        <v>4694</v>
      </c>
      <c r="D1044" s="2" t="s">
        <v>4686</v>
      </c>
      <c r="E1044" s="2" t="s">
        <v>4687</v>
      </c>
      <c r="F1044" s="2" t="s">
        <v>4766</v>
      </c>
      <c r="G1044" s="2" t="s">
        <v>4766</v>
      </c>
      <c r="H1044" s="2" t="s">
        <v>4766</v>
      </c>
      <c r="I1044" s="2" t="s">
        <v>4691</v>
      </c>
      <c r="J1044" s="2" t="s">
        <v>93</v>
      </c>
      <c r="K1044" s="2" t="s">
        <v>4767</v>
      </c>
      <c r="L1044" s="3">
        <v>113.4</v>
      </c>
      <c r="M1044" s="3">
        <v>119.07</v>
      </c>
      <c r="N1044" s="3">
        <v>269.99</v>
      </c>
      <c r="O1044" s="2" t="s">
        <v>95</v>
      </c>
      <c r="P1044" s="2" t="s">
        <v>115</v>
      </c>
      <c r="Q1044" s="2" t="s">
        <v>97</v>
      </c>
      <c r="R1044" s="2" t="s">
        <v>98</v>
      </c>
      <c r="S1044" s="2" t="s">
        <v>98</v>
      </c>
      <c r="T1044" s="2" t="s">
        <v>98</v>
      </c>
      <c r="U1044" s="2" t="s">
        <v>117</v>
      </c>
      <c r="V1044" s="2" t="s">
        <v>296</v>
      </c>
      <c r="W1044" s="2" t="s">
        <v>102</v>
      </c>
      <c r="X1044" s="2" t="s">
        <v>98</v>
      </c>
      <c r="Y1044" s="2" t="s">
        <v>4692</v>
      </c>
      <c r="Z1044" s="4">
        <v>94</v>
      </c>
      <c r="AA1044" s="4">
        <f>=ROUNDDOWN(313.333333333333,0)</f>
      </c>
      <c r="AB1044" s="5">
        <v>0.3</v>
      </c>
      <c r="AC1044" s="2" t="s">
        <v>98</v>
      </c>
      <c r="AD1044" s="4"/>
      <c r="AE1044" s="4"/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98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/>
      <c r="AW1044" s="8"/>
      <c r="AX1044" s="4"/>
      <c r="AY1044" s="8"/>
      <c r="AZ1044" s="7"/>
      <c r="BA1044" s="7"/>
      <c r="BB1044" s="7"/>
      <c r="BC1044" s="4"/>
      <c r="BD1044" s="8"/>
      <c r="BE1044" s="4"/>
      <c r="BF1044" s="8"/>
      <c r="BG1044" s="7"/>
      <c r="BH1044" s="7"/>
      <c r="BI1044" s="7"/>
      <c r="BJ1044" s="4"/>
      <c r="BK1044" s="8"/>
      <c r="BL1044" s="2" t="s">
        <v>98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107</v>
      </c>
      <c r="BV1044" s="2" t="s">
        <v>95</v>
      </c>
      <c r="BW1044" s="2" t="s">
        <v>4635</v>
      </c>
      <c r="BX1044" s="2" t="s">
        <v>98</v>
      </c>
      <c r="BY1044" s="2" t="s">
        <v>110</v>
      </c>
      <c r="BZ1044" s="2" t="s">
        <v>98</v>
      </c>
    </row>
    <row r="1045">
      <c r="A1045" s="2" t="s">
        <v>4768</v>
      </c>
      <c r="B1045" s="2" t="s">
        <v>4584</v>
      </c>
      <c r="C1045" s="2" t="s">
        <v>4694</v>
      </c>
      <c r="D1045" s="2" t="s">
        <v>4686</v>
      </c>
      <c r="E1045" s="2" t="s">
        <v>4687</v>
      </c>
      <c r="F1045" s="2" t="s">
        <v>4769</v>
      </c>
      <c r="G1045" s="2" t="s">
        <v>4769</v>
      </c>
      <c r="H1045" s="2" t="s">
        <v>4769</v>
      </c>
      <c r="I1045" s="2" t="s">
        <v>4770</v>
      </c>
      <c r="J1045" s="2" t="s">
        <v>93</v>
      </c>
      <c r="K1045" s="2" t="s">
        <v>4771</v>
      </c>
      <c r="L1045" s="3">
        <v>130.68</v>
      </c>
      <c r="M1045" s="3">
        <v>137.21</v>
      </c>
      <c r="N1045" s="3">
        <v>299.99</v>
      </c>
      <c r="O1045" s="2" t="s">
        <v>95</v>
      </c>
      <c r="P1045" s="2" t="s">
        <v>163</v>
      </c>
      <c r="Q1045" s="2" t="s">
        <v>97</v>
      </c>
      <c r="R1045" s="2" t="s">
        <v>98</v>
      </c>
      <c r="S1045" s="2" t="s">
        <v>98</v>
      </c>
      <c r="T1045" s="2" t="s">
        <v>98</v>
      </c>
      <c r="U1045" s="2" t="s">
        <v>117</v>
      </c>
      <c r="V1045" s="2" t="s">
        <v>439</v>
      </c>
      <c r="W1045" s="2" t="s">
        <v>103</v>
      </c>
      <c r="X1045" s="2" t="s">
        <v>98</v>
      </c>
      <c r="Y1045" s="2" t="s">
        <v>4772</v>
      </c>
      <c r="Z1045" s="4">
        <v>250</v>
      </c>
      <c r="AA1045" s="4">
        <f>=ROUNDDOWN(15.625,0)</f>
      </c>
      <c r="AB1045" s="5">
        <v>16</v>
      </c>
      <c r="AC1045" s="2" t="s">
        <v>222</v>
      </c>
      <c r="AD1045" s="4">
        <v>100</v>
      </c>
      <c r="AE1045" s="4">
        <v>300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98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/>
      <c r="AW1045" s="8"/>
      <c r="AX1045" s="4"/>
      <c r="AY1045" s="8"/>
      <c r="AZ1045" s="7"/>
      <c r="BA1045" s="7"/>
      <c r="BB1045" s="7"/>
      <c r="BC1045" s="4"/>
      <c r="BD1045" s="8"/>
      <c r="BE1045" s="4"/>
      <c r="BF1045" s="8"/>
      <c r="BG1045" s="7"/>
      <c r="BH1045" s="7"/>
      <c r="BI1045" s="7"/>
      <c r="BJ1045" s="4">
        <v>9</v>
      </c>
      <c r="BK1045" s="8">
        <v>1200</v>
      </c>
      <c r="BL1045" s="2" t="s">
        <v>2698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107</v>
      </c>
      <c r="BV1045" s="2" t="s">
        <v>95</v>
      </c>
      <c r="BW1045" s="2" t="s">
        <v>213</v>
      </c>
      <c r="BX1045" s="2" t="s">
        <v>4773</v>
      </c>
      <c r="BY1045" s="2" t="s">
        <v>110</v>
      </c>
      <c r="BZ1045" s="2" t="s">
        <v>98</v>
      </c>
    </row>
    <row r="1046">
      <c r="A1046" s="2" t="s">
        <v>4774</v>
      </c>
      <c r="B1046" s="2" t="s">
        <v>4584</v>
      </c>
      <c r="C1046" s="2" t="s">
        <v>4694</v>
      </c>
      <c r="D1046" s="2" t="s">
        <v>4686</v>
      </c>
      <c r="E1046" s="2" t="s">
        <v>4687</v>
      </c>
      <c r="F1046" s="2" t="s">
        <v>4775</v>
      </c>
      <c r="G1046" s="2" t="s">
        <v>4775</v>
      </c>
      <c r="H1046" s="2" t="s">
        <v>4775</v>
      </c>
      <c r="I1046" s="2" t="s">
        <v>4776</v>
      </c>
      <c r="J1046" s="2" t="s">
        <v>93</v>
      </c>
      <c r="K1046" s="2" t="s">
        <v>4777</v>
      </c>
      <c r="L1046" s="3">
        <v>166.06</v>
      </c>
      <c r="M1046" s="3">
        <v>174.36</v>
      </c>
      <c r="N1046" s="3">
        <v>379.99</v>
      </c>
      <c r="O1046" s="2" t="s">
        <v>95</v>
      </c>
      <c r="P1046" s="2" t="s">
        <v>142</v>
      </c>
      <c r="Q1046" s="2" t="s">
        <v>97</v>
      </c>
      <c r="R1046" s="2" t="s">
        <v>98</v>
      </c>
      <c r="S1046" s="2" t="s">
        <v>98</v>
      </c>
      <c r="T1046" s="2" t="s">
        <v>98</v>
      </c>
      <c r="U1046" s="2" t="s">
        <v>117</v>
      </c>
      <c r="V1046" s="2" t="s">
        <v>296</v>
      </c>
      <c r="W1046" s="2" t="s">
        <v>314</v>
      </c>
      <c r="X1046" s="2" t="s">
        <v>204</v>
      </c>
      <c r="Y1046" s="2" t="s">
        <v>353</v>
      </c>
      <c r="Z1046" s="4">
        <v>98</v>
      </c>
      <c r="AA1046" s="4">
        <f>=ROUNDDOWN(98,0)</f>
      </c>
      <c r="AB1046" s="5">
        <v>1</v>
      </c>
      <c r="AC1046" s="2" t="s">
        <v>98</v>
      </c>
      <c r="AD1046" s="4"/>
      <c r="AE1046" s="4"/>
      <c r="AF1046" s="6">
        <v>63</v>
      </c>
      <c r="AG1046" s="6"/>
      <c r="AH1046" s="7">
        <v>1</v>
      </c>
      <c r="AI1046" s="4"/>
      <c r="AJ1046" s="4">
        <f>=ROUNDDOWN({0},0)</f>
      </c>
      <c r="AK1046" s="5"/>
      <c r="AL1046" s="2" t="s">
        <v>98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/>
      <c r="AW1046" s="8"/>
      <c r="AX1046" s="4"/>
      <c r="AY1046" s="8"/>
      <c r="AZ1046" s="7"/>
      <c r="BA1046" s="7"/>
      <c r="BB1046" s="7"/>
      <c r="BC1046" s="4"/>
      <c r="BD1046" s="8"/>
      <c r="BE1046" s="4"/>
      <c r="BF1046" s="8"/>
      <c r="BG1046" s="7"/>
      <c r="BH1046" s="7"/>
      <c r="BI1046" s="7"/>
      <c r="BJ1046" s="4"/>
      <c r="BK1046" s="8"/>
      <c r="BL1046" s="2" t="s">
        <v>98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107</v>
      </c>
      <c r="BV1046" s="2" t="s">
        <v>95</v>
      </c>
      <c r="BW1046" s="2" t="s">
        <v>4635</v>
      </c>
      <c r="BX1046" s="2" t="s">
        <v>98</v>
      </c>
      <c r="BY1046" s="2" t="s">
        <v>110</v>
      </c>
      <c r="BZ1046" s="2" t="s">
        <v>98</v>
      </c>
    </row>
    <row r="1047">
      <c r="A1047" s="2" t="s">
        <v>4778</v>
      </c>
      <c r="B1047" s="2" t="s">
        <v>4584</v>
      </c>
      <c r="C1047" s="2" t="s">
        <v>4694</v>
      </c>
      <c r="D1047" s="2" t="s">
        <v>4686</v>
      </c>
      <c r="E1047" s="2" t="s">
        <v>4687</v>
      </c>
      <c r="F1047" s="2" t="s">
        <v>4779</v>
      </c>
      <c r="G1047" s="2" t="s">
        <v>4779</v>
      </c>
      <c r="H1047" s="2" t="s">
        <v>4779</v>
      </c>
      <c r="I1047" s="2" t="s">
        <v>4780</v>
      </c>
      <c r="J1047" s="2" t="s">
        <v>93</v>
      </c>
      <c r="K1047" s="2" t="s">
        <v>4781</v>
      </c>
      <c r="L1047" s="3">
        <v>66.24</v>
      </c>
      <c r="M1047" s="3">
        <v>69.55</v>
      </c>
      <c r="N1047" s="3">
        <v>149.99</v>
      </c>
      <c r="O1047" s="2" t="s">
        <v>95</v>
      </c>
      <c r="P1047" s="2" t="s">
        <v>115</v>
      </c>
      <c r="Q1047" s="2" t="s">
        <v>97</v>
      </c>
      <c r="R1047" s="2" t="s">
        <v>98</v>
      </c>
      <c r="S1047" s="2" t="s">
        <v>98</v>
      </c>
      <c r="T1047" s="2" t="s">
        <v>98</v>
      </c>
      <c r="U1047" s="2" t="s">
        <v>117</v>
      </c>
      <c r="V1047" s="2" t="s">
        <v>296</v>
      </c>
      <c r="W1047" s="2" t="s">
        <v>102</v>
      </c>
      <c r="X1047" s="2" t="s">
        <v>98</v>
      </c>
      <c r="Y1047" s="2" t="s">
        <v>1614</v>
      </c>
      <c r="Z1047" s="4">
        <v>133</v>
      </c>
      <c r="AA1047" s="4">
        <f>=ROUNDDOWN(665,0)</f>
      </c>
      <c r="AB1047" s="5">
        <v>0.2</v>
      </c>
      <c r="AC1047" s="2" t="s">
        <v>98</v>
      </c>
      <c r="AD1047" s="4"/>
      <c r="AE1047" s="4"/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98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/>
      <c r="AW1047" s="8"/>
      <c r="AX1047" s="4"/>
      <c r="AY1047" s="8"/>
      <c r="AZ1047" s="7"/>
      <c r="BA1047" s="7"/>
      <c r="BB1047" s="7"/>
      <c r="BC1047" s="4"/>
      <c r="BD1047" s="8"/>
      <c r="BE1047" s="4"/>
      <c r="BF1047" s="8"/>
      <c r="BG1047" s="7"/>
      <c r="BH1047" s="7"/>
      <c r="BI1047" s="7"/>
      <c r="BJ1047" s="4"/>
      <c r="BK1047" s="8"/>
      <c r="BL1047" s="2" t="s">
        <v>98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107</v>
      </c>
      <c r="BV1047" s="2" t="s">
        <v>95</v>
      </c>
      <c r="BW1047" s="2" t="s">
        <v>4635</v>
      </c>
      <c r="BX1047" s="2" t="s">
        <v>98</v>
      </c>
      <c r="BY1047" s="2" t="s">
        <v>110</v>
      </c>
      <c r="BZ1047" s="2" t="s">
        <v>98</v>
      </c>
    </row>
    <row r="1048">
      <c r="A1048" s="2" t="s">
        <v>4782</v>
      </c>
      <c r="B1048" s="2" t="s">
        <v>4584</v>
      </c>
      <c r="C1048" s="2" t="s">
        <v>4694</v>
      </c>
      <c r="D1048" s="2" t="s">
        <v>4686</v>
      </c>
      <c r="E1048" s="2" t="s">
        <v>4687</v>
      </c>
      <c r="F1048" s="2" t="s">
        <v>4783</v>
      </c>
      <c r="G1048" s="2" t="s">
        <v>4783</v>
      </c>
      <c r="H1048" s="2" t="s">
        <v>4783</v>
      </c>
      <c r="I1048" s="2" t="s">
        <v>4784</v>
      </c>
      <c r="J1048" s="2" t="s">
        <v>93</v>
      </c>
      <c r="K1048" s="2" t="s">
        <v>473</v>
      </c>
      <c r="L1048" s="3">
        <v>96.12</v>
      </c>
      <c r="M1048" s="3">
        <v>100.93</v>
      </c>
      <c r="N1048" s="3">
        <v>214.99</v>
      </c>
      <c r="O1048" s="2" t="s">
        <v>95</v>
      </c>
      <c r="P1048" s="2" t="s">
        <v>142</v>
      </c>
      <c r="Q1048" s="2" t="s">
        <v>97</v>
      </c>
      <c r="R1048" s="2" t="s">
        <v>98</v>
      </c>
      <c r="S1048" s="2" t="s">
        <v>98</v>
      </c>
      <c r="T1048" s="2" t="s">
        <v>98</v>
      </c>
      <c r="U1048" s="2" t="s">
        <v>117</v>
      </c>
      <c r="V1048" s="2" t="s">
        <v>296</v>
      </c>
      <c r="W1048" s="2" t="s">
        <v>204</v>
      </c>
      <c r="X1048" s="2" t="s">
        <v>314</v>
      </c>
      <c r="Y1048" s="2" t="s">
        <v>2070</v>
      </c>
      <c r="Z1048" s="4">
        <v>76</v>
      </c>
      <c r="AA1048" s="4">
        <f>=ROUNDDOWN(76,0)</f>
      </c>
      <c r="AB1048" s="5">
        <v>1</v>
      </c>
      <c r="AC1048" s="2" t="s">
        <v>98</v>
      </c>
      <c r="AD1048" s="4"/>
      <c r="AE1048" s="4"/>
      <c r="AF1048" s="6">
        <v>63</v>
      </c>
      <c r="AG1048" s="6"/>
      <c r="AH1048" s="7">
        <v>1</v>
      </c>
      <c r="AI1048" s="4"/>
      <c r="AJ1048" s="4">
        <f>=ROUNDDOWN({0},0)</f>
      </c>
      <c r="AK1048" s="5"/>
      <c r="AL1048" s="2" t="s">
        <v>98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/>
      <c r="AW1048" s="8"/>
      <c r="AX1048" s="4"/>
      <c r="AY1048" s="8"/>
      <c r="AZ1048" s="7"/>
      <c r="BA1048" s="7"/>
      <c r="BB1048" s="7"/>
      <c r="BC1048" s="4"/>
      <c r="BD1048" s="8"/>
      <c r="BE1048" s="4"/>
      <c r="BF1048" s="8"/>
      <c r="BG1048" s="7"/>
      <c r="BH1048" s="7"/>
      <c r="BI1048" s="7"/>
      <c r="BJ1048" s="4"/>
      <c r="BK1048" s="8"/>
      <c r="BL1048" s="2" t="s">
        <v>98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107</v>
      </c>
      <c r="BV1048" s="2" t="s">
        <v>95</v>
      </c>
      <c r="BW1048" s="2" t="s">
        <v>4635</v>
      </c>
      <c r="BX1048" s="2" t="s">
        <v>4785</v>
      </c>
      <c r="BY1048" s="2" t="s">
        <v>110</v>
      </c>
      <c r="BZ1048" s="2" t="s">
        <v>98</v>
      </c>
    </row>
    <row r="1049">
      <c r="A1049" s="2" t="s">
        <v>4786</v>
      </c>
      <c r="B1049" s="2" t="s">
        <v>4584</v>
      </c>
      <c r="C1049" s="2" t="s">
        <v>4694</v>
      </c>
      <c r="D1049" s="2" t="s">
        <v>4686</v>
      </c>
      <c r="E1049" s="2" t="s">
        <v>4687</v>
      </c>
      <c r="F1049" s="2" t="s">
        <v>4787</v>
      </c>
      <c r="G1049" s="2" t="s">
        <v>4787</v>
      </c>
      <c r="H1049" s="2" t="s">
        <v>4787</v>
      </c>
      <c r="I1049" s="2" t="s">
        <v>4788</v>
      </c>
      <c r="J1049" s="2" t="s">
        <v>93</v>
      </c>
      <c r="K1049" s="2" t="s">
        <v>4789</v>
      </c>
      <c r="L1049" s="3">
        <v>123.35</v>
      </c>
      <c r="M1049" s="3">
        <v>129.52</v>
      </c>
      <c r="N1049" s="3">
        <v>259.99</v>
      </c>
      <c r="O1049" s="2" t="s">
        <v>95</v>
      </c>
      <c r="P1049" s="2" t="s">
        <v>96</v>
      </c>
      <c r="Q1049" s="2" t="s">
        <v>97</v>
      </c>
      <c r="R1049" s="2" t="s">
        <v>98</v>
      </c>
      <c r="S1049" s="2" t="s">
        <v>98</v>
      </c>
      <c r="T1049" s="2" t="s">
        <v>98</v>
      </c>
      <c r="U1049" s="2" t="s">
        <v>117</v>
      </c>
      <c r="V1049" s="2" t="s">
        <v>296</v>
      </c>
      <c r="W1049" s="2" t="s">
        <v>103</v>
      </c>
      <c r="X1049" s="2" t="s">
        <v>98</v>
      </c>
      <c r="Y1049" s="2" t="s">
        <v>4790</v>
      </c>
      <c r="Z1049" s="4">
        <v>260</v>
      </c>
      <c r="AA1049" s="4">
        <f>=ROUNDDOWN(17.3333333333333,0)</f>
      </c>
      <c r="AB1049" s="5">
        <v>15</v>
      </c>
      <c r="AC1049" s="2" t="s">
        <v>323</v>
      </c>
      <c r="AD1049" s="4">
        <v>130</v>
      </c>
      <c r="AE1049" s="4">
        <v>130</v>
      </c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98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/>
      <c r="AW1049" s="8"/>
      <c r="AX1049" s="4"/>
      <c r="AY1049" s="8"/>
      <c r="AZ1049" s="7"/>
      <c r="BA1049" s="7"/>
      <c r="BB1049" s="7"/>
      <c r="BC1049" s="4" t="s">
        <v>98</v>
      </c>
      <c r="BD1049" s="8" t="s">
        <v>98</v>
      </c>
      <c r="BE1049" s="4" t="s">
        <v>98</v>
      </c>
      <c r="BF1049" s="8" t="s">
        <v>98</v>
      </c>
      <c r="BG1049" s="7" t="s">
        <v>98</v>
      </c>
      <c r="BH1049" s="7" t="s">
        <v>98</v>
      </c>
      <c r="BI1049" s="7"/>
      <c r="BJ1049" s="4">
        <v>7</v>
      </c>
      <c r="BK1049" s="8">
        <v>1053.56</v>
      </c>
      <c r="BL1049" s="2" t="s">
        <v>4791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107</v>
      </c>
      <c r="BV1049" s="2" t="s">
        <v>95</v>
      </c>
      <c r="BW1049" s="2" t="s">
        <v>243</v>
      </c>
      <c r="BX1049" s="2" t="s">
        <v>98</v>
      </c>
      <c r="BY1049" s="2" t="s">
        <v>110</v>
      </c>
      <c r="BZ1049" s="2" t="s">
        <v>98</v>
      </c>
    </row>
    <row r="1050">
      <c r="A1050" s="2" t="s">
        <v>4792</v>
      </c>
      <c r="B1050" s="2" t="s">
        <v>4584</v>
      </c>
      <c r="C1050" s="2" t="s">
        <v>4694</v>
      </c>
      <c r="D1050" s="2" t="s">
        <v>4686</v>
      </c>
      <c r="E1050" s="2" t="s">
        <v>4687</v>
      </c>
      <c r="F1050" s="2" t="s">
        <v>4787</v>
      </c>
      <c r="G1050" s="2" t="s">
        <v>4787</v>
      </c>
      <c r="H1050" s="2" t="s">
        <v>4787</v>
      </c>
      <c r="I1050" s="2" t="s">
        <v>4793</v>
      </c>
      <c r="J1050" s="2" t="s">
        <v>93</v>
      </c>
      <c r="K1050" s="2" t="s">
        <v>4681</v>
      </c>
      <c r="L1050" s="3">
        <v>123.35</v>
      </c>
      <c r="M1050" s="3">
        <v>129.52</v>
      </c>
      <c r="N1050" s="3">
        <v>259.99</v>
      </c>
      <c r="O1050" s="2" t="s">
        <v>95</v>
      </c>
      <c r="P1050" s="2" t="s">
        <v>163</v>
      </c>
      <c r="Q1050" s="2" t="s">
        <v>97</v>
      </c>
      <c r="R1050" s="2" t="s">
        <v>98</v>
      </c>
      <c r="S1050" s="2" t="s">
        <v>4794</v>
      </c>
      <c r="T1050" s="2" t="s">
        <v>98</v>
      </c>
      <c r="U1050" s="2" t="s">
        <v>98</v>
      </c>
      <c r="V1050" s="2" t="s">
        <v>439</v>
      </c>
      <c r="W1050" s="2" t="s">
        <v>103</v>
      </c>
      <c r="X1050" s="2" t="s">
        <v>98</v>
      </c>
      <c r="Y1050" s="2" t="s">
        <v>4795</v>
      </c>
      <c r="Z1050" s="4">
        <v>887</v>
      </c>
      <c r="AA1050" s="4">
        <f>=ROUNDDOWN(32.8518518518518,0)</f>
      </c>
      <c r="AB1050" s="5">
        <v>27</v>
      </c>
      <c r="AC1050" s="2" t="s">
        <v>222</v>
      </c>
      <c r="AD1050" s="4">
        <v>120</v>
      </c>
      <c r="AE1050" s="4">
        <v>120</v>
      </c>
      <c r="AF1050" s="6">
        <v>63</v>
      </c>
      <c r="AG1050" s="6"/>
      <c r="AH1050" s="7">
        <v>1</v>
      </c>
      <c r="AI1050" s="4"/>
      <c r="AJ1050" s="4">
        <f>=ROUNDDOWN({0},0)</f>
      </c>
      <c r="AK1050" s="5"/>
      <c r="AL1050" s="2" t="s">
        <v>98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 t="s">
        <v>98</v>
      </c>
      <c r="BD1050" s="8" t="s">
        <v>98</v>
      </c>
      <c r="BE1050" s="4" t="s">
        <v>98</v>
      </c>
      <c r="BF1050" s="8" t="s">
        <v>98</v>
      </c>
      <c r="BG1050" s="7" t="s">
        <v>98</v>
      </c>
      <c r="BH1050" s="7" t="s">
        <v>98</v>
      </c>
      <c r="BI1050" s="7"/>
      <c r="BJ1050" s="4">
        <v>8</v>
      </c>
      <c r="BK1050" s="8">
        <v>1200.86</v>
      </c>
      <c r="BL1050" s="2" t="s">
        <v>4796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107</v>
      </c>
      <c r="BV1050" s="2" t="s">
        <v>95</v>
      </c>
      <c r="BW1050" s="2" t="s">
        <v>4199</v>
      </c>
      <c r="BX1050" s="2" t="s">
        <v>3191</v>
      </c>
      <c r="BY1050" s="2" t="s">
        <v>110</v>
      </c>
      <c r="BZ1050" s="2" t="s">
        <v>98</v>
      </c>
    </row>
    <row r="1051">
      <c r="A1051" s="2" t="s">
        <v>4797</v>
      </c>
      <c r="B1051" s="2" t="s">
        <v>4584</v>
      </c>
      <c r="C1051" s="2" t="s">
        <v>4694</v>
      </c>
      <c r="D1051" s="2" t="s">
        <v>4686</v>
      </c>
      <c r="E1051" s="2" t="s">
        <v>4687</v>
      </c>
      <c r="F1051" s="2" t="s">
        <v>4787</v>
      </c>
      <c r="G1051" s="2" t="s">
        <v>4787</v>
      </c>
      <c r="H1051" s="2" t="s">
        <v>4787</v>
      </c>
      <c r="I1051" s="2" t="s">
        <v>4793</v>
      </c>
      <c r="J1051" s="2" t="s">
        <v>93</v>
      </c>
      <c r="K1051" s="2" t="s">
        <v>4798</v>
      </c>
      <c r="L1051" s="3">
        <v>123.35</v>
      </c>
      <c r="M1051" s="3">
        <v>129.52</v>
      </c>
      <c r="N1051" s="3">
        <v>259.99</v>
      </c>
      <c r="O1051" s="2" t="s">
        <v>95</v>
      </c>
      <c r="P1051" s="2" t="s">
        <v>96</v>
      </c>
      <c r="Q1051" s="2" t="s">
        <v>97</v>
      </c>
      <c r="R1051" s="2" t="s">
        <v>98</v>
      </c>
      <c r="S1051" s="2" t="s">
        <v>98</v>
      </c>
      <c r="T1051" s="2" t="s">
        <v>98</v>
      </c>
      <c r="U1051" s="2" t="s">
        <v>98</v>
      </c>
      <c r="V1051" s="2" t="s">
        <v>296</v>
      </c>
      <c r="W1051" s="2" t="s">
        <v>103</v>
      </c>
      <c r="X1051" s="2" t="s">
        <v>98</v>
      </c>
      <c r="Y1051" s="2" t="s">
        <v>1243</v>
      </c>
      <c r="Z1051" s="4">
        <v>198</v>
      </c>
      <c r="AA1051" s="4">
        <f>=ROUNDDOWN(19.8,0)</f>
      </c>
      <c r="AB1051" s="5">
        <v>10</v>
      </c>
      <c r="AC1051" s="2" t="s">
        <v>98</v>
      </c>
      <c r="AD1051" s="4"/>
      <c r="AE1051" s="4"/>
      <c r="AF1051" s="6">
        <v>63</v>
      </c>
      <c r="AG1051" s="6"/>
      <c r="AH1051" s="7">
        <v>1</v>
      </c>
      <c r="AI1051" s="4"/>
      <c r="AJ1051" s="4">
        <f>=ROUNDDOWN({0},0)</f>
      </c>
      <c r="AK1051" s="5"/>
      <c r="AL1051" s="2" t="s">
        <v>98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/>
      <c r="AW1051" s="8"/>
      <c r="AX1051" s="4"/>
      <c r="AY1051" s="8"/>
      <c r="AZ1051" s="7"/>
      <c r="BA1051" s="7"/>
      <c r="BB1051" s="7"/>
      <c r="BC1051" s="4" t="s">
        <v>98</v>
      </c>
      <c r="BD1051" s="8" t="s">
        <v>98</v>
      </c>
      <c r="BE1051" s="4" t="s">
        <v>98</v>
      </c>
      <c r="BF1051" s="8" t="s">
        <v>98</v>
      </c>
      <c r="BG1051" s="7" t="s">
        <v>98</v>
      </c>
      <c r="BH1051" s="7" t="s">
        <v>98</v>
      </c>
      <c r="BI1051" s="7"/>
      <c r="BJ1051" s="4">
        <v>6</v>
      </c>
      <c r="BK1051" s="8">
        <v>864.38</v>
      </c>
      <c r="BL1051" s="2" t="s">
        <v>4799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107</v>
      </c>
      <c r="BV1051" s="2" t="s">
        <v>95</v>
      </c>
      <c r="BW1051" s="2" t="s">
        <v>4613</v>
      </c>
      <c r="BX1051" s="2" t="s">
        <v>98</v>
      </c>
      <c r="BY1051" s="2" t="s">
        <v>110</v>
      </c>
      <c r="BZ1051" s="2" t="s">
        <v>98</v>
      </c>
    </row>
    <row r="1052">
      <c r="A1052" s="2" t="s">
        <v>4800</v>
      </c>
      <c r="B1052" s="2" t="s">
        <v>4584</v>
      </c>
      <c r="C1052" s="2" t="s">
        <v>4694</v>
      </c>
      <c r="D1052" s="2" t="s">
        <v>4686</v>
      </c>
      <c r="E1052" s="2" t="s">
        <v>4687</v>
      </c>
      <c r="F1052" s="2" t="s">
        <v>4801</v>
      </c>
      <c r="G1052" s="2" t="s">
        <v>4801</v>
      </c>
      <c r="H1052" s="2" t="s">
        <v>4801</v>
      </c>
      <c r="I1052" s="2" t="s">
        <v>4802</v>
      </c>
      <c r="J1052" s="2" t="s">
        <v>93</v>
      </c>
      <c r="K1052" s="2" t="s">
        <v>294</v>
      </c>
      <c r="L1052" s="3">
        <v>105.3</v>
      </c>
      <c r="M1052" s="3">
        <v>110.56</v>
      </c>
      <c r="N1052" s="3">
        <v>244.99</v>
      </c>
      <c r="O1052" s="2" t="s">
        <v>95</v>
      </c>
      <c r="P1052" s="2" t="s">
        <v>142</v>
      </c>
      <c r="Q1052" s="2" t="s">
        <v>97</v>
      </c>
      <c r="R1052" s="2" t="s">
        <v>98</v>
      </c>
      <c r="S1052" s="2" t="s">
        <v>98</v>
      </c>
      <c r="T1052" s="2" t="s">
        <v>98</v>
      </c>
      <c r="U1052" s="2" t="s">
        <v>117</v>
      </c>
      <c r="V1052" s="2" t="s">
        <v>296</v>
      </c>
      <c r="W1052" s="2" t="s">
        <v>314</v>
      </c>
      <c r="X1052" s="2" t="s">
        <v>98</v>
      </c>
      <c r="Y1052" s="2" t="s">
        <v>4803</v>
      </c>
      <c r="Z1052" s="4">
        <v>48</v>
      </c>
      <c r="AA1052" s="4">
        <f>=ROUNDDOWN(24,0)</f>
      </c>
      <c r="AB1052" s="5">
        <v>2</v>
      </c>
      <c r="AC1052" s="2" t="s">
        <v>98</v>
      </c>
      <c r="AD1052" s="4"/>
      <c r="AE1052" s="4"/>
      <c r="AF1052" s="6">
        <v>65</v>
      </c>
      <c r="AG1052" s="6"/>
      <c r="AH1052" s="7">
        <v>1</v>
      </c>
      <c r="AI1052" s="4"/>
      <c r="AJ1052" s="4">
        <f>=ROUNDDOWN({0},0)</f>
      </c>
      <c r="AK1052" s="5"/>
      <c r="AL1052" s="2" t="s">
        <v>98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/>
      <c r="AW1052" s="8"/>
      <c r="AX1052" s="4"/>
      <c r="AY1052" s="8"/>
      <c r="AZ1052" s="7"/>
      <c r="BA1052" s="7"/>
      <c r="BB1052" s="7"/>
      <c r="BC1052" s="4"/>
      <c r="BD1052" s="8"/>
      <c r="BE1052" s="4"/>
      <c r="BF1052" s="8"/>
      <c r="BG1052" s="7"/>
      <c r="BH1052" s="7"/>
      <c r="BI1052" s="7"/>
      <c r="BJ1052" s="4"/>
      <c r="BK1052" s="8"/>
      <c r="BL1052" s="2" t="s">
        <v>98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107</v>
      </c>
      <c r="BV1052" s="2" t="s">
        <v>95</v>
      </c>
      <c r="BW1052" s="2" t="s">
        <v>4635</v>
      </c>
      <c r="BX1052" s="2" t="s">
        <v>4804</v>
      </c>
      <c r="BY1052" s="2" t="s">
        <v>110</v>
      </c>
      <c r="BZ1052" s="2" t="s">
        <v>98</v>
      </c>
    </row>
    <row r="1053">
      <c r="A1053" s="2" t="s">
        <v>4805</v>
      </c>
      <c r="B1053" s="2" t="s">
        <v>4584</v>
      </c>
      <c r="C1053" s="2" t="s">
        <v>4694</v>
      </c>
      <c r="D1053" s="2" t="s">
        <v>4806</v>
      </c>
      <c r="E1053" s="2" t="s">
        <v>4807</v>
      </c>
      <c r="F1053" s="2" t="s">
        <v>4808</v>
      </c>
      <c r="G1053" s="2" t="s">
        <v>4808</v>
      </c>
      <c r="H1053" s="2" t="s">
        <v>4808</v>
      </c>
      <c r="I1053" s="2" t="s">
        <v>4809</v>
      </c>
      <c r="J1053" s="2" t="s">
        <v>93</v>
      </c>
      <c r="K1053" s="2" t="s">
        <v>294</v>
      </c>
      <c r="L1053" s="3">
        <v>63</v>
      </c>
      <c r="M1053" s="3">
        <v>66.15</v>
      </c>
      <c r="N1053" s="3">
        <v>134.99</v>
      </c>
      <c r="O1053" s="2" t="s">
        <v>95</v>
      </c>
      <c r="P1053" s="2" t="s">
        <v>163</v>
      </c>
      <c r="Q1053" s="2" t="s">
        <v>97</v>
      </c>
      <c r="R1053" s="2" t="s">
        <v>98</v>
      </c>
      <c r="S1053" s="2" t="s">
        <v>98</v>
      </c>
      <c r="T1053" s="2" t="s">
        <v>98</v>
      </c>
      <c r="U1053" s="2" t="s">
        <v>117</v>
      </c>
      <c r="V1053" s="2" t="s">
        <v>296</v>
      </c>
      <c r="W1053" s="2" t="s">
        <v>103</v>
      </c>
      <c r="X1053" s="2" t="s">
        <v>98</v>
      </c>
      <c r="Y1053" s="2" t="s">
        <v>4803</v>
      </c>
      <c r="Z1053" s="4">
        <v>339</v>
      </c>
      <c r="AA1053" s="4">
        <f>=ROUNDDOWN(28.25,0)</f>
      </c>
      <c r="AB1053" s="5">
        <v>12</v>
      </c>
      <c r="AC1053" s="2" t="s">
        <v>1457</v>
      </c>
      <c r="AD1053" s="4">
        <v>150</v>
      </c>
      <c r="AE1053" s="4">
        <v>150</v>
      </c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98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/>
      <c r="AW1053" s="8"/>
      <c r="AX1053" s="4"/>
      <c r="AY1053" s="8"/>
      <c r="AZ1053" s="7"/>
      <c r="BA1053" s="7"/>
      <c r="BB1053" s="7"/>
      <c r="BC1053" s="4" t="s">
        <v>98</v>
      </c>
      <c r="BD1053" s="8" t="s">
        <v>98</v>
      </c>
      <c r="BE1053" s="4" t="s">
        <v>98</v>
      </c>
      <c r="BF1053" s="8" t="s">
        <v>98</v>
      </c>
      <c r="BG1053" s="7" t="s">
        <v>98</v>
      </c>
      <c r="BH1053" s="7" t="s">
        <v>98</v>
      </c>
      <c r="BI1053" s="7"/>
      <c r="BJ1053" s="4">
        <v>7</v>
      </c>
      <c r="BK1053" s="8">
        <v>515.1</v>
      </c>
      <c r="BL1053" s="2" t="s">
        <v>4810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107</v>
      </c>
      <c r="BV1053" s="2" t="s">
        <v>95</v>
      </c>
      <c r="BW1053" s="2" t="s">
        <v>4635</v>
      </c>
      <c r="BX1053" s="2" t="s">
        <v>98</v>
      </c>
      <c r="BY1053" s="2" t="s">
        <v>110</v>
      </c>
      <c r="BZ1053" s="2" t="s">
        <v>98</v>
      </c>
    </row>
    <row r="1054">
      <c r="A1054" s="2" t="s">
        <v>4811</v>
      </c>
      <c r="B1054" s="2" t="s">
        <v>4584</v>
      </c>
      <c r="C1054" s="2" t="s">
        <v>4694</v>
      </c>
      <c r="D1054" s="2" t="s">
        <v>4806</v>
      </c>
      <c r="E1054" s="2" t="s">
        <v>4807</v>
      </c>
      <c r="F1054" s="2" t="s">
        <v>4808</v>
      </c>
      <c r="G1054" s="2" t="s">
        <v>4808</v>
      </c>
      <c r="H1054" s="2" t="s">
        <v>4808</v>
      </c>
      <c r="I1054" s="2" t="s">
        <v>4809</v>
      </c>
      <c r="J1054" s="2" t="s">
        <v>93</v>
      </c>
      <c r="K1054" s="2" t="s">
        <v>421</v>
      </c>
      <c r="L1054" s="3">
        <v>63</v>
      </c>
      <c r="M1054" s="3">
        <v>66.15</v>
      </c>
      <c r="N1054" s="3">
        <v>134.99</v>
      </c>
      <c r="O1054" s="2" t="s">
        <v>95</v>
      </c>
      <c r="P1054" s="2" t="s">
        <v>134</v>
      </c>
      <c r="Q1054" s="2" t="s">
        <v>97</v>
      </c>
      <c r="R1054" s="2" t="s">
        <v>98</v>
      </c>
      <c r="S1054" s="2" t="s">
        <v>98</v>
      </c>
      <c r="T1054" s="2" t="s">
        <v>98</v>
      </c>
      <c r="U1054" s="2" t="s">
        <v>98</v>
      </c>
      <c r="V1054" s="2" t="s">
        <v>296</v>
      </c>
      <c r="W1054" s="2" t="s">
        <v>103</v>
      </c>
      <c r="X1054" s="2" t="s">
        <v>98</v>
      </c>
      <c r="Y1054" s="2" t="s">
        <v>4812</v>
      </c>
      <c r="Z1054" s="4">
        <v>64</v>
      </c>
      <c r="AA1054" s="4">
        <f>=ROUNDDOWN(32,0)</f>
      </c>
      <c r="AB1054" s="5">
        <v>2</v>
      </c>
      <c r="AC1054" s="2" t="s">
        <v>98</v>
      </c>
      <c r="AD1054" s="4"/>
      <c r="AE1054" s="4"/>
      <c r="AF1054" s="6">
        <v>63</v>
      </c>
      <c r="AG1054" s="6"/>
      <c r="AH1054" s="7">
        <v>1</v>
      </c>
      <c r="AI1054" s="4"/>
      <c r="AJ1054" s="4">
        <f>=ROUNDDOWN({0},0)</f>
      </c>
      <c r="AK1054" s="5"/>
      <c r="AL1054" s="2" t="s">
        <v>98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/>
      <c r="AW1054" s="8"/>
      <c r="AX1054" s="4"/>
      <c r="AY1054" s="8"/>
      <c r="AZ1054" s="7"/>
      <c r="BA1054" s="7"/>
      <c r="BB1054" s="7"/>
      <c r="BC1054" s="4" t="s">
        <v>98</v>
      </c>
      <c r="BD1054" s="8" t="s">
        <v>98</v>
      </c>
      <c r="BE1054" s="4" t="s">
        <v>98</v>
      </c>
      <c r="BF1054" s="8" t="s">
        <v>98</v>
      </c>
      <c r="BG1054" s="7" t="s">
        <v>98</v>
      </c>
      <c r="BH1054" s="7" t="s">
        <v>98</v>
      </c>
      <c r="BI1054" s="7"/>
      <c r="BJ1054" s="4"/>
      <c r="BK1054" s="8"/>
      <c r="BL1054" s="2" t="s">
        <v>98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107</v>
      </c>
      <c r="BV1054" s="2" t="s">
        <v>95</v>
      </c>
      <c r="BW1054" s="2" t="s">
        <v>532</v>
      </c>
      <c r="BX1054" s="2" t="s">
        <v>98</v>
      </c>
      <c r="BY1054" s="2" t="s">
        <v>110</v>
      </c>
      <c r="BZ1054" s="2" t="s">
        <v>98</v>
      </c>
    </row>
    <row r="1055">
      <c r="A1055" s="2" t="s">
        <v>4813</v>
      </c>
      <c r="B1055" s="2" t="s">
        <v>4584</v>
      </c>
      <c r="C1055" s="2" t="s">
        <v>4694</v>
      </c>
      <c r="D1055" s="2" t="s">
        <v>4806</v>
      </c>
      <c r="E1055" s="2" t="s">
        <v>4807</v>
      </c>
      <c r="F1055" s="2" t="s">
        <v>4814</v>
      </c>
      <c r="G1055" s="2" t="s">
        <v>4814</v>
      </c>
      <c r="H1055" s="2" t="s">
        <v>4814</v>
      </c>
      <c r="I1055" s="2" t="s">
        <v>4815</v>
      </c>
      <c r="J1055" s="2" t="s">
        <v>93</v>
      </c>
      <c r="K1055" s="2" t="s">
        <v>294</v>
      </c>
      <c r="L1055" s="3">
        <v>99</v>
      </c>
      <c r="M1055" s="3">
        <v>103.95</v>
      </c>
      <c r="N1055" s="3">
        <v>229.99</v>
      </c>
      <c r="O1055" s="2" t="s">
        <v>95</v>
      </c>
      <c r="P1055" s="2" t="s">
        <v>115</v>
      </c>
      <c r="Q1055" s="2" t="s">
        <v>97</v>
      </c>
      <c r="R1055" s="2" t="s">
        <v>98</v>
      </c>
      <c r="S1055" s="2" t="s">
        <v>98</v>
      </c>
      <c r="T1055" s="2" t="s">
        <v>98</v>
      </c>
      <c r="U1055" s="2" t="s">
        <v>117</v>
      </c>
      <c r="V1055" s="2" t="s">
        <v>296</v>
      </c>
      <c r="W1055" s="2" t="s">
        <v>102</v>
      </c>
      <c r="X1055" s="2" t="s">
        <v>103</v>
      </c>
      <c r="Y1055" s="2" t="s">
        <v>2070</v>
      </c>
      <c r="Z1055" s="4">
        <v>29</v>
      </c>
      <c r="AA1055" s="4">
        <f>=ROUNDDOWN(13.8095238095238,0)</f>
      </c>
      <c r="AB1055" s="5">
        <v>2.1</v>
      </c>
      <c r="AC1055" s="2" t="s">
        <v>98</v>
      </c>
      <c r="AD1055" s="4"/>
      <c r="AE1055" s="4"/>
      <c r="AF1055" s="6">
        <v>63</v>
      </c>
      <c r="AG1055" s="6"/>
      <c r="AH1055" s="7">
        <v>1</v>
      </c>
      <c r="AI1055" s="4"/>
      <c r="AJ1055" s="4">
        <f>=ROUNDDOWN({0},0)</f>
      </c>
      <c r="AK1055" s="5"/>
      <c r="AL1055" s="2" t="s">
        <v>98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/>
      <c r="AW1055" s="8"/>
      <c r="AX1055" s="4"/>
      <c r="AY1055" s="8"/>
      <c r="AZ1055" s="7"/>
      <c r="BA1055" s="7"/>
      <c r="BB1055" s="7"/>
      <c r="BC1055" s="4"/>
      <c r="BD1055" s="8"/>
      <c r="BE1055" s="4"/>
      <c r="BF1055" s="8"/>
      <c r="BG1055" s="7"/>
      <c r="BH1055" s="7"/>
      <c r="BI1055" s="7"/>
      <c r="BJ1055" s="4"/>
      <c r="BK1055" s="8"/>
      <c r="BL1055" s="2" t="s">
        <v>1379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107</v>
      </c>
      <c r="BV1055" s="2" t="s">
        <v>95</v>
      </c>
      <c r="BW1055" s="2" t="s">
        <v>4635</v>
      </c>
      <c r="BX1055" s="2" t="s">
        <v>98</v>
      </c>
      <c r="BY1055" s="2" t="s">
        <v>110</v>
      </c>
      <c r="BZ1055" s="2" t="s">
        <v>98</v>
      </c>
    </row>
    <row r="1056">
      <c r="A1056" s="2" t="s">
        <v>4816</v>
      </c>
      <c r="B1056" s="2" t="s">
        <v>4584</v>
      </c>
      <c r="C1056" s="2" t="s">
        <v>4694</v>
      </c>
      <c r="D1056" s="2" t="s">
        <v>4806</v>
      </c>
      <c r="E1056" s="2" t="s">
        <v>4807</v>
      </c>
      <c r="F1056" s="2" t="s">
        <v>4702</v>
      </c>
      <c r="G1056" s="2" t="s">
        <v>4702</v>
      </c>
      <c r="H1056" s="2" t="s">
        <v>4702</v>
      </c>
      <c r="I1056" s="2" t="s">
        <v>4817</v>
      </c>
      <c r="J1056" s="2" t="s">
        <v>93</v>
      </c>
      <c r="K1056" s="2" t="s">
        <v>294</v>
      </c>
      <c r="L1056" s="3">
        <v>86.4</v>
      </c>
      <c r="M1056" s="3">
        <v>90.72</v>
      </c>
      <c r="N1056" s="3">
        <v>179.99</v>
      </c>
      <c r="O1056" s="2" t="s">
        <v>95</v>
      </c>
      <c r="P1056" s="2" t="s">
        <v>96</v>
      </c>
      <c r="Q1056" s="2" t="s">
        <v>97</v>
      </c>
      <c r="R1056" s="2" t="s">
        <v>98</v>
      </c>
      <c r="S1056" s="2" t="s">
        <v>98</v>
      </c>
      <c r="T1056" s="2" t="s">
        <v>98</v>
      </c>
      <c r="U1056" s="2" t="s">
        <v>117</v>
      </c>
      <c r="V1056" s="2" t="s">
        <v>296</v>
      </c>
      <c r="W1056" s="2" t="s">
        <v>103</v>
      </c>
      <c r="X1056" s="2" t="s">
        <v>98</v>
      </c>
      <c r="Y1056" s="2" t="s">
        <v>4818</v>
      </c>
      <c r="Z1056" s="4">
        <v>67</v>
      </c>
      <c r="AA1056" s="4">
        <f>=ROUNDDOWN(8.375,0)</f>
      </c>
      <c r="AB1056" s="5">
        <v>8</v>
      </c>
      <c r="AC1056" s="2" t="s">
        <v>323</v>
      </c>
      <c r="AD1056" s="4">
        <v>130</v>
      </c>
      <c r="AE1056" s="4">
        <v>130</v>
      </c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98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/>
      <c r="AW1056" s="8"/>
      <c r="AX1056" s="4"/>
      <c r="AY1056" s="8"/>
      <c r="AZ1056" s="7"/>
      <c r="BA1056" s="7"/>
      <c r="BB1056" s="7"/>
      <c r="BC1056" s="4"/>
      <c r="BD1056" s="8"/>
      <c r="BE1056" s="4"/>
      <c r="BF1056" s="8"/>
      <c r="BG1056" s="7"/>
      <c r="BH1056" s="7"/>
      <c r="BI1056" s="7"/>
      <c r="BJ1056" s="4">
        <v>2</v>
      </c>
      <c r="BK1056" s="8">
        <v>220.67</v>
      </c>
      <c r="BL1056" s="2" t="s">
        <v>4819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107</v>
      </c>
      <c r="BV1056" s="2" t="s">
        <v>95</v>
      </c>
      <c r="BW1056" s="2" t="s">
        <v>4613</v>
      </c>
      <c r="BX1056" s="2" t="s">
        <v>4820</v>
      </c>
      <c r="BY1056" s="2" t="s">
        <v>110</v>
      </c>
      <c r="BZ1056" s="2" t="s">
        <v>98</v>
      </c>
    </row>
    <row r="1057">
      <c r="A1057" s="2" t="s">
        <v>4821</v>
      </c>
      <c r="B1057" s="2" t="s">
        <v>4584</v>
      </c>
      <c r="C1057" s="2" t="s">
        <v>4694</v>
      </c>
      <c r="D1057" s="2" t="s">
        <v>4806</v>
      </c>
      <c r="E1057" s="2" t="s">
        <v>4807</v>
      </c>
      <c r="F1057" s="2" t="s">
        <v>4822</v>
      </c>
      <c r="G1057" s="2" t="s">
        <v>4822</v>
      </c>
      <c r="H1057" s="2" t="s">
        <v>4822</v>
      </c>
      <c r="I1057" s="2" t="s">
        <v>4823</v>
      </c>
      <c r="J1057" s="2" t="s">
        <v>93</v>
      </c>
      <c r="K1057" s="2" t="s">
        <v>4824</v>
      </c>
      <c r="L1057" s="3">
        <v>54.27</v>
      </c>
      <c r="M1057" s="3">
        <v>56.98</v>
      </c>
      <c r="N1057" s="3">
        <v>129.99</v>
      </c>
      <c r="O1057" s="2" t="s">
        <v>95</v>
      </c>
      <c r="P1057" s="2" t="s">
        <v>134</v>
      </c>
      <c r="Q1057" s="2" t="s">
        <v>97</v>
      </c>
      <c r="R1057" s="2" t="s">
        <v>98</v>
      </c>
      <c r="S1057" s="2" t="s">
        <v>98</v>
      </c>
      <c r="T1057" s="2" t="s">
        <v>98</v>
      </c>
      <c r="U1057" s="2" t="s">
        <v>117</v>
      </c>
      <c r="V1057" s="2" t="s">
        <v>296</v>
      </c>
      <c r="W1057" s="2" t="s">
        <v>103</v>
      </c>
      <c r="X1057" s="2" t="s">
        <v>98</v>
      </c>
      <c r="Y1057" s="2" t="s">
        <v>4803</v>
      </c>
      <c r="Z1057" s="4">
        <v>175</v>
      </c>
      <c r="AA1057" s="4">
        <f>=ROUNDDOWN(17.5,0)</f>
      </c>
      <c r="AB1057" s="5">
        <v>10</v>
      </c>
      <c r="AC1057" s="2" t="s">
        <v>4598</v>
      </c>
      <c r="AD1057" s="4">
        <v>100</v>
      </c>
      <c r="AE1057" s="4">
        <v>100</v>
      </c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98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/>
      <c r="BD1057" s="8"/>
      <c r="BE1057" s="4"/>
      <c r="BF1057" s="8"/>
      <c r="BG1057" s="7"/>
      <c r="BH1057" s="7"/>
      <c r="BI1057" s="7"/>
      <c r="BJ1057" s="4">
        <v>9</v>
      </c>
      <c r="BK1057" s="8">
        <v>568.48</v>
      </c>
      <c r="BL1057" s="2" t="s">
        <v>4825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107</v>
      </c>
      <c r="BV1057" s="2" t="s">
        <v>95</v>
      </c>
      <c r="BW1057" s="2" t="s">
        <v>4826</v>
      </c>
      <c r="BX1057" s="2" t="s">
        <v>4827</v>
      </c>
      <c r="BY1057" s="2" t="s">
        <v>110</v>
      </c>
      <c r="BZ1057" s="2" t="s">
        <v>98</v>
      </c>
    </row>
    <row r="1058">
      <c r="A1058" s="2" t="s">
        <v>4828</v>
      </c>
      <c r="B1058" s="2" t="s">
        <v>4584</v>
      </c>
      <c r="C1058" s="2" t="s">
        <v>4694</v>
      </c>
      <c r="D1058" s="2" t="s">
        <v>4806</v>
      </c>
      <c r="E1058" s="2" t="s">
        <v>4807</v>
      </c>
      <c r="F1058" s="2" t="s">
        <v>4829</v>
      </c>
      <c r="G1058" s="2" t="s">
        <v>4829</v>
      </c>
      <c r="H1058" s="2" t="s">
        <v>4829</v>
      </c>
      <c r="I1058" s="2" t="s">
        <v>4830</v>
      </c>
      <c r="J1058" s="2" t="s">
        <v>93</v>
      </c>
      <c r="K1058" s="2" t="s">
        <v>219</v>
      </c>
      <c r="L1058" s="3">
        <v>70.3</v>
      </c>
      <c r="M1058" s="3">
        <v>73.82</v>
      </c>
      <c r="N1058" s="3">
        <v>159.99</v>
      </c>
      <c r="O1058" s="2" t="s">
        <v>95</v>
      </c>
      <c r="P1058" s="2" t="s">
        <v>142</v>
      </c>
      <c r="Q1058" s="2" t="s">
        <v>97</v>
      </c>
      <c r="R1058" s="2" t="s">
        <v>98</v>
      </c>
      <c r="S1058" s="2" t="s">
        <v>98</v>
      </c>
      <c r="T1058" s="2" t="s">
        <v>98</v>
      </c>
      <c r="U1058" s="2" t="s">
        <v>117</v>
      </c>
      <c r="V1058" s="2" t="s">
        <v>296</v>
      </c>
      <c r="W1058" s="2" t="s">
        <v>102</v>
      </c>
      <c r="X1058" s="2" t="s">
        <v>98</v>
      </c>
      <c r="Y1058" s="2" t="s">
        <v>4803</v>
      </c>
      <c r="Z1058" s="4">
        <v>44</v>
      </c>
      <c r="AA1058" s="4">
        <f>=ROUNDDOWN(14.6666666666667,0)</f>
      </c>
      <c r="AB1058" s="5">
        <v>3</v>
      </c>
      <c r="AC1058" s="2" t="s">
        <v>98</v>
      </c>
      <c r="AD1058" s="4"/>
      <c r="AE1058" s="4"/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98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/>
      <c r="BD1058" s="8"/>
      <c r="BE1058" s="4"/>
      <c r="BF1058" s="8"/>
      <c r="BG1058" s="7"/>
      <c r="BH1058" s="7"/>
      <c r="BI1058" s="7"/>
      <c r="BJ1058" s="4"/>
      <c r="BK1058" s="8"/>
      <c r="BL1058" s="2" t="s">
        <v>505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107</v>
      </c>
      <c r="BV1058" s="2" t="s">
        <v>95</v>
      </c>
      <c r="BW1058" s="2" t="s">
        <v>4635</v>
      </c>
      <c r="BX1058" s="2" t="s">
        <v>98</v>
      </c>
      <c r="BY1058" s="2" t="s">
        <v>110</v>
      </c>
      <c r="BZ1058" s="2" t="s">
        <v>98</v>
      </c>
    </row>
    <row r="1059">
      <c r="A1059" s="2" t="s">
        <v>4831</v>
      </c>
      <c r="B1059" s="2" t="s">
        <v>4584</v>
      </c>
      <c r="C1059" s="2" t="s">
        <v>4694</v>
      </c>
      <c r="D1059" s="2" t="s">
        <v>4832</v>
      </c>
      <c r="E1059" s="2" t="s">
        <v>4833</v>
      </c>
      <c r="F1059" s="2" t="s">
        <v>4702</v>
      </c>
      <c r="G1059" s="2" t="s">
        <v>4702</v>
      </c>
      <c r="H1059" s="2" t="s">
        <v>4702</v>
      </c>
      <c r="I1059" s="2" t="s">
        <v>4834</v>
      </c>
      <c r="J1059" s="2" t="s">
        <v>4835</v>
      </c>
      <c r="K1059" s="2" t="s">
        <v>4836</v>
      </c>
      <c r="L1059" s="3">
        <v>47.52</v>
      </c>
      <c r="M1059" s="3">
        <v>49.9</v>
      </c>
      <c r="N1059" s="3">
        <v>109.99</v>
      </c>
      <c r="O1059" s="2" t="s">
        <v>95</v>
      </c>
      <c r="P1059" s="2" t="s">
        <v>96</v>
      </c>
      <c r="Q1059" s="2" t="s">
        <v>97</v>
      </c>
      <c r="R1059" s="2" t="s">
        <v>98</v>
      </c>
      <c r="S1059" s="2" t="s">
        <v>98</v>
      </c>
      <c r="T1059" s="2" t="s">
        <v>98</v>
      </c>
      <c r="U1059" s="2" t="s">
        <v>117</v>
      </c>
      <c r="V1059" s="2" t="s">
        <v>296</v>
      </c>
      <c r="W1059" s="2" t="s">
        <v>103</v>
      </c>
      <c r="X1059" s="2" t="s">
        <v>204</v>
      </c>
      <c r="Y1059" s="2" t="s">
        <v>4818</v>
      </c>
      <c r="Z1059" s="4">
        <v>196</v>
      </c>
      <c r="AA1059" s="4">
        <f>=ROUNDDOWN(13.0666666666667,0)</f>
      </c>
      <c r="AB1059" s="5">
        <v>15</v>
      </c>
      <c r="AC1059" s="2" t="s">
        <v>1729</v>
      </c>
      <c r="AD1059" s="4">
        <v>300</v>
      </c>
      <c r="AE1059" s="4">
        <v>300</v>
      </c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98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 t="s">
        <v>98</v>
      </c>
      <c r="BD1059" s="8" t="s">
        <v>98</v>
      </c>
      <c r="BE1059" s="4" t="s">
        <v>98</v>
      </c>
      <c r="BF1059" s="8" t="s">
        <v>98</v>
      </c>
      <c r="BG1059" s="7" t="s">
        <v>98</v>
      </c>
      <c r="BH1059" s="7" t="s">
        <v>98</v>
      </c>
      <c r="BI1059" s="7"/>
      <c r="BJ1059" s="4">
        <v>14</v>
      </c>
      <c r="BK1059" s="8">
        <v>816.45</v>
      </c>
      <c r="BL1059" s="2" t="s">
        <v>4837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107</v>
      </c>
      <c r="BV1059" s="2" t="s">
        <v>95</v>
      </c>
      <c r="BW1059" s="2" t="s">
        <v>4613</v>
      </c>
      <c r="BX1059" s="2" t="s">
        <v>98</v>
      </c>
      <c r="BY1059" s="2" t="s">
        <v>110</v>
      </c>
      <c r="BZ1059" s="2" t="s">
        <v>98</v>
      </c>
    </row>
    <row r="1060">
      <c r="A1060" s="2" t="s">
        <v>4838</v>
      </c>
      <c r="B1060" s="2" t="s">
        <v>4584</v>
      </c>
      <c r="C1060" s="2" t="s">
        <v>4694</v>
      </c>
      <c r="D1060" s="2" t="s">
        <v>4832</v>
      </c>
      <c r="E1060" s="2" t="s">
        <v>4833</v>
      </c>
      <c r="F1060" s="2" t="s">
        <v>4702</v>
      </c>
      <c r="G1060" s="2" t="s">
        <v>4702</v>
      </c>
      <c r="H1060" s="2" t="s">
        <v>4702</v>
      </c>
      <c r="I1060" s="2" t="s">
        <v>4834</v>
      </c>
      <c r="J1060" s="2" t="s">
        <v>4835</v>
      </c>
      <c r="K1060" s="2" t="s">
        <v>4839</v>
      </c>
      <c r="L1060" s="3">
        <v>47.52</v>
      </c>
      <c r="M1060" s="3">
        <v>49.9</v>
      </c>
      <c r="N1060" s="3">
        <v>109.99</v>
      </c>
      <c r="O1060" s="2" t="s">
        <v>95</v>
      </c>
      <c r="P1060" s="2" t="s">
        <v>295</v>
      </c>
      <c r="Q1060" s="2" t="s">
        <v>97</v>
      </c>
      <c r="R1060" s="2" t="s">
        <v>98</v>
      </c>
      <c r="S1060" s="2" t="s">
        <v>98</v>
      </c>
      <c r="T1060" s="2" t="s">
        <v>98</v>
      </c>
      <c r="U1060" s="2" t="s">
        <v>117</v>
      </c>
      <c r="V1060" s="2" t="s">
        <v>296</v>
      </c>
      <c r="W1060" s="2" t="s">
        <v>103</v>
      </c>
      <c r="X1060" s="2" t="s">
        <v>204</v>
      </c>
      <c r="Y1060" s="2" t="s">
        <v>98</v>
      </c>
      <c r="Z1060" s="4"/>
      <c r="AA1060" s="4">
        <f>=ROUNDDOWN({0},0)</f>
      </c>
      <c r="AB1060" s="5"/>
      <c r="AC1060" s="2" t="s">
        <v>2416</v>
      </c>
      <c r="AD1060" s="4">
        <v>120</v>
      </c>
      <c r="AE1060" s="4">
        <v>120</v>
      </c>
      <c r="AF1060" s="6">
        <v>65</v>
      </c>
      <c r="AG1060" s="6"/>
      <c r="AH1060" s="7">
        <v>0</v>
      </c>
      <c r="AI1060" s="4"/>
      <c r="AJ1060" s="4">
        <f>=ROUNDDOWN({0},0)</f>
      </c>
      <c r="AK1060" s="5"/>
      <c r="AL1060" s="2" t="s">
        <v>98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/>
      <c r="AW1060" s="8"/>
      <c r="AX1060" s="4"/>
      <c r="AY1060" s="8"/>
      <c r="AZ1060" s="7"/>
      <c r="BA1060" s="7"/>
      <c r="BB1060" s="7"/>
      <c r="BC1060" s="4" t="s">
        <v>98</v>
      </c>
      <c r="BD1060" s="8" t="s">
        <v>98</v>
      </c>
      <c r="BE1060" s="4" t="s">
        <v>98</v>
      </c>
      <c r="BF1060" s="8" t="s">
        <v>98</v>
      </c>
      <c r="BG1060" s="7" t="s">
        <v>98</v>
      </c>
      <c r="BH1060" s="7" t="s">
        <v>98</v>
      </c>
      <c r="BI1060" s="7"/>
      <c r="BJ1060" s="4"/>
      <c r="BK1060" s="8"/>
      <c r="BL1060" s="2" t="s">
        <v>98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324</v>
      </c>
      <c r="BV1060" s="2" t="s">
        <v>95</v>
      </c>
      <c r="BW1060" s="2" t="s">
        <v>98</v>
      </c>
      <c r="BX1060" s="2" t="s">
        <v>98</v>
      </c>
      <c r="BY1060" s="2" t="s">
        <v>110</v>
      </c>
      <c r="BZ1060" s="2" t="s">
        <v>98</v>
      </c>
    </row>
    <row r="1061">
      <c r="A1061" s="2" t="s">
        <v>4840</v>
      </c>
      <c r="B1061" s="2" t="s">
        <v>4584</v>
      </c>
      <c r="C1061" s="2" t="s">
        <v>4694</v>
      </c>
      <c r="D1061" s="2" t="s">
        <v>4832</v>
      </c>
      <c r="E1061" s="2" t="s">
        <v>4833</v>
      </c>
      <c r="F1061" s="2" t="s">
        <v>4702</v>
      </c>
      <c r="G1061" s="2" t="s">
        <v>4702</v>
      </c>
      <c r="H1061" s="2" t="s">
        <v>4702</v>
      </c>
      <c r="I1061" s="2" t="s">
        <v>4834</v>
      </c>
      <c r="J1061" s="2" t="s">
        <v>4835</v>
      </c>
      <c r="K1061" s="2" t="s">
        <v>4841</v>
      </c>
      <c r="L1061" s="3">
        <v>47.52</v>
      </c>
      <c r="M1061" s="3">
        <v>49.9</v>
      </c>
      <c r="N1061" s="3">
        <v>109.99</v>
      </c>
      <c r="O1061" s="2" t="s">
        <v>95</v>
      </c>
      <c r="P1061" s="2" t="s">
        <v>134</v>
      </c>
      <c r="Q1061" s="2" t="s">
        <v>97</v>
      </c>
      <c r="R1061" s="2" t="s">
        <v>98</v>
      </c>
      <c r="S1061" s="2" t="s">
        <v>98</v>
      </c>
      <c r="T1061" s="2" t="s">
        <v>98</v>
      </c>
      <c r="U1061" s="2" t="s">
        <v>117</v>
      </c>
      <c r="V1061" s="2" t="s">
        <v>296</v>
      </c>
      <c r="W1061" s="2" t="s">
        <v>103</v>
      </c>
      <c r="X1061" s="2" t="s">
        <v>204</v>
      </c>
      <c r="Y1061" s="2" t="s">
        <v>4842</v>
      </c>
      <c r="Z1061" s="4">
        <v>128</v>
      </c>
      <c r="AA1061" s="4">
        <f>=ROUNDDOWN(32,0)</f>
      </c>
      <c r="AB1061" s="5">
        <v>4</v>
      </c>
      <c r="AC1061" s="2" t="s">
        <v>98</v>
      </c>
      <c r="AD1061" s="4"/>
      <c r="AE1061" s="4"/>
      <c r="AF1061" s="6">
        <v>63</v>
      </c>
      <c r="AG1061" s="6"/>
      <c r="AH1061" s="7">
        <v>1</v>
      </c>
      <c r="AI1061" s="4"/>
      <c r="AJ1061" s="4">
        <f>=ROUNDDOWN({0},0)</f>
      </c>
      <c r="AK1061" s="5"/>
      <c r="AL1061" s="2" t="s">
        <v>98</v>
      </c>
      <c r="AM1061" s="4"/>
      <c r="AN1061" s="4"/>
      <c r="AO1061" s="7">
        <v>0</v>
      </c>
      <c r="AP1061" s="4"/>
      <c r="AQ1061" s="8"/>
      <c r="AR1061" s="4"/>
      <c r="AS1061" s="8"/>
      <c r="AT1061" s="7"/>
      <c r="AU1061" s="7"/>
      <c r="AV1061" s="4"/>
      <c r="AW1061" s="8"/>
      <c r="AX1061" s="4"/>
      <c r="AY1061" s="8"/>
      <c r="AZ1061" s="7"/>
      <c r="BA1061" s="7"/>
      <c r="BB1061" s="7"/>
      <c r="BC1061" s="4" t="s">
        <v>98</v>
      </c>
      <c r="BD1061" s="8" t="s">
        <v>98</v>
      </c>
      <c r="BE1061" s="4" t="s">
        <v>98</v>
      </c>
      <c r="BF1061" s="8" t="s">
        <v>98</v>
      </c>
      <c r="BG1061" s="7" t="s">
        <v>98</v>
      </c>
      <c r="BH1061" s="7" t="s">
        <v>98</v>
      </c>
      <c r="BI1061" s="7"/>
      <c r="BJ1061" s="4">
        <v>7</v>
      </c>
      <c r="BK1061" s="8">
        <v>411.09</v>
      </c>
      <c r="BL1061" s="2" t="s">
        <v>1644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107</v>
      </c>
      <c r="BV1061" s="2" t="s">
        <v>95</v>
      </c>
      <c r="BW1061" s="2" t="s">
        <v>4635</v>
      </c>
      <c r="BX1061" s="2" t="s">
        <v>98</v>
      </c>
      <c r="BY1061" s="2" t="s">
        <v>110</v>
      </c>
      <c r="BZ1061" s="2" t="s">
        <v>98</v>
      </c>
    </row>
    <row r="1062">
      <c r="A1062" s="2" t="s">
        <v>4843</v>
      </c>
      <c r="B1062" s="2" t="s">
        <v>4584</v>
      </c>
      <c r="C1062" s="2" t="s">
        <v>4694</v>
      </c>
      <c r="D1062" s="2" t="s">
        <v>4832</v>
      </c>
      <c r="E1062" s="2" t="s">
        <v>4833</v>
      </c>
      <c r="F1062" s="2" t="s">
        <v>4702</v>
      </c>
      <c r="G1062" s="2" t="s">
        <v>4702</v>
      </c>
      <c r="H1062" s="2" t="s">
        <v>4702</v>
      </c>
      <c r="I1062" s="2" t="s">
        <v>4834</v>
      </c>
      <c r="J1062" s="2" t="s">
        <v>4844</v>
      </c>
      <c r="K1062" s="2" t="s">
        <v>4845</v>
      </c>
      <c r="L1062" s="3">
        <v>72</v>
      </c>
      <c r="M1062" s="3">
        <v>75.6</v>
      </c>
      <c r="N1062" s="3">
        <v>149.99</v>
      </c>
      <c r="O1062" s="2" t="s">
        <v>95</v>
      </c>
      <c r="P1062" s="2" t="s">
        <v>295</v>
      </c>
      <c r="Q1062" s="2" t="s">
        <v>97</v>
      </c>
      <c r="R1062" s="2" t="s">
        <v>98</v>
      </c>
      <c r="S1062" s="2" t="s">
        <v>98</v>
      </c>
      <c r="T1062" s="2" t="s">
        <v>98</v>
      </c>
      <c r="U1062" s="2" t="s">
        <v>117</v>
      </c>
      <c r="V1062" s="2" t="s">
        <v>296</v>
      </c>
      <c r="W1062" s="2" t="s">
        <v>103</v>
      </c>
      <c r="X1062" s="2" t="s">
        <v>204</v>
      </c>
      <c r="Y1062" s="2" t="s">
        <v>1632</v>
      </c>
      <c r="Z1062" s="4">
        <v>100</v>
      </c>
      <c r="AA1062" s="4">
        <f>=ROUNDDOWN({0},0)</f>
      </c>
      <c r="AB1062" s="5"/>
      <c r="AC1062" s="2" t="s">
        <v>98</v>
      </c>
      <c r="AD1062" s="4"/>
      <c r="AE1062" s="4"/>
      <c r="AF1062" s="6">
        <v>63</v>
      </c>
      <c r="AG1062" s="6"/>
      <c r="AH1062" s="7">
        <v>1</v>
      </c>
      <c r="AI1062" s="4"/>
      <c r="AJ1062" s="4">
        <f>=ROUNDDOWN({0},0)</f>
      </c>
      <c r="AK1062" s="5"/>
      <c r="AL1062" s="2" t="s">
        <v>98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 t="s">
        <v>98</v>
      </c>
      <c r="AW1062" s="8" t="s">
        <v>98</v>
      </c>
      <c r="AX1062" s="4" t="s">
        <v>98</v>
      </c>
      <c r="AY1062" s="8" t="s">
        <v>98</v>
      </c>
      <c r="AZ1062" s="7" t="s">
        <v>98</v>
      </c>
      <c r="BA1062" s="7" t="s">
        <v>98</v>
      </c>
      <c r="BB1062" s="7"/>
      <c r="BC1062" s="4" t="s">
        <v>98</v>
      </c>
      <c r="BD1062" s="8" t="s">
        <v>98</v>
      </c>
      <c r="BE1062" s="4" t="s">
        <v>98</v>
      </c>
      <c r="BF1062" s="8" t="s">
        <v>98</v>
      </c>
      <c r="BG1062" s="7" t="s">
        <v>98</v>
      </c>
      <c r="BH1062" s="7" t="s">
        <v>98</v>
      </c>
      <c r="BI1062" s="7"/>
      <c r="BJ1062" s="4"/>
      <c r="BK1062" s="8"/>
      <c r="BL1062" s="2" t="s">
        <v>98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324</v>
      </c>
      <c r="BV1062" s="2" t="s">
        <v>95</v>
      </c>
      <c r="BW1062" s="2" t="s">
        <v>98</v>
      </c>
      <c r="BX1062" s="2" t="s">
        <v>98</v>
      </c>
      <c r="BY1062" s="2" t="s">
        <v>110</v>
      </c>
      <c r="BZ1062" s="2" t="s">
        <v>98</v>
      </c>
    </row>
    <row r="1063">
      <c r="A1063" s="2" t="s">
        <v>4846</v>
      </c>
      <c r="B1063" s="2" t="s">
        <v>4584</v>
      </c>
      <c r="C1063" s="2" t="s">
        <v>4694</v>
      </c>
      <c r="D1063" s="2" t="s">
        <v>4832</v>
      </c>
      <c r="E1063" s="2" t="s">
        <v>4833</v>
      </c>
      <c r="F1063" s="2" t="s">
        <v>4702</v>
      </c>
      <c r="G1063" s="2" t="s">
        <v>4702</v>
      </c>
      <c r="H1063" s="2" t="s">
        <v>4702</v>
      </c>
      <c r="I1063" s="2" t="s">
        <v>4834</v>
      </c>
      <c r="J1063" s="2" t="s">
        <v>4835</v>
      </c>
      <c r="K1063" s="2" t="s">
        <v>4845</v>
      </c>
      <c r="L1063" s="3">
        <v>47.52</v>
      </c>
      <c r="M1063" s="3">
        <v>49.9</v>
      </c>
      <c r="N1063" s="3">
        <v>109.99</v>
      </c>
      <c r="O1063" s="2" t="s">
        <v>95</v>
      </c>
      <c r="P1063" s="2" t="s">
        <v>163</v>
      </c>
      <c r="Q1063" s="2" t="s">
        <v>97</v>
      </c>
      <c r="R1063" s="2" t="s">
        <v>98</v>
      </c>
      <c r="S1063" s="2" t="s">
        <v>4847</v>
      </c>
      <c r="T1063" s="2" t="s">
        <v>98</v>
      </c>
      <c r="U1063" s="2" t="s">
        <v>117</v>
      </c>
      <c r="V1063" s="2" t="s">
        <v>439</v>
      </c>
      <c r="W1063" s="2" t="s">
        <v>103</v>
      </c>
      <c r="X1063" s="2" t="s">
        <v>204</v>
      </c>
      <c r="Y1063" s="2" t="s">
        <v>3795</v>
      </c>
      <c r="Z1063" s="4">
        <v>1200</v>
      </c>
      <c r="AA1063" s="4">
        <f>=ROUNDDOWN(16,0)</f>
      </c>
      <c r="AB1063" s="5">
        <v>75</v>
      </c>
      <c r="AC1063" s="2" t="s">
        <v>1457</v>
      </c>
      <c r="AD1063" s="4">
        <v>400</v>
      </c>
      <c r="AE1063" s="4">
        <v>900</v>
      </c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98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 t="s">
        <v>98</v>
      </c>
      <c r="AW1063" s="8" t="s">
        <v>98</v>
      </c>
      <c r="AX1063" s="4" t="s">
        <v>98</v>
      </c>
      <c r="AY1063" s="8" t="s">
        <v>98</v>
      </c>
      <c r="AZ1063" s="7" t="s">
        <v>98</v>
      </c>
      <c r="BA1063" s="7" t="s">
        <v>98</v>
      </c>
      <c r="BB1063" s="7"/>
      <c r="BC1063" s="4" t="s">
        <v>98</v>
      </c>
      <c r="BD1063" s="8" t="s">
        <v>98</v>
      </c>
      <c r="BE1063" s="4" t="s">
        <v>98</v>
      </c>
      <c r="BF1063" s="8" t="s">
        <v>98</v>
      </c>
      <c r="BG1063" s="7" t="s">
        <v>98</v>
      </c>
      <c r="BH1063" s="7" t="s">
        <v>98</v>
      </c>
      <c r="BI1063" s="7"/>
      <c r="BJ1063" s="4">
        <v>95</v>
      </c>
      <c r="BK1063" s="8">
        <v>5010.51</v>
      </c>
      <c r="BL1063" s="2" t="s">
        <v>4848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107</v>
      </c>
      <c r="BV1063" s="2" t="s">
        <v>95</v>
      </c>
      <c r="BW1063" s="2" t="s">
        <v>4723</v>
      </c>
      <c r="BX1063" s="2" t="s">
        <v>4849</v>
      </c>
      <c r="BY1063" s="2" t="s">
        <v>110</v>
      </c>
      <c r="BZ1063" s="2" t="s">
        <v>98</v>
      </c>
    </row>
    <row r="1064">
      <c r="A1064" s="2" t="s">
        <v>4850</v>
      </c>
      <c r="B1064" s="2" t="s">
        <v>4584</v>
      </c>
      <c r="C1064" s="2" t="s">
        <v>4694</v>
      </c>
      <c r="D1064" s="2" t="s">
        <v>4832</v>
      </c>
      <c r="E1064" s="2" t="s">
        <v>4833</v>
      </c>
      <c r="F1064" s="2" t="s">
        <v>4702</v>
      </c>
      <c r="G1064" s="2" t="s">
        <v>4702</v>
      </c>
      <c r="H1064" s="2" t="s">
        <v>4702</v>
      </c>
      <c r="I1064" s="2" t="s">
        <v>4834</v>
      </c>
      <c r="J1064" s="2" t="s">
        <v>4835</v>
      </c>
      <c r="K1064" s="2" t="s">
        <v>4851</v>
      </c>
      <c r="L1064" s="3">
        <v>47.52</v>
      </c>
      <c r="M1064" s="3">
        <v>49.9</v>
      </c>
      <c r="N1064" s="3">
        <v>109.99</v>
      </c>
      <c r="O1064" s="2" t="s">
        <v>95</v>
      </c>
      <c r="P1064" s="2" t="s">
        <v>96</v>
      </c>
      <c r="Q1064" s="2" t="s">
        <v>97</v>
      </c>
      <c r="R1064" s="2" t="s">
        <v>98</v>
      </c>
      <c r="S1064" s="2" t="s">
        <v>98</v>
      </c>
      <c r="T1064" s="2" t="s">
        <v>98</v>
      </c>
      <c r="U1064" s="2" t="s">
        <v>117</v>
      </c>
      <c r="V1064" s="2" t="s">
        <v>296</v>
      </c>
      <c r="W1064" s="2" t="s">
        <v>103</v>
      </c>
      <c r="X1064" s="2" t="s">
        <v>204</v>
      </c>
      <c r="Y1064" s="2" t="s">
        <v>4818</v>
      </c>
      <c r="Z1064" s="4">
        <v>367</v>
      </c>
      <c r="AA1064" s="4">
        <f>=ROUNDDOWN(24.4666666666667,0)</f>
      </c>
      <c r="AB1064" s="5">
        <v>15</v>
      </c>
      <c r="AC1064" s="2" t="s">
        <v>98</v>
      </c>
      <c r="AD1064" s="4"/>
      <c r="AE1064" s="4"/>
      <c r="AF1064" s="6">
        <v>65</v>
      </c>
      <c r="AG1064" s="6"/>
      <c r="AH1064" s="7">
        <v>1</v>
      </c>
      <c r="AI1064" s="4"/>
      <c r="AJ1064" s="4">
        <f>=ROUNDDOWN({0},0)</f>
      </c>
      <c r="AK1064" s="5"/>
      <c r="AL1064" s="2" t="s">
        <v>98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/>
      <c r="AW1064" s="8"/>
      <c r="AX1064" s="4"/>
      <c r="AY1064" s="8"/>
      <c r="AZ1064" s="7"/>
      <c r="BA1064" s="7"/>
      <c r="BB1064" s="7"/>
      <c r="BC1064" s="4" t="s">
        <v>98</v>
      </c>
      <c r="BD1064" s="8" t="s">
        <v>98</v>
      </c>
      <c r="BE1064" s="4" t="s">
        <v>98</v>
      </c>
      <c r="BF1064" s="8" t="s">
        <v>98</v>
      </c>
      <c r="BG1064" s="7" t="s">
        <v>98</v>
      </c>
      <c r="BH1064" s="7" t="s">
        <v>98</v>
      </c>
      <c r="BI1064" s="7"/>
      <c r="BJ1064" s="4">
        <v>5</v>
      </c>
      <c r="BK1064" s="8">
        <v>303.6</v>
      </c>
      <c r="BL1064" s="2" t="s">
        <v>4852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107</v>
      </c>
      <c r="BV1064" s="2" t="s">
        <v>95</v>
      </c>
      <c r="BW1064" s="2" t="s">
        <v>4613</v>
      </c>
      <c r="BX1064" s="2" t="s">
        <v>98</v>
      </c>
      <c r="BY1064" s="2" t="s">
        <v>110</v>
      </c>
      <c r="BZ1064" s="2" t="s">
        <v>98</v>
      </c>
    </row>
    <row r="1065">
      <c r="A1065" s="2" t="s">
        <v>4853</v>
      </c>
      <c r="B1065" s="2" t="s">
        <v>4584</v>
      </c>
      <c r="C1065" s="2" t="s">
        <v>4694</v>
      </c>
      <c r="D1065" s="2" t="s">
        <v>4832</v>
      </c>
      <c r="E1065" s="2" t="s">
        <v>4833</v>
      </c>
      <c r="F1065" s="2" t="s">
        <v>4854</v>
      </c>
      <c r="G1065" s="2" t="s">
        <v>4854</v>
      </c>
      <c r="H1065" s="2" t="s">
        <v>4854</v>
      </c>
      <c r="I1065" s="2" t="s">
        <v>4855</v>
      </c>
      <c r="J1065" s="2" t="s">
        <v>93</v>
      </c>
      <c r="K1065" s="2" t="s">
        <v>4856</v>
      </c>
      <c r="L1065" s="3">
        <v>39.9</v>
      </c>
      <c r="M1065" s="3">
        <v>41.9</v>
      </c>
      <c r="N1065" s="3">
        <v>84.99</v>
      </c>
      <c r="O1065" s="2" t="s">
        <v>95</v>
      </c>
      <c r="P1065" s="2" t="s">
        <v>115</v>
      </c>
      <c r="Q1065" s="2" t="s">
        <v>97</v>
      </c>
      <c r="R1065" s="2" t="s">
        <v>98</v>
      </c>
      <c r="S1065" s="2" t="s">
        <v>98</v>
      </c>
      <c r="T1065" s="2" t="s">
        <v>98</v>
      </c>
      <c r="U1065" s="2" t="s">
        <v>117</v>
      </c>
      <c r="V1065" s="2" t="s">
        <v>296</v>
      </c>
      <c r="W1065" s="2" t="s">
        <v>204</v>
      </c>
      <c r="X1065" s="2" t="s">
        <v>98</v>
      </c>
      <c r="Y1065" s="2" t="s">
        <v>4803</v>
      </c>
      <c r="Z1065" s="4">
        <v>171</v>
      </c>
      <c r="AA1065" s="4">
        <f>=ROUNDDOWN(570,0)</f>
      </c>
      <c r="AB1065" s="5">
        <v>0.3</v>
      </c>
      <c r="AC1065" s="2" t="s">
        <v>98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98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/>
      <c r="BD1065" s="8"/>
      <c r="BE1065" s="4"/>
      <c r="BF1065" s="8"/>
      <c r="BG1065" s="7"/>
      <c r="BH1065" s="7"/>
      <c r="BI1065" s="7"/>
      <c r="BJ1065" s="4"/>
      <c r="BK1065" s="8"/>
      <c r="BL1065" s="2" t="s">
        <v>2662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107</v>
      </c>
      <c r="BV1065" s="2" t="s">
        <v>95</v>
      </c>
      <c r="BW1065" s="2" t="s">
        <v>4635</v>
      </c>
      <c r="BX1065" s="2" t="s">
        <v>98</v>
      </c>
      <c r="BY1065" s="2" t="s">
        <v>110</v>
      </c>
      <c r="BZ1065" s="2" t="s">
        <v>98</v>
      </c>
    </row>
    <row r="1066">
      <c r="A1066" s="2" t="s">
        <v>4857</v>
      </c>
      <c r="B1066" s="2" t="s">
        <v>4584</v>
      </c>
      <c r="C1066" s="2" t="s">
        <v>4694</v>
      </c>
      <c r="D1066" s="2" t="s">
        <v>4858</v>
      </c>
      <c r="E1066" s="2" t="s">
        <v>4859</v>
      </c>
      <c r="F1066" s="2" t="s">
        <v>1531</v>
      </c>
      <c r="G1066" s="2" t="s">
        <v>1531</v>
      </c>
      <c r="H1066" s="2" t="s">
        <v>1531</v>
      </c>
      <c r="I1066" s="2" t="s">
        <v>4860</v>
      </c>
      <c r="J1066" s="2" t="s">
        <v>93</v>
      </c>
      <c r="K1066" s="2" t="s">
        <v>294</v>
      </c>
      <c r="L1066" s="3">
        <v>74.1</v>
      </c>
      <c r="M1066" s="3">
        <v>77.8</v>
      </c>
      <c r="N1066" s="3">
        <v>164.99</v>
      </c>
      <c r="O1066" s="2" t="s">
        <v>95</v>
      </c>
      <c r="P1066" s="2" t="s">
        <v>134</v>
      </c>
      <c r="Q1066" s="2" t="s">
        <v>97</v>
      </c>
      <c r="R1066" s="2" t="s">
        <v>98</v>
      </c>
      <c r="S1066" s="2" t="s">
        <v>98</v>
      </c>
      <c r="T1066" s="2" t="s">
        <v>98</v>
      </c>
      <c r="U1066" s="2" t="s">
        <v>100</v>
      </c>
      <c r="V1066" s="2" t="s">
        <v>296</v>
      </c>
      <c r="W1066" s="2" t="s">
        <v>314</v>
      </c>
      <c r="X1066" s="2" t="s">
        <v>103</v>
      </c>
      <c r="Y1066" s="2" t="s">
        <v>4861</v>
      </c>
      <c r="Z1066" s="4">
        <v>102</v>
      </c>
      <c r="AA1066" s="4">
        <f>=ROUNDDOWN(51,0)</f>
      </c>
      <c r="AB1066" s="5">
        <v>2</v>
      </c>
      <c r="AC1066" s="2" t="s">
        <v>98</v>
      </c>
      <c r="AD1066" s="4"/>
      <c r="AE1066" s="4"/>
      <c r="AF1066" s="6">
        <v>63</v>
      </c>
      <c r="AG1066" s="6"/>
      <c r="AH1066" s="7">
        <v>1</v>
      </c>
      <c r="AI1066" s="4"/>
      <c r="AJ1066" s="4">
        <f>=ROUNDDOWN({0},0)</f>
      </c>
      <c r="AK1066" s="5"/>
      <c r="AL1066" s="2" t="s">
        <v>98</v>
      </c>
      <c r="AM1066" s="4"/>
      <c r="AN1066" s="4"/>
      <c r="AO1066" s="7">
        <v>0</v>
      </c>
      <c r="AP1066" s="4"/>
      <c r="AQ1066" s="8"/>
      <c r="AR1066" s="4"/>
      <c r="AS1066" s="8"/>
      <c r="AT1066" s="7"/>
      <c r="AU1066" s="7"/>
      <c r="AV1066" s="4"/>
      <c r="AW1066" s="8"/>
      <c r="AX1066" s="4"/>
      <c r="AY1066" s="8"/>
      <c r="AZ1066" s="7"/>
      <c r="BA1066" s="7"/>
      <c r="BB1066" s="7"/>
      <c r="BC1066" s="4"/>
      <c r="BD1066" s="8"/>
      <c r="BE1066" s="4"/>
      <c r="BF1066" s="8"/>
      <c r="BG1066" s="7"/>
      <c r="BH1066" s="7"/>
      <c r="BI1066" s="7"/>
      <c r="BJ1066" s="4">
        <v>3</v>
      </c>
      <c r="BK1066" s="8">
        <v>229.54</v>
      </c>
      <c r="BL1066" s="2" t="s">
        <v>651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107</v>
      </c>
      <c r="BV1066" s="2" t="s">
        <v>95</v>
      </c>
      <c r="BW1066" s="2" t="s">
        <v>4635</v>
      </c>
      <c r="BX1066" s="2" t="s">
        <v>4862</v>
      </c>
      <c r="BY1066" s="2" t="s">
        <v>110</v>
      </c>
      <c r="BZ1066" s="2" t="s">
        <v>98</v>
      </c>
    </row>
    <row r="1067">
      <c r="A1067" s="2" t="s">
        <v>4863</v>
      </c>
      <c r="B1067" s="2" t="s">
        <v>4584</v>
      </c>
      <c r="C1067" s="2" t="s">
        <v>4694</v>
      </c>
      <c r="D1067" s="2" t="s">
        <v>4858</v>
      </c>
      <c r="E1067" s="2" t="s">
        <v>4859</v>
      </c>
      <c r="F1067" s="2" t="s">
        <v>4864</v>
      </c>
      <c r="G1067" s="2" t="s">
        <v>4864</v>
      </c>
      <c r="H1067" s="2" t="s">
        <v>4864</v>
      </c>
      <c r="I1067" s="2" t="s">
        <v>4865</v>
      </c>
      <c r="J1067" s="2" t="s">
        <v>93</v>
      </c>
      <c r="K1067" s="2" t="s">
        <v>4866</v>
      </c>
      <c r="L1067" s="3">
        <v>48</v>
      </c>
      <c r="M1067" s="3">
        <v>50.4</v>
      </c>
      <c r="N1067" s="3">
        <v>99.99</v>
      </c>
      <c r="O1067" s="2" t="s">
        <v>95</v>
      </c>
      <c r="P1067" s="2" t="s">
        <v>134</v>
      </c>
      <c r="Q1067" s="2" t="s">
        <v>97</v>
      </c>
      <c r="R1067" s="2" t="s">
        <v>98</v>
      </c>
      <c r="S1067" s="2" t="s">
        <v>98</v>
      </c>
      <c r="T1067" s="2" t="s">
        <v>98</v>
      </c>
      <c r="U1067" s="2" t="s">
        <v>117</v>
      </c>
      <c r="V1067" s="2" t="s">
        <v>296</v>
      </c>
      <c r="W1067" s="2" t="s">
        <v>297</v>
      </c>
      <c r="X1067" s="2" t="s">
        <v>98</v>
      </c>
      <c r="Y1067" s="2" t="s">
        <v>4867</v>
      </c>
      <c r="Z1067" s="4">
        <v>101</v>
      </c>
      <c r="AA1067" s="4">
        <f>=ROUNDDOWN(16.8333333333333,0)</f>
      </c>
      <c r="AB1067" s="5">
        <v>6</v>
      </c>
      <c r="AC1067" s="2" t="s">
        <v>98</v>
      </c>
      <c r="AD1067" s="4"/>
      <c r="AE1067" s="4"/>
      <c r="AF1067" s="6">
        <v>63</v>
      </c>
      <c r="AG1067" s="6"/>
      <c r="AH1067" s="7">
        <v>0.2857</v>
      </c>
      <c r="AI1067" s="4"/>
      <c r="AJ1067" s="4">
        <f>=ROUNDDOWN({0},0)</f>
      </c>
      <c r="AK1067" s="5"/>
      <c r="AL1067" s="2" t="s">
        <v>98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/>
      <c r="AW1067" s="8"/>
      <c r="AX1067" s="4"/>
      <c r="AY1067" s="8"/>
      <c r="AZ1067" s="7"/>
      <c r="BA1067" s="7"/>
      <c r="BB1067" s="7"/>
      <c r="BC1067" s="4"/>
      <c r="BD1067" s="8"/>
      <c r="BE1067" s="4"/>
      <c r="BF1067" s="8"/>
      <c r="BG1067" s="7"/>
      <c r="BH1067" s="7"/>
      <c r="BI1067" s="7"/>
      <c r="BJ1067" s="4"/>
      <c r="BK1067" s="8"/>
      <c r="BL1067" s="2" t="s">
        <v>98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107</v>
      </c>
      <c r="BV1067" s="2" t="s">
        <v>95</v>
      </c>
      <c r="BW1067" s="2" t="s">
        <v>532</v>
      </c>
      <c r="BX1067" s="2" t="s">
        <v>98</v>
      </c>
      <c r="BY1067" s="2" t="s">
        <v>110</v>
      </c>
      <c r="BZ1067" s="2" t="s">
        <v>98</v>
      </c>
    </row>
    <row r="1068">
      <c r="A1068" s="2" t="s">
        <v>4868</v>
      </c>
      <c r="B1068" s="2" t="s">
        <v>4584</v>
      </c>
      <c r="C1068" s="2" t="s">
        <v>4694</v>
      </c>
      <c r="D1068" s="2" t="s">
        <v>4858</v>
      </c>
      <c r="E1068" s="2" t="s">
        <v>4859</v>
      </c>
      <c r="F1068" s="2" t="s">
        <v>4869</v>
      </c>
      <c r="G1068" s="2" t="s">
        <v>4869</v>
      </c>
      <c r="H1068" s="2" t="s">
        <v>4869</v>
      </c>
      <c r="I1068" s="2" t="s">
        <v>4870</v>
      </c>
      <c r="J1068" s="2" t="s">
        <v>93</v>
      </c>
      <c r="K1068" s="2" t="s">
        <v>4681</v>
      </c>
      <c r="L1068" s="3">
        <v>45</v>
      </c>
      <c r="M1068" s="3">
        <v>47.25</v>
      </c>
      <c r="N1068" s="3">
        <v>94.99</v>
      </c>
      <c r="O1068" s="2" t="s">
        <v>95</v>
      </c>
      <c r="P1068" s="2" t="s">
        <v>411</v>
      </c>
      <c r="Q1068" s="2" t="s">
        <v>97</v>
      </c>
      <c r="R1068" s="2" t="s">
        <v>98</v>
      </c>
      <c r="S1068" s="2" t="s">
        <v>98</v>
      </c>
      <c r="T1068" s="2" t="s">
        <v>98</v>
      </c>
      <c r="U1068" s="2" t="s">
        <v>117</v>
      </c>
      <c r="V1068" s="2" t="s">
        <v>296</v>
      </c>
      <c r="W1068" s="2" t="s">
        <v>314</v>
      </c>
      <c r="X1068" s="2" t="s">
        <v>297</v>
      </c>
      <c r="Y1068" s="2" t="s">
        <v>98</v>
      </c>
      <c r="Z1068" s="4"/>
      <c r="AA1068" s="4">
        <f>=ROUNDDOWN({0},0)</f>
      </c>
      <c r="AB1068" s="5"/>
      <c r="AC1068" s="2" t="s">
        <v>98</v>
      </c>
      <c r="AD1068" s="4"/>
      <c r="AE1068" s="4"/>
      <c r="AF1068" s="6">
        <v>65</v>
      </c>
      <c r="AG1068" s="6"/>
      <c r="AH1068" s="7">
        <v>0</v>
      </c>
      <c r="AI1068" s="4"/>
      <c r="AJ1068" s="4">
        <f>=ROUNDDOWN({0},0)</f>
      </c>
      <c r="AK1068" s="5"/>
      <c r="AL1068" s="2" t="s">
        <v>98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/>
      <c r="AW1068" s="8"/>
      <c r="AX1068" s="4"/>
      <c r="AY1068" s="8"/>
      <c r="AZ1068" s="7"/>
      <c r="BA1068" s="7"/>
      <c r="BB1068" s="7"/>
      <c r="BC1068" s="4"/>
      <c r="BD1068" s="8"/>
      <c r="BE1068" s="4"/>
      <c r="BF1068" s="8"/>
      <c r="BG1068" s="7"/>
      <c r="BH1068" s="7"/>
      <c r="BI1068" s="7"/>
      <c r="BJ1068" s="4"/>
      <c r="BK1068" s="8"/>
      <c r="BL1068" s="2" t="s">
        <v>98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324</v>
      </c>
      <c r="BV1068" s="2" t="s">
        <v>95</v>
      </c>
      <c r="BW1068" s="2" t="s">
        <v>98</v>
      </c>
      <c r="BX1068" s="2" t="s">
        <v>98</v>
      </c>
      <c r="BY1068" s="2" t="s">
        <v>110</v>
      </c>
      <c r="BZ1068" s="2" t="s">
        <v>98</v>
      </c>
    </row>
    <row r="1069">
      <c r="A1069" s="2" t="s">
        <v>4871</v>
      </c>
      <c r="B1069" s="2" t="s">
        <v>4584</v>
      </c>
      <c r="C1069" s="2" t="s">
        <v>952</v>
      </c>
      <c r="D1069" s="2" t="s">
        <v>4585</v>
      </c>
      <c r="E1069" s="2" t="s">
        <v>4586</v>
      </c>
      <c r="F1069" s="2" t="s">
        <v>4872</v>
      </c>
      <c r="G1069" s="2" t="s">
        <v>4872</v>
      </c>
      <c r="H1069" s="2" t="s">
        <v>4872</v>
      </c>
      <c r="I1069" s="2" t="s">
        <v>4661</v>
      </c>
      <c r="J1069" s="2" t="s">
        <v>93</v>
      </c>
      <c r="K1069" s="2" t="s">
        <v>277</v>
      </c>
      <c r="L1069" s="3">
        <v>40.38</v>
      </c>
      <c r="M1069" s="3">
        <v>42.4</v>
      </c>
      <c r="N1069" s="3">
        <v>89.99</v>
      </c>
      <c r="O1069" s="2" t="s">
        <v>95</v>
      </c>
      <c r="P1069" s="2" t="s">
        <v>134</v>
      </c>
      <c r="Q1069" s="2" t="s">
        <v>97</v>
      </c>
      <c r="R1069" s="2" t="s">
        <v>98</v>
      </c>
      <c r="S1069" s="2" t="s">
        <v>98</v>
      </c>
      <c r="T1069" s="2" t="s">
        <v>98</v>
      </c>
      <c r="U1069" s="2" t="s">
        <v>117</v>
      </c>
      <c r="V1069" s="2" t="s">
        <v>296</v>
      </c>
      <c r="W1069" s="2" t="s">
        <v>102</v>
      </c>
      <c r="X1069" s="2" t="s">
        <v>98</v>
      </c>
      <c r="Y1069" s="2" t="s">
        <v>4617</v>
      </c>
      <c r="Z1069" s="4">
        <v>82</v>
      </c>
      <c r="AA1069" s="4">
        <f>=ROUNDDOWN(34.1666666666667,0)</f>
      </c>
      <c r="AB1069" s="5">
        <v>2.4</v>
      </c>
      <c r="AC1069" s="2" t="s">
        <v>222</v>
      </c>
      <c r="AD1069" s="4">
        <v>100</v>
      </c>
      <c r="AE1069" s="4">
        <v>100</v>
      </c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98</v>
      </c>
      <c r="AM1069" s="4"/>
      <c r="AN1069" s="4"/>
      <c r="AO1069" s="7">
        <v>0</v>
      </c>
      <c r="AP1069" s="4">
        <v>2</v>
      </c>
      <c r="AQ1069" s="8">
        <v>97.02</v>
      </c>
      <c r="AR1069" s="4"/>
      <c r="AS1069" s="8"/>
      <c r="AT1069" s="7"/>
      <c r="AU1069" s="7"/>
      <c r="AV1069" s="4">
        <v>2</v>
      </c>
      <c r="AW1069" s="8">
        <v>97.02</v>
      </c>
      <c r="AX1069" s="4"/>
      <c r="AY1069" s="8"/>
      <c r="AZ1069" s="7"/>
      <c r="BA1069" s="7"/>
      <c r="BB1069" s="7">
        <v>1</v>
      </c>
      <c r="BC1069" s="4">
        <v>2</v>
      </c>
      <c r="BD1069" s="8">
        <v>97.02</v>
      </c>
      <c r="BE1069" s="4"/>
      <c r="BF1069" s="8"/>
      <c r="BG1069" s="7"/>
      <c r="BH1069" s="7"/>
      <c r="BI1069" s="7">
        <v>1</v>
      </c>
      <c r="BJ1069" s="4">
        <v>4</v>
      </c>
      <c r="BK1069" s="8">
        <v>188.6</v>
      </c>
      <c r="BL1069" s="2" t="s">
        <v>4873</v>
      </c>
      <c r="BM1069" s="7">
        <v>0.5</v>
      </c>
      <c r="BN1069" s="7">
        <v>0.5144</v>
      </c>
      <c r="BO1069" s="4">
        <v>2</v>
      </c>
      <c r="BP1069" s="8">
        <v>97.02</v>
      </c>
      <c r="BQ1069" s="4"/>
      <c r="BR1069" s="8"/>
      <c r="BS1069" s="7"/>
      <c r="BT1069" s="7"/>
      <c r="BU1069" s="2" t="s">
        <v>107</v>
      </c>
      <c r="BV1069" s="2" t="s">
        <v>95</v>
      </c>
      <c r="BW1069" s="2" t="s">
        <v>4308</v>
      </c>
      <c r="BX1069" s="2" t="s">
        <v>4228</v>
      </c>
      <c r="BY1069" s="2" t="s">
        <v>110</v>
      </c>
      <c r="BZ1069" s="2" t="s">
        <v>98</v>
      </c>
    </row>
    <row r="1070">
      <c r="A1070" s="2" t="s">
        <v>4874</v>
      </c>
      <c r="B1070" s="2" t="s">
        <v>4584</v>
      </c>
      <c r="C1070" s="2" t="s">
        <v>952</v>
      </c>
      <c r="D1070" s="2" t="s">
        <v>4585</v>
      </c>
      <c r="E1070" s="2" t="s">
        <v>4586</v>
      </c>
      <c r="F1070" s="2" t="s">
        <v>4875</v>
      </c>
      <c r="G1070" s="2" t="s">
        <v>4875</v>
      </c>
      <c r="H1070" s="2" t="s">
        <v>4875</v>
      </c>
      <c r="I1070" s="2" t="s">
        <v>4876</v>
      </c>
      <c r="J1070" s="2" t="s">
        <v>93</v>
      </c>
      <c r="K1070" s="2" t="s">
        <v>174</v>
      </c>
      <c r="L1070" s="3">
        <v>46.17</v>
      </c>
      <c r="M1070" s="3">
        <v>48.48</v>
      </c>
      <c r="N1070" s="3">
        <v>104.99</v>
      </c>
      <c r="O1070" s="2" t="s">
        <v>95</v>
      </c>
      <c r="P1070" s="2" t="s">
        <v>134</v>
      </c>
      <c r="Q1070" s="2" t="s">
        <v>97</v>
      </c>
      <c r="R1070" s="2" t="s">
        <v>98</v>
      </c>
      <c r="S1070" s="2" t="s">
        <v>98</v>
      </c>
      <c r="T1070" s="2" t="s">
        <v>98</v>
      </c>
      <c r="U1070" s="2" t="s">
        <v>117</v>
      </c>
      <c r="V1070" s="2" t="s">
        <v>296</v>
      </c>
      <c r="W1070" s="2" t="s">
        <v>102</v>
      </c>
      <c r="X1070" s="2" t="s">
        <v>98</v>
      </c>
      <c r="Y1070" s="2" t="s">
        <v>4877</v>
      </c>
      <c r="Z1070" s="4">
        <v>18</v>
      </c>
      <c r="AA1070" s="4">
        <f>=ROUNDDOWN(3.6,0)</f>
      </c>
      <c r="AB1070" s="5">
        <v>5</v>
      </c>
      <c r="AC1070" s="2" t="s">
        <v>323</v>
      </c>
      <c r="AD1070" s="4">
        <v>100</v>
      </c>
      <c r="AE1070" s="4">
        <v>100</v>
      </c>
      <c r="AF1070" s="6">
        <v>65</v>
      </c>
      <c r="AG1070" s="6"/>
      <c r="AH1070" s="7">
        <v>1</v>
      </c>
      <c r="AI1070" s="4"/>
      <c r="AJ1070" s="4">
        <f>=ROUNDDOWN({0},0)</f>
      </c>
      <c r="AK1070" s="5"/>
      <c r="AL1070" s="2" t="s">
        <v>98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/>
      <c r="BD1070" s="8"/>
      <c r="BE1070" s="4"/>
      <c r="BF1070" s="8"/>
      <c r="BG1070" s="7"/>
      <c r="BH1070" s="7"/>
      <c r="BI1070" s="7"/>
      <c r="BJ1070" s="4"/>
      <c r="BK1070" s="8"/>
      <c r="BL1070" s="2" t="s">
        <v>98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107</v>
      </c>
      <c r="BV1070" s="2" t="s">
        <v>95</v>
      </c>
      <c r="BW1070" s="2" t="s">
        <v>4308</v>
      </c>
      <c r="BX1070" s="2" t="s">
        <v>98</v>
      </c>
      <c r="BY1070" s="2" t="s">
        <v>110</v>
      </c>
      <c r="BZ1070" s="2" t="s">
        <v>98</v>
      </c>
    </row>
    <row r="1071">
      <c r="A1071" s="2" t="s">
        <v>4878</v>
      </c>
      <c r="B1071" s="2" t="s">
        <v>4584</v>
      </c>
      <c r="C1071" s="2" t="s">
        <v>952</v>
      </c>
      <c r="D1071" s="2" t="s">
        <v>4585</v>
      </c>
      <c r="E1071" s="2" t="s">
        <v>4586</v>
      </c>
      <c r="F1071" s="2" t="s">
        <v>4879</v>
      </c>
      <c r="G1071" s="2" t="s">
        <v>4879</v>
      </c>
      <c r="H1071" s="2" t="s">
        <v>4879</v>
      </c>
      <c r="I1071" s="2" t="s">
        <v>4880</v>
      </c>
      <c r="J1071" s="2" t="s">
        <v>93</v>
      </c>
      <c r="K1071" s="2" t="s">
        <v>1439</v>
      </c>
      <c r="L1071" s="3">
        <v>24.5</v>
      </c>
      <c r="M1071" s="3">
        <v>25.73</v>
      </c>
      <c r="N1071" s="3">
        <v>49.99</v>
      </c>
      <c r="O1071" s="2" t="s">
        <v>95</v>
      </c>
      <c r="P1071" s="2" t="s">
        <v>411</v>
      </c>
      <c r="Q1071" s="2" t="s">
        <v>97</v>
      </c>
      <c r="R1071" s="2" t="s">
        <v>98</v>
      </c>
      <c r="S1071" s="2" t="s">
        <v>98</v>
      </c>
      <c r="T1071" s="2" t="s">
        <v>98</v>
      </c>
      <c r="U1071" s="2" t="s">
        <v>117</v>
      </c>
      <c r="V1071" s="2" t="s">
        <v>296</v>
      </c>
      <c r="W1071" s="2" t="s">
        <v>119</v>
      </c>
      <c r="X1071" s="2" t="s">
        <v>102</v>
      </c>
      <c r="Y1071" s="2" t="s">
        <v>98</v>
      </c>
      <c r="Z1071" s="4"/>
      <c r="AA1071" s="4">
        <f>=ROUNDDOWN({0},0)</f>
      </c>
      <c r="AB1071" s="5"/>
      <c r="AC1071" s="2" t="s">
        <v>194</v>
      </c>
      <c r="AD1071" s="4">
        <v>100</v>
      </c>
      <c r="AE1071" s="4">
        <v>100</v>
      </c>
      <c r="AF1071" s="6">
        <v>65</v>
      </c>
      <c r="AG1071" s="6"/>
      <c r="AH1071" s="7">
        <v>0</v>
      </c>
      <c r="AI1071" s="4"/>
      <c r="AJ1071" s="4">
        <f>=ROUNDDOWN({0},0)</f>
      </c>
      <c r="AK1071" s="5"/>
      <c r="AL1071" s="2" t="s">
        <v>98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/>
      <c r="BD1071" s="8"/>
      <c r="BE1071" s="4"/>
      <c r="BF1071" s="8"/>
      <c r="BG1071" s="7"/>
      <c r="BH1071" s="7"/>
      <c r="BI1071" s="7"/>
      <c r="BJ1071" s="4"/>
      <c r="BK1071" s="8"/>
      <c r="BL1071" s="2" t="s">
        <v>98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324</v>
      </c>
      <c r="BV1071" s="2" t="s">
        <v>95</v>
      </c>
      <c r="BW1071" s="2" t="s">
        <v>98</v>
      </c>
      <c r="BX1071" s="2" t="s">
        <v>98</v>
      </c>
      <c r="BY1071" s="2" t="s">
        <v>110</v>
      </c>
      <c r="BZ1071" s="2" t="s">
        <v>98</v>
      </c>
    </row>
    <row r="1072">
      <c r="A1072" s="2" t="s">
        <v>4881</v>
      </c>
      <c r="B1072" s="2" t="s">
        <v>4584</v>
      </c>
      <c r="C1072" s="2" t="s">
        <v>952</v>
      </c>
      <c r="D1072" s="2" t="s">
        <v>4585</v>
      </c>
      <c r="E1072" s="2" t="s">
        <v>4586</v>
      </c>
      <c r="F1072" s="2" t="s">
        <v>4882</v>
      </c>
      <c r="G1072" s="2" t="s">
        <v>4882</v>
      </c>
      <c r="H1072" s="2" t="s">
        <v>4882</v>
      </c>
      <c r="I1072" s="2" t="s">
        <v>4883</v>
      </c>
      <c r="J1072" s="2" t="s">
        <v>93</v>
      </c>
      <c r="K1072" s="2" t="s">
        <v>1439</v>
      </c>
      <c r="L1072" s="3">
        <v>45.25</v>
      </c>
      <c r="M1072" s="3">
        <v>47.51</v>
      </c>
      <c r="N1072" s="3">
        <v>99.99</v>
      </c>
      <c r="O1072" s="2" t="s">
        <v>95</v>
      </c>
      <c r="P1072" s="2" t="s">
        <v>134</v>
      </c>
      <c r="Q1072" s="2" t="s">
        <v>97</v>
      </c>
      <c r="R1072" s="2" t="s">
        <v>98</v>
      </c>
      <c r="S1072" s="2" t="s">
        <v>98</v>
      </c>
      <c r="T1072" s="2" t="s">
        <v>98</v>
      </c>
      <c r="U1072" s="2" t="s">
        <v>117</v>
      </c>
      <c r="V1072" s="2" t="s">
        <v>296</v>
      </c>
      <c r="W1072" s="2" t="s">
        <v>102</v>
      </c>
      <c r="X1072" s="2" t="s">
        <v>98</v>
      </c>
      <c r="Y1072" s="2" t="s">
        <v>4617</v>
      </c>
      <c r="Z1072" s="4">
        <v>76</v>
      </c>
      <c r="AA1072" s="4">
        <f>=ROUNDDOWN(10.8571428571429,0)</f>
      </c>
      <c r="AB1072" s="5">
        <v>7</v>
      </c>
      <c r="AC1072" s="2" t="s">
        <v>4598</v>
      </c>
      <c r="AD1072" s="4">
        <v>100</v>
      </c>
      <c r="AE1072" s="4">
        <v>100</v>
      </c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98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/>
      <c r="BD1072" s="8"/>
      <c r="BE1072" s="4"/>
      <c r="BF1072" s="8"/>
      <c r="BG1072" s="7"/>
      <c r="BH1072" s="7"/>
      <c r="BI1072" s="7"/>
      <c r="BJ1072" s="4">
        <v>1</v>
      </c>
      <c r="BK1072" s="8">
        <v>56.6</v>
      </c>
      <c r="BL1072" s="2" t="s">
        <v>931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107</v>
      </c>
      <c r="BV1072" s="2" t="s">
        <v>95</v>
      </c>
      <c r="BW1072" s="2" t="s">
        <v>4308</v>
      </c>
      <c r="BX1072" s="2" t="s">
        <v>1151</v>
      </c>
      <c r="BY1072" s="2" t="s">
        <v>110</v>
      </c>
      <c r="BZ1072" s="2" t="s">
        <v>98</v>
      </c>
    </row>
    <row r="1073">
      <c r="A1073" s="2" t="s">
        <v>4884</v>
      </c>
      <c r="B1073" s="2" t="s">
        <v>4584</v>
      </c>
      <c r="C1073" s="2" t="s">
        <v>952</v>
      </c>
      <c r="D1073" s="2" t="s">
        <v>4585</v>
      </c>
      <c r="E1073" s="2" t="s">
        <v>4586</v>
      </c>
      <c r="F1073" s="2" t="s">
        <v>4885</v>
      </c>
      <c r="G1073" s="2" t="s">
        <v>4885</v>
      </c>
      <c r="H1073" s="2" t="s">
        <v>4885</v>
      </c>
      <c r="I1073" s="2" t="s">
        <v>4886</v>
      </c>
      <c r="J1073" s="2" t="s">
        <v>93</v>
      </c>
      <c r="K1073" s="2" t="s">
        <v>219</v>
      </c>
      <c r="L1073" s="3">
        <v>52.65</v>
      </c>
      <c r="M1073" s="3">
        <v>55.28</v>
      </c>
      <c r="N1073" s="3">
        <v>124.99</v>
      </c>
      <c r="O1073" s="2" t="s">
        <v>95</v>
      </c>
      <c r="P1073" s="2" t="s">
        <v>142</v>
      </c>
      <c r="Q1073" s="2" t="s">
        <v>97</v>
      </c>
      <c r="R1073" s="2" t="s">
        <v>98</v>
      </c>
      <c r="S1073" s="2" t="s">
        <v>98</v>
      </c>
      <c r="T1073" s="2" t="s">
        <v>98</v>
      </c>
      <c r="U1073" s="2" t="s">
        <v>117</v>
      </c>
      <c r="V1073" s="2" t="s">
        <v>296</v>
      </c>
      <c r="W1073" s="2" t="s">
        <v>963</v>
      </c>
      <c r="X1073" s="2" t="s">
        <v>98</v>
      </c>
      <c r="Y1073" s="2" t="s">
        <v>4692</v>
      </c>
      <c r="Z1073" s="4">
        <v>52</v>
      </c>
      <c r="AA1073" s="4">
        <f>=ROUNDDOWN(17.3333333333333,0)</f>
      </c>
      <c r="AB1073" s="5">
        <v>3</v>
      </c>
      <c r="AC1073" s="2" t="s">
        <v>98</v>
      </c>
      <c r="AD1073" s="4"/>
      <c r="AE1073" s="4"/>
      <c r="AF1073" s="6">
        <v>65</v>
      </c>
      <c r="AG1073" s="6"/>
      <c r="AH1073" s="7">
        <v>1</v>
      </c>
      <c r="AI1073" s="4"/>
      <c r="AJ1073" s="4">
        <f>=ROUNDDOWN({0},0)</f>
      </c>
      <c r="AK1073" s="5"/>
      <c r="AL1073" s="2" t="s">
        <v>98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/>
      <c r="AW1073" s="8"/>
      <c r="AX1073" s="4"/>
      <c r="AY1073" s="8"/>
      <c r="AZ1073" s="7"/>
      <c r="BA1073" s="7"/>
      <c r="BB1073" s="7"/>
      <c r="BC1073" s="4"/>
      <c r="BD1073" s="8"/>
      <c r="BE1073" s="4"/>
      <c r="BF1073" s="8"/>
      <c r="BG1073" s="7"/>
      <c r="BH1073" s="7"/>
      <c r="BI1073" s="7"/>
      <c r="BJ1073" s="4"/>
      <c r="BK1073" s="8"/>
      <c r="BL1073" s="2" t="s">
        <v>98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107</v>
      </c>
      <c r="BV1073" s="2" t="s">
        <v>95</v>
      </c>
      <c r="BW1073" s="2" t="s">
        <v>957</v>
      </c>
      <c r="BX1073" s="2" t="s">
        <v>98</v>
      </c>
      <c r="BY1073" s="2" t="s">
        <v>110</v>
      </c>
      <c r="BZ1073" s="2" t="s">
        <v>98</v>
      </c>
    </row>
    <row r="1074">
      <c r="A1074" s="2" t="s">
        <v>4887</v>
      </c>
      <c r="B1074" s="2" t="s">
        <v>4584</v>
      </c>
      <c r="C1074" s="2" t="s">
        <v>952</v>
      </c>
      <c r="D1074" s="2" t="s">
        <v>4585</v>
      </c>
      <c r="E1074" s="2" t="s">
        <v>4586</v>
      </c>
      <c r="F1074" s="2" t="s">
        <v>4888</v>
      </c>
      <c r="G1074" s="2" t="s">
        <v>4888</v>
      </c>
      <c r="H1074" s="2" t="s">
        <v>4888</v>
      </c>
      <c r="I1074" s="2" t="s">
        <v>4889</v>
      </c>
      <c r="J1074" s="2" t="s">
        <v>93</v>
      </c>
      <c r="K1074" s="2" t="s">
        <v>4890</v>
      </c>
      <c r="L1074" s="3">
        <v>38.7</v>
      </c>
      <c r="M1074" s="3">
        <v>40.64</v>
      </c>
      <c r="N1074" s="3">
        <v>89.99</v>
      </c>
      <c r="O1074" s="2" t="s">
        <v>95</v>
      </c>
      <c r="P1074" s="2" t="s">
        <v>134</v>
      </c>
      <c r="Q1074" s="2" t="s">
        <v>97</v>
      </c>
      <c r="R1074" s="2" t="s">
        <v>98</v>
      </c>
      <c r="S1074" s="2" t="s">
        <v>98</v>
      </c>
      <c r="T1074" s="2" t="s">
        <v>98</v>
      </c>
      <c r="U1074" s="2" t="s">
        <v>117</v>
      </c>
      <c r="V1074" s="2" t="s">
        <v>296</v>
      </c>
      <c r="W1074" s="2" t="s">
        <v>963</v>
      </c>
      <c r="X1074" s="2" t="s">
        <v>98</v>
      </c>
      <c r="Y1074" s="2" t="s">
        <v>4314</v>
      </c>
      <c r="Z1074" s="4">
        <v>69</v>
      </c>
      <c r="AA1074" s="4">
        <f>=ROUNDDOWN(11.5,0)</f>
      </c>
      <c r="AB1074" s="5">
        <v>6</v>
      </c>
      <c r="AC1074" s="2" t="s">
        <v>4598</v>
      </c>
      <c r="AD1074" s="4">
        <v>100</v>
      </c>
      <c r="AE1074" s="4">
        <v>100</v>
      </c>
      <c r="AF1074" s="6">
        <v>63</v>
      </c>
      <c r="AG1074" s="6"/>
      <c r="AH1074" s="7">
        <v>1</v>
      </c>
      <c r="AI1074" s="4"/>
      <c r="AJ1074" s="4">
        <f>=ROUNDDOWN({0},0)</f>
      </c>
      <c r="AK1074" s="5"/>
      <c r="AL1074" s="2" t="s">
        <v>98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/>
      <c r="BD1074" s="8"/>
      <c r="BE1074" s="4"/>
      <c r="BF1074" s="8"/>
      <c r="BG1074" s="7"/>
      <c r="BH1074" s="7"/>
      <c r="BI1074" s="7"/>
      <c r="BJ1074" s="4">
        <v>2</v>
      </c>
      <c r="BK1074" s="8">
        <v>101.14</v>
      </c>
      <c r="BL1074" s="2" t="s">
        <v>505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107</v>
      </c>
      <c r="BV1074" s="2" t="s">
        <v>95</v>
      </c>
      <c r="BW1074" s="2" t="s">
        <v>4891</v>
      </c>
      <c r="BX1074" s="2" t="s">
        <v>98</v>
      </c>
      <c r="BY1074" s="2" t="s">
        <v>110</v>
      </c>
      <c r="BZ1074" s="2" t="s">
        <v>98</v>
      </c>
    </row>
    <row r="1075">
      <c r="A1075" s="2" t="s">
        <v>4892</v>
      </c>
      <c r="B1075" s="2" t="s">
        <v>4584</v>
      </c>
      <c r="C1075" s="2" t="s">
        <v>952</v>
      </c>
      <c r="D1075" s="2" t="s">
        <v>4585</v>
      </c>
      <c r="E1075" s="2" t="s">
        <v>4586</v>
      </c>
      <c r="F1075" s="2" t="s">
        <v>4893</v>
      </c>
      <c r="G1075" s="2" t="s">
        <v>4893</v>
      </c>
      <c r="H1075" s="2" t="s">
        <v>4893</v>
      </c>
      <c r="I1075" s="2" t="s">
        <v>4894</v>
      </c>
      <c r="J1075" s="2" t="s">
        <v>93</v>
      </c>
      <c r="K1075" s="2" t="s">
        <v>294</v>
      </c>
      <c r="L1075" s="3">
        <v>45</v>
      </c>
      <c r="M1075" s="3">
        <v>47.25</v>
      </c>
      <c r="N1075" s="3">
        <v>104.99</v>
      </c>
      <c r="O1075" s="2" t="s">
        <v>95</v>
      </c>
      <c r="P1075" s="2" t="s">
        <v>134</v>
      </c>
      <c r="Q1075" s="2" t="s">
        <v>97</v>
      </c>
      <c r="R1075" s="2" t="s">
        <v>98</v>
      </c>
      <c r="S1075" s="2" t="s">
        <v>98</v>
      </c>
      <c r="T1075" s="2" t="s">
        <v>98</v>
      </c>
      <c r="U1075" s="2" t="s">
        <v>117</v>
      </c>
      <c r="V1075" s="2" t="s">
        <v>296</v>
      </c>
      <c r="W1075" s="2" t="s">
        <v>102</v>
      </c>
      <c r="X1075" s="2" t="s">
        <v>297</v>
      </c>
      <c r="Y1075" s="2" t="s">
        <v>4314</v>
      </c>
      <c r="Z1075" s="4">
        <v>103</v>
      </c>
      <c r="AA1075" s="4">
        <f>=ROUNDDOWN(25.75,0)</f>
      </c>
      <c r="AB1075" s="5">
        <v>4</v>
      </c>
      <c r="AC1075" s="2" t="s">
        <v>98</v>
      </c>
      <c r="AD1075" s="4"/>
      <c r="AE1075" s="4"/>
      <c r="AF1075" s="6">
        <v>63</v>
      </c>
      <c r="AG1075" s="6"/>
      <c r="AH1075" s="7">
        <v>1</v>
      </c>
      <c r="AI1075" s="4"/>
      <c r="AJ1075" s="4">
        <f>=ROUNDDOWN({0},0)</f>
      </c>
      <c r="AK1075" s="5"/>
      <c r="AL1075" s="2" t="s">
        <v>98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/>
      <c r="BD1075" s="8"/>
      <c r="BE1075" s="4"/>
      <c r="BF1075" s="8"/>
      <c r="BG1075" s="7"/>
      <c r="BH1075" s="7"/>
      <c r="BI1075" s="7"/>
      <c r="BJ1075" s="4"/>
      <c r="BK1075" s="8"/>
      <c r="BL1075" s="2" t="s">
        <v>98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107</v>
      </c>
      <c r="BV1075" s="2" t="s">
        <v>95</v>
      </c>
      <c r="BW1075" s="2" t="s">
        <v>4891</v>
      </c>
      <c r="BX1075" s="2" t="s">
        <v>4804</v>
      </c>
      <c r="BY1075" s="2" t="s">
        <v>110</v>
      </c>
      <c r="BZ1075" s="2" t="s">
        <v>98</v>
      </c>
    </row>
    <row r="1076">
      <c r="A1076" s="2" t="s">
        <v>4895</v>
      </c>
      <c r="B1076" s="2" t="s">
        <v>4584</v>
      </c>
      <c r="C1076" s="2" t="s">
        <v>952</v>
      </c>
      <c r="D1076" s="2" t="s">
        <v>4585</v>
      </c>
      <c r="E1076" s="2" t="s">
        <v>4586</v>
      </c>
      <c r="F1076" s="2" t="s">
        <v>4896</v>
      </c>
      <c r="G1076" s="2" t="s">
        <v>4896</v>
      </c>
      <c r="H1076" s="2" t="s">
        <v>4896</v>
      </c>
      <c r="I1076" s="2" t="s">
        <v>4897</v>
      </c>
      <c r="J1076" s="2" t="s">
        <v>93</v>
      </c>
      <c r="K1076" s="2" t="s">
        <v>4890</v>
      </c>
      <c r="L1076" s="3">
        <v>67.24</v>
      </c>
      <c r="M1076" s="3">
        <v>70.6</v>
      </c>
      <c r="N1076" s="3">
        <v>159.99</v>
      </c>
      <c r="O1076" s="2" t="s">
        <v>95</v>
      </c>
      <c r="P1076" s="2" t="s">
        <v>163</v>
      </c>
      <c r="Q1076" s="2" t="s">
        <v>97</v>
      </c>
      <c r="R1076" s="2" t="s">
        <v>98</v>
      </c>
      <c r="S1076" s="2" t="s">
        <v>4898</v>
      </c>
      <c r="T1076" s="2" t="s">
        <v>98</v>
      </c>
      <c r="U1076" s="2" t="s">
        <v>98</v>
      </c>
      <c r="V1076" s="2" t="s">
        <v>331</v>
      </c>
      <c r="W1076" s="2" t="s">
        <v>963</v>
      </c>
      <c r="X1076" s="2" t="s">
        <v>102</v>
      </c>
      <c r="Y1076" s="2" t="s">
        <v>2326</v>
      </c>
      <c r="Z1076" s="4">
        <v>105</v>
      </c>
      <c r="AA1076" s="4">
        <f>=ROUNDDOWN(5.25,0)</f>
      </c>
      <c r="AB1076" s="5">
        <v>20</v>
      </c>
      <c r="AC1076" s="2" t="s">
        <v>222</v>
      </c>
      <c r="AD1076" s="4">
        <v>212</v>
      </c>
      <c r="AE1076" s="4">
        <v>412</v>
      </c>
      <c r="AF1076" s="6">
        <v>65</v>
      </c>
      <c r="AG1076" s="6"/>
      <c r="AH1076" s="7">
        <v>1</v>
      </c>
      <c r="AI1076" s="4"/>
      <c r="AJ1076" s="4">
        <f>=ROUNDDOWN({0},0)</f>
      </c>
      <c r="AK1076" s="5"/>
      <c r="AL1076" s="2" t="s">
        <v>98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/>
      <c r="BD1076" s="8"/>
      <c r="BE1076" s="4"/>
      <c r="BF1076" s="8"/>
      <c r="BG1076" s="7"/>
      <c r="BH1076" s="7"/>
      <c r="BI1076" s="7"/>
      <c r="BJ1076" s="4">
        <v>22</v>
      </c>
      <c r="BK1076" s="8">
        <v>1776.71</v>
      </c>
      <c r="BL1076" s="2" t="s">
        <v>4442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107</v>
      </c>
      <c r="BV1076" s="2" t="s">
        <v>95</v>
      </c>
      <c r="BW1076" s="2" t="s">
        <v>2455</v>
      </c>
      <c r="BX1076" s="2" t="s">
        <v>4899</v>
      </c>
      <c r="BY1076" s="2" t="s">
        <v>110</v>
      </c>
      <c r="BZ1076" s="2" t="s">
        <v>98</v>
      </c>
    </row>
    <row r="1077">
      <c r="A1077" s="2" t="s">
        <v>4900</v>
      </c>
      <c r="B1077" s="2" t="s">
        <v>4584</v>
      </c>
      <c r="C1077" s="2" t="s">
        <v>952</v>
      </c>
      <c r="D1077" s="2" t="s">
        <v>4585</v>
      </c>
      <c r="E1077" s="2" t="s">
        <v>4586</v>
      </c>
      <c r="F1077" s="2" t="s">
        <v>4901</v>
      </c>
      <c r="G1077" s="2" t="s">
        <v>4901</v>
      </c>
      <c r="H1077" s="2" t="s">
        <v>4901</v>
      </c>
      <c r="I1077" s="2" t="s">
        <v>4883</v>
      </c>
      <c r="J1077" s="2" t="s">
        <v>93</v>
      </c>
      <c r="K1077" s="2" t="s">
        <v>967</v>
      </c>
      <c r="L1077" s="3">
        <v>46.72</v>
      </c>
      <c r="M1077" s="3">
        <v>49.06</v>
      </c>
      <c r="N1077" s="3">
        <v>109.99</v>
      </c>
      <c r="O1077" s="2" t="s">
        <v>95</v>
      </c>
      <c r="P1077" s="2" t="s">
        <v>134</v>
      </c>
      <c r="Q1077" s="2" t="s">
        <v>97</v>
      </c>
      <c r="R1077" s="2" t="s">
        <v>98</v>
      </c>
      <c r="S1077" s="2" t="s">
        <v>4902</v>
      </c>
      <c r="T1077" s="2" t="s">
        <v>98</v>
      </c>
      <c r="U1077" s="2" t="s">
        <v>98</v>
      </c>
      <c r="V1077" s="2" t="s">
        <v>439</v>
      </c>
      <c r="W1077" s="2" t="s">
        <v>102</v>
      </c>
      <c r="X1077" s="2" t="s">
        <v>98</v>
      </c>
      <c r="Y1077" s="2" t="s">
        <v>366</v>
      </c>
      <c r="Z1077" s="4">
        <v>37</v>
      </c>
      <c r="AA1077" s="4">
        <f>=ROUNDDOWN(6.16666666666667,0)</f>
      </c>
      <c r="AB1077" s="5">
        <v>6</v>
      </c>
      <c r="AC1077" s="2" t="s">
        <v>222</v>
      </c>
      <c r="AD1077" s="4">
        <v>100</v>
      </c>
      <c r="AE1077" s="4">
        <v>100</v>
      </c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98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/>
      <c r="AW1077" s="8"/>
      <c r="AX1077" s="4"/>
      <c r="AY1077" s="8"/>
      <c r="AZ1077" s="7"/>
      <c r="BA1077" s="7"/>
      <c r="BB1077" s="7"/>
      <c r="BC1077" s="4"/>
      <c r="BD1077" s="8"/>
      <c r="BE1077" s="4"/>
      <c r="BF1077" s="8"/>
      <c r="BG1077" s="7"/>
      <c r="BH1077" s="7"/>
      <c r="BI1077" s="7"/>
      <c r="BJ1077" s="4">
        <v>3</v>
      </c>
      <c r="BK1077" s="8">
        <v>163.16</v>
      </c>
      <c r="BL1077" s="2" t="s">
        <v>4903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107</v>
      </c>
      <c r="BV1077" s="2" t="s">
        <v>95</v>
      </c>
      <c r="BW1077" s="2" t="s">
        <v>4111</v>
      </c>
      <c r="BX1077" s="2" t="s">
        <v>4904</v>
      </c>
      <c r="BY1077" s="2" t="s">
        <v>110</v>
      </c>
      <c r="BZ1077" s="2" t="s">
        <v>98</v>
      </c>
    </row>
    <row r="1078">
      <c r="A1078" s="2" t="s">
        <v>4905</v>
      </c>
      <c r="B1078" s="2" t="s">
        <v>4584</v>
      </c>
      <c r="C1078" s="2" t="s">
        <v>952</v>
      </c>
      <c r="D1078" s="2" t="s">
        <v>4585</v>
      </c>
      <c r="E1078" s="2" t="s">
        <v>4586</v>
      </c>
      <c r="F1078" s="2" t="s">
        <v>4906</v>
      </c>
      <c r="G1078" s="2" t="s">
        <v>4906</v>
      </c>
      <c r="H1078" s="2" t="s">
        <v>4906</v>
      </c>
      <c r="I1078" s="2" t="s">
        <v>4907</v>
      </c>
      <c r="J1078" s="2" t="s">
        <v>93</v>
      </c>
      <c r="K1078" s="2" t="s">
        <v>294</v>
      </c>
      <c r="L1078" s="3">
        <v>52</v>
      </c>
      <c r="M1078" s="3">
        <v>54.6</v>
      </c>
      <c r="N1078" s="3">
        <v>109.99</v>
      </c>
      <c r="O1078" s="2" t="s">
        <v>95</v>
      </c>
      <c r="P1078" s="2" t="s">
        <v>295</v>
      </c>
      <c r="Q1078" s="2" t="s">
        <v>97</v>
      </c>
      <c r="R1078" s="2" t="s">
        <v>98</v>
      </c>
      <c r="S1078" s="2" t="s">
        <v>98</v>
      </c>
      <c r="T1078" s="2" t="s">
        <v>98</v>
      </c>
      <c r="U1078" s="2" t="s">
        <v>117</v>
      </c>
      <c r="V1078" s="2" t="s">
        <v>296</v>
      </c>
      <c r="W1078" s="2" t="s">
        <v>102</v>
      </c>
      <c r="X1078" s="2" t="s">
        <v>119</v>
      </c>
      <c r="Y1078" s="2" t="s">
        <v>98</v>
      </c>
      <c r="Z1078" s="4"/>
      <c r="AA1078" s="4">
        <f>=ROUNDDOWN({0},0)</f>
      </c>
      <c r="AB1078" s="5"/>
      <c r="AC1078" s="2" t="s">
        <v>222</v>
      </c>
      <c r="AD1078" s="4">
        <v>100</v>
      </c>
      <c r="AE1078" s="4">
        <v>100</v>
      </c>
      <c r="AF1078" s="6">
        <v>65</v>
      </c>
      <c r="AG1078" s="6"/>
      <c r="AH1078" s="7">
        <v>0</v>
      </c>
      <c r="AI1078" s="4"/>
      <c r="AJ1078" s="4">
        <f>=ROUNDDOWN({0},0)</f>
      </c>
      <c r="AK1078" s="5"/>
      <c r="AL1078" s="2" t="s">
        <v>98</v>
      </c>
      <c r="AM1078" s="4"/>
      <c r="AN1078" s="4"/>
      <c r="AO1078" s="7">
        <v>0</v>
      </c>
      <c r="AP1078" s="4"/>
      <c r="AQ1078" s="8"/>
      <c r="AR1078" s="4"/>
      <c r="AS1078" s="8"/>
      <c r="AT1078" s="7"/>
      <c r="AU1078" s="7"/>
      <c r="AV1078" s="4"/>
      <c r="AW1078" s="8"/>
      <c r="AX1078" s="4"/>
      <c r="AY1078" s="8"/>
      <c r="AZ1078" s="7"/>
      <c r="BA1078" s="7"/>
      <c r="BB1078" s="7"/>
      <c r="BC1078" s="4"/>
      <c r="BD1078" s="8"/>
      <c r="BE1078" s="4"/>
      <c r="BF1078" s="8"/>
      <c r="BG1078" s="7"/>
      <c r="BH1078" s="7"/>
      <c r="BI1078" s="7"/>
      <c r="BJ1078" s="4"/>
      <c r="BK1078" s="8"/>
      <c r="BL1078" s="2" t="s">
        <v>98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324</v>
      </c>
      <c r="BV1078" s="2" t="s">
        <v>95</v>
      </c>
      <c r="BW1078" s="2" t="s">
        <v>98</v>
      </c>
      <c r="BX1078" s="2" t="s">
        <v>98</v>
      </c>
      <c r="BY1078" s="2" t="s">
        <v>110</v>
      </c>
      <c r="BZ1078" s="2" t="s">
        <v>98</v>
      </c>
    </row>
    <row r="1079">
      <c r="A1079" s="2" t="s">
        <v>4908</v>
      </c>
      <c r="B1079" s="2" t="s">
        <v>4584</v>
      </c>
      <c r="C1079" s="2" t="s">
        <v>952</v>
      </c>
      <c r="D1079" s="2" t="s">
        <v>4585</v>
      </c>
      <c r="E1079" s="2" t="s">
        <v>4586</v>
      </c>
      <c r="F1079" s="2" t="s">
        <v>4478</v>
      </c>
      <c r="G1079" s="2" t="s">
        <v>4478</v>
      </c>
      <c r="H1079" s="2" t="s">
        <v>4478</v>
      </c>
      <c r="I1079" s="2" t="s">
        <v>4909</v>
      </c>
      <c r="J1079" s="2" t="s">
        <v>93</v>
      </c>
      <c r="K1079" s="2" t="s">
        <v>174</v>
      </c>
      <c r="L1079" s="3">
        <v>39.5</v>
      </c>
      <c r="M1079" s="3">
        <v>41.48</v>
      </c>
      <c r="N1079" s="3">
        <v>89.99</v>
      </c>
      <c r="O1079" s="2" t="s">
        <v>95</v>
      </c>
      <c r="P1079" s="2" t="s">
        <v>134</v>
      </c>
      <c r="Q1079" s="2" t="s">
        <v>97</v>
      </c>
      <c r="R1079" s="2" t="s">
        <v>98</v>
      </c>
      <c r="S1079" s="2" t="s">
        <v>98</v>
      </c>
      <c r="T1079" s="2" t="s">
        <v>98</v>
      </c>
      <c r="U1079" s="2" t="s">
        <v>117</v>
      </c>
      <c r="V1079" s="2" t="s">
        <v>296</v>
      </c>
      <c r="W1079" s="2" t="s">
        <v>102</v>
      </c>
      <c r="X1079" s="2" t="s">
        <v>98</v>
      </c>
      <c r="Y1079" s="2" t="s">
        <v>4617</v>
      </c>
      <c r="Z1079" s="4">
        <v>100</v>
      </c>
      <c r="AA1079" s="4">
        <f>=ROUNDDOWN(12.5,0)</f>
      </c>
      <c r="AB1079" s="5">
        <v>8</v>
      </c>
      <c r="AC1079" s="2" t="s">
        <v>98</v>
      </c>
      <c r="AD1079" s="4"/>
      <c r="AE1079" s="4"/>
      <c r="AF1079" s="6">
        <v>65</v>
      </c>
      <c r="AG1079" s="6"/>
      <c r="AH1079" s="7">
        <v>0.2857</v>
      </c>
      <c r="AI1079" s="4"/>
      <c r="AJ1079" s="4">
        <f>=ROUNDDOWN({0},0)</f>
      </c>
      <c r="AK1079" s="5"/>
      <c r="AL1079" s="2" t="s">
        <v>98</v>
      </c>
      <c r="AM1079" s="4"/>
      <c r="AN1079" s="4"/>
      <c r="AO1079" s="7">
        <v>0</v>
      </c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/>
      <c r="BD1079" s="8"/>
      <c r="BE1079" s="4"/>
      <c r="BF1079" s="8"/>
      <c r="BG1079" s="7"/>
      <c r="BH1079" s="7"/>
      <c r="BI1079" s="7"/>
      <c r="BJ1079" s="4"/>
      <c r="BK1079" s="8"/>
      <c r="BL1079" s="2" t="s">
        <v>98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107</v>
      </c>
      <c r="BV1079" s="2" t="s">
        <v>95</v>
      </c>
      <c r="BW1079" s="2" t="s">
        <v>4308</v>
      </c>
      <c r="BX1079" s="2" t="s">
        <v>98</v>
      </c>
      <c r="BY1079" s="2" t="s">
        <v>110</v>
      </c>
      <c r="BZ1079" s="2" t="s">
        <v>98</v>
      </c>
    </row>
    <row r="1080">
      <c r="A1080" s="2" t="s">
        <v>4910</v>
      </c>
      <c r="B1080" s="2" t="s">
        <v>4584</v>
      </c>
      <c r="C1080" s="2" t="s">
        <v>952</v>
      </c>
      <c r="D1080" s="2" t="s">
        <v>4585</v>
      </c>
      <c r="E1080" s="2" t="s">
        <v>4586</v>
      </c>
      <c r="F1080" s="2" t="s">
        <v>4911</v>
      </c>
      <c r="G1080" s="2" t="s">
        <v>4911</v>
      </c>
      <c r="H1080" s="2" t="s">
        <v>4911</v>
      </c>
      <c r="I1080" s="2" t="s">
        <v>4912</v>
      </c>
      <c r="J1080" s="2" t="s">
        <v>93</v>
      </c>
      <c r="K1080" s="2" t="s">
        <v>4346</v>
      </c>
      <c r="L1080" s="3">
        <v>49</v>
      </c>
      <c r="M1080" s="3">
        <v>51.45</v>
      </c>
      <c r="N1080" s="3">
        <v>99.99</v>
      </c>
      <c r="O1080" s="2" t="s">
        <v>95</v>
      </c>
      <c r="P1080" s="2" t="s">
        <v>295</v>
      </c>
      <c r="Q1080" s="2" t="s">
        <v>97</v>
      </c>
      <c r="R1080" s="2" t="s">
        <v>98</v>
      </c>
      <c r="S1080" s="2" t="s">
        <v>98</v>
      </c>
      <c r="T1080" s="2" t="s">
        <v>98</v>
      </c>
      <c r="U1080" s="2" t="s">
        <v>117</v>
      </c>
      <c r="V1080" s="2" t="s">
        <v>296</v>
      </c>
      <c r="W1080" s="2" t="s">
        <v>102</v>
      </c>
      <c r="X1080" s="2" t="s">
        <v>119</v>
      </c>
      <c r="Y1080" s="2" t="s">
        <v>300</v>
      </c>
      <c r="Z1080" s="4">
        <v>90</v>
      </c>
      <c r="AA1080" s="4">
        <f>=ROUNDDOWN({0},0)</f>
      </c>
      <c r="AB1080" s="5"/>
      <c r="AC1080" s="2" t="s">
        <v>98</v>
      </c>
      <c r="AD1080" s="4"/>
      <c r="AE1080" s="4"/>
      <c r="AF1080" s="6">
        <v>63</v>
      </c>
      <c r="AG1080" s="6"/>
      <c r="AH1080" s="7">
        <v>1</v>
      </c>
      <c r="AI1080" s="4"/>
      <c r="AJ1080" s="4">
        <f>=ROUNDDOWN({0},0)</f>
      </c>
      <c r="AK1080" s="5"/>
      <c r="AL1080" s="2" t="s">
        <v>98</v>
      </c>
      <c r="AM1080" s="4"/>
      <c r="AN1080" s="4"/>
      <c r="AO1080" s="7">
        <v>0</v>
      </c>
      <c r="AP1080" s="4"/>
      <c r="AQ1080" s="8"/>
      <c r="AR1080" s="4"/>
      <c r="AS1080" s="8"/>
      <c r="AT1080" s="7"/>
      <c r="AU1080" s="7"/>
      <c r="AV1080" s="4"/>
      <c r="AW1080" s="8"/>
      <c r="AX1080" s="4"/>
      <c r="AY1080" s="8"/>
      <c r="AZ1080" s="7"/>
      <c r="BA1080" s="7"/>
      <c r="BB1080" s="7"/>
      <c r="BC1080" s="4"/>
      <c r="BD1080" s="8"/>
      <c r="BE1080" s="4"/>
      <c r="BF1080" s="8"/>
      <c r="BG1080" s="7"/>
      <c r="BH1080" s="7"/>
      <c r="BI1080" s="7"/>
      <c r="BJ1080" s="4"/>
      <c r="BK1080" s="8"/>
      <c r="BL1080" s="2" t="s">
        <v>98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4654</v>
      </c>
      <c r="BV1080" s="2" t="s">
        <v>95</v>
      </c>
      <c r="BW1080" s="2" t="s">
        <v>98</v>
      </c>
      <c r="BX1080" s="2" t="s">
        <v>98</v>
      </c>
      <c r="BY1080" s="2" t="s">
        <v>110</v>
      </c>
      <c r="BZ1080" s="2" t="s">
        <v>98</v>
      </c>
    </row>
    <row r="1081">
      <c r="A1081" s="2" t="s">
        <v>4913</v>
      </c>
      <c r="B1081" s="2" t="s">
        <v>4584</v>
      </c>
      <c r="C1081" s="2" t="s">
        <v>952</v>
      </c>
      <c r="D1081" s="2" t="s">
        <v>4585</v>
      </c>
      <c r="E1081" s="2" t="s">
        <v>4586</v>
      </c>
      <c r="F1081" s="2" t="s">
        <v>4914</v>
      </c>
      <c r="G1081" s="2" t="s">
        <v>4914</v>
      </c>
      <c r="H1081" s="2" t="s">
        <v>4914</v>
      </c>
      <c r="I1081" s="2" t="s">
        <v>4915</v>
      </c>
      <c r="J1081" s="2" t="s">
        <v>93</v>
      </c>
      <c r="K1081" s="2" t="s">
        <v>4168</v>
      </c>
      <c r="L1081" s="3">
        <v>43.2</v>
      </c>
      <c r="M1081" s="3">
        <v>45.36</v>
      </c>
      <c r="N1081" s="3">
        <v>99.99</v>
      </c>
      <c r="O1081" s="2" t="s">
        <v>95</v>
      </c>
      <c r="P1081" s="2" t="s">
        <v>134</v>
      </c>
      <c r="Q1081" s="2" t="s">
        <v>97</v>
      </c>
      <c r="R1081" s="2" t="s">
        <v>98</v>
      </c>
      <c r="S1081" s="2" t="s">
        <v>98</v>
      </c>
      <c r="T1081" s="2" t="s">
        <v>98</v>
      </c>
      <c r="U1081" s="2" t="s">
        <v>117</v>
      </c>
      <c r="V1081" s="2" t="s">
        <v>296</v>
      </c>
      <c r="W1081" s="2" t="s">
        <v>103</v>
      </c>
      <c r="X1081" s="2" t="s">
        <v>98</v>
      </c>
      <c r="Y1081" s="2" t="s">
        <v>4314</v>
      </c>
      <c r="Z1081" s="4">
        <v>39</v>
      </c>
      <c r="AA1081" s="4">
        <f>=ROUNDDOWN(7.8,0)</f>
      </c>
      <c r="AB1081" s="5">
        <v>5</v>
      </c>
      <c r="AC1081" s="2" t="s">
        <v>323</v>
      </c>
      <c r="AD1081" s="4">
        <v>100</v>
      </c>
      <c r="AE1081" s="4">
        <v>100</v>
      </c>
      <c r="AF1081" s="6">
        <v>63</v>
      </c>
      <c r="AG1081" s="6"/>
      <c r="AH1081" s="7">
        <v>1</v>
      </c>
      <c r="AI1081" s="4"/>
      <c r="AJ1081" s="4">
        <f>=ROUNDDOWN({0},0)</f>
      </c>
      <c r="AK1081" s="5"/>
      <c r="AL1081" s="2" t="s">
        <v>98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/>
      <c r="BD1081" s="8"/>
      <c r="BE1081" s="4"/>
      <c r="BF1081" s="8"/>
      <c r="BG1081" s="7"/>
      <c r="BH1081" s="7"/>
      <c r="BI1081" s="7"/>
      <c r="BJ1081" s="4">
        <v>2</v>
      </c>
      <c r="BK1081" s="8">
        <v>110.88</v>
      </c>
      <c r="BL1081" s="2" t="s">
        <v>269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107</v>
      </c>
      <c r="BV1081" s="2" t="s">
        <v>95</v>
      </c>
      <c r="BW1081" s="2" t="s">
        <v>4916</v>
      </c>
      <c r="BX1081" s="2" t="s">
        <v>98</v>
      </c>
      <c r="BY1081" s="2" t="s">
        <v>110</v>
      </c>
      <c r="BZ1081" s="2" t="s">
        <v>98</v>
      </c>
    </row>
    <row r="1082">
      <c r="A1082" s="2" t="s">
        <v>4917</v>
      </c>
      <c r="B1082" s="2" t="s">
        <v>4584</v>
      </c>
      <c r="C1082" s="2" t="s">
        <v>952</v>
      </c>
      <c r="D1082" s="2" t="s">
        <v>4585</v>
      </c>
      <c r="E1082" s="2" t="s">
        <v>4586</v>
      </c>
      <c r="F1082" s="2" t="s">
        <v>4918</v>
      </c>
      <c r="G1082" s="2" t="s">
        <v>4918</v>
      </c>
      <c r="H1082" s="2" t="s">
        <v>4918</v>
      </c>
      <c r="I1082" s="2" t="s">
        <v>4919</v>
      </c>
      <c r="J1082" s="2" t="s">
        <v>93</v>
      </c>
      <c r="K1082" s="2" t="s">
        <v>4168</v>
      </c>
      <c r="L1082" s="3">
        <v>71.54</v>
      </c>
      <c r="M1082" s="3">
        <v>75.12</v>
      </c>
      <c r="N1082" s="3">
        <v>157.99</v>
      </c>
      <c r="O1082" s="2" t="s">
        <v>95</v>
      </c>
      <c r="P1082" s="2" t="s">
        <v>134</v>
      </c>
      <c r="Q1082" s="2" t="s">
        <v>97</v>
      </c>
      <c r="R1082" s="2" t="s">
        <v>98</v>
      </c>
      <c r="S1082" s="2" t="s">
        <v>98</v>
      </c>
      <c r="T1082" s="2" t="s">
        <v>98</v>
      </c>
      <c r="U1082" s="2" t="s">
        <v>98</v>
      </c>
      <c r="V1082" s="2" t="s">
        <v>296</v>
      </c>
      <c r="W1082" s="2" t="s">
        <v>102</v>
      </c>
      <c r="X1082" s="2" t="s">
        <v>98</v>
      </c>
      <c r="Y1082" s="2" t="s">
        <v>1953</v>
      </c>
      <c r="Z1082" s="4">
        <v>127</v>
      </c>
      <c r="AA1082" s="4">
        <f>=ROUNDDOWN(31.75,0)</f>
      </c>
      <c r="AB1082" s="5">
        <v>4</v>
      </c>
      <c r="AC1082" s="2" t="s">
        <v>98</v>
      </c>
      <c r="AD1082" s="4"/>
      <c r="AE1082" s="4"/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98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/>
      <c r="AW1082" s="8"/>
      <c r="AX1082" s="4"/>
      <c r="AY1082" s="8"/>
      <c r="AZ1082" s="7"/>
      <c r="BA1082" s="7"/>
      <c r="BB1082" s="7"/>
      <c r="BC1082" s="4"/>
      <c r="BD1082" s="8"/>
      <c r="BE1082" s="4"/>
      <c r="BF1082" s="8"/>
      <c r="BG1082" s="7"/>
      <c r="BH1082" s="7"/>
      <c r="BI1082" s="7"/>
      <c r="BJ1082" s="4">
        <v>1</v>
      </c>
      <c r="BK1082" s="8">
        <v>68.44</v>
      </c>
      <c r="BL1082" s="2" t="s">
        <v>1379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107</v>
      </c>
      <c r="BV1082" s="2" t="s">
        <v>95</v>
      </c>
      <c r="BW1082" s="2" t="s">
        <v>4723</v>
      </c>
      <c r="BX1082" s="2" t="s">
        <v>916</v>
      </c>
      <c r="BY1082" s="2" t="s">
        <v>110</v>
      </c>
      <c r="BZ1082" s="2" t="s">
        <v>98</v>
      </c>
    </row>
    <row r="1083">
      <c r="A1083" s="2" t="s">
        <v>4920</v>
      </c>
      <c r="B1083" s="2" t="s">
        <v>4584</v>
      </c>
      <c r="C1083" s="2" t="s">
        <v>952</v>
      </c>
      <c r="D1083" s="2" t="s">
        <v>4585</v>
      </c>
      <c r="E1083" s="2" t="s">
        <v>4586</v>
      </c>
      <c r="F1083" s="2" t="s">
        <v>4921</v>
      </c>
      <c r="G1083" s="2" t="s">
        <v>4921</v>
      </c>
      <c r="H1083" s="2" t="s">
        <v>4921</v>
      </c>
      <c r="I1083" s="2" t="s">
        <v>4661</v>
      </c>
      <c r="J1083" s="2" t="s">
        <v>93</v>
      </c>
      <c r="K1083" s="2" t="s">
        <v>294</v>
      </c>
      <c r="L1083" s="3">
        <v>44.98</v>
      </c>
      <c r="M1083" s="3">
        <v>47.23</v>
      </c>
      <c r="N1083" s="3">
        <v>94.99</v>
      </c>
      <c r="O1083" s="2" t="s">
        <v>155</v>
      </c>
      <c r="P1083" s="2" t="s">
        <v>115</v>
      </c>
      <c r="Q1083" s="2" t="s">
        <v>97</v>
      </c>
      <c r="R1083" s="2" t="s">
        <v>98</v>
      </c>
      <c r="S1083" s="2" t="s">
        <v>98</v>
      </c>
      <c r="T1083" s="2" t="s">
        <v>98</v>
      </c>
      <c r="U1083" s="2" t="s">
        <v>117</v>
      </c>
      <c r="V1083" s="2" t="s">
        <v>296</v>
      </c>
      <c r="W1083" s="2" t="s">
        <v>102</v>
      </c>
      <c r="X1083" s="2" t="s">
        <v>98</v>
      </c>
      <c r="Y1083" s="2" t="s">
        <v>4877</v>
      </c>
      <c r="Z1083" s="4">
        <v>33</v>
      </c>
      <c r="AA1083" s="4">
        <f>=ROUNDDOWN(41.25,0)</f>
      </c>
      <c r="AB1083" s="5">
        <v>0.8</v>
      </c>
      <c r="AC1083" s="2" t="s">
        <v>98</v>
      </c>
      <c r="AD1083" s="4"/>
      <c r="AE1083" s="4"/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98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/>
      <c r="BD1083" s="8"/>
      <c r="BE1083" s="4"/>
      <c r="BF1083" s="8"/>
      <c r="BG1083" s="7"/>
      <c r="BH1083" s="7"/>
      <c r="BI1083" s="7"/>
      <c r="BJ1083" s="4"/>
      <c r="BK1083" s="8"/>
      <c r="BL1083" s="2" t="s">
        <v>98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107</v>
      </c>
      <c r="BV1083" s="2" t="s">
        <v>95</v>
      </c>
      <c r="BW1083" s="2" t="s">
        <v>4308</v>
      </c>
      <c r="BX1083" s="2" t="s">
        <v>98</v>
      </c>
      <c r="BY1083" s="2" t="s">
        <v>110</v>
      </c>
      <c r="BZ1083" s="2" t="s">
        <v>98</v>
      </c>
    </row>
    <row r="1084">
      <c r="A1084" s="2" t="s">
        <v>4922</v>
      </c>
      <c r="B1084" s="2" t="s">
        <v>4584</v>
      </c>
      <c r="C1084" s="2" t="s">
        <v>952</v>
      </c>
      <c r="D1084" s="2" t="s">
        <v>4585</v>
      </c>
      <c r="E1084" s="2" t="s">
        <v>4586</v>
      </c>
      <c r="F1084" s="2" t="s">
        <v>4923</v>
      </c>
      <c r="G1084" s="2" t="s">
        <v>4923</v>
      </c>
      <c r="H1084" s="2" t="s">
        <v>4923</v>
      </c>
      <c r="I1084" s="2" t="s">
        <v>4924</v>
      </c>
      <c r="J1084" s="2" t="s">
        <v>93</v>
      </c>
      <c r="K1084" s="2" t="s">
        <v>4925</v>
      </c>
      <c r="L1084" s="3">
        <v>45.36</v>
      </c>
      <c r="M1084" s="3">
        <v>47.63</v>
      </c>
      <c r="N1084" s="3">
        <v>104.99</v>
      </c>
      <c r="O1084" s="2" t="s">
        <v>95</v>
      </c>
      <c r="P1084" s="2" t="s">
        <v>134</v>
      </c>
      <c r="Q1084" s="2" t="s">
        <v>97</v>
      </c>
      <c r="R1084" s="2" t="s">
        <v>98</v>
      </c>
      <c r="S1084" s="2" t="s">
        <v>98</v>
      </c>
      <c r="T1084" s="2" t="s">
        <v>98</v>
      </c>
      <c r="U1084" s="2" t="s">
        <v>117</v>
      </c>
      <c r="V1084" s="2" t="s">
        <v>296</v>
      </c>
      <c r="W1084" s="2" t="s">
        <v>968</v>
      </c>
      <c r="X1084" s="2" t="s">
        <v>98</v>
      </c>
      <c r="Y1084" s="2" t="s">
        <v>4692</v>
      </c>
      <c r="Z1084" s="4">
        <v>178</v>
      </c>
      <c r="AA1084" s="4">
        <f>=ROUNDDOWN(89,0)</f>
      </c>
      <c r="AB1084" s="5">
        <v>2</v>
      </c>
      <c r="AC1084" s="2" t="s">
        <v>98</v>
      </c>
      <c r="AD1084" s="4"/>
      <c r="AE1084" s="4"/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98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/>
      <c r="AW1084" s="8"/>
      <c r="AX1084" s="4"/>
      <c r="AY1084" s="8"/>
      <c r="AZ1084" s="7"/>
      <c r="BA1084" s="7"/>
      <c r="BB1084" s="7"/>
      <c r="BC1084" s="4"/>
      <c r="BD1084" s="8"/>
      <c r="BE1084" s="4"/>
      <c r="BF1084" s="8"/>
      <c r="BG1084" s="7"/>
      <c r="BH1084" s="7"/>
      <c r="BI1084" s="7"/>
      <c r="BJ1084" s="4">
        <v>1</v>
      </c>
      <c r="BK1084" s="8">
        <v>51.44</v>
      </c>
      <c r="BL1084" s="2" t="s">
        <v>4926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107</v>
      </c>
      <c r="BV1084" s="2" t="s">
        <v>95</v>
      </c>
      <c r="BW1084" s="2" t="s">
        <v>957</v>
      </c>
      <c r="BX1084" s="2" t="s">
        <v>4480</v>
      </c>
      <c r="BY1084" s="2" t="s">
        <v>110</v>
      </c>
      <c r="BZ1084" s="2" t="s">
        <v>98</v>
      </c>
    </row>
    <row r="1085">
      <c r="A1085" s="2" t="s">
        <v>4927</v>
      </c>
      <c r="B1085" s="2" t="s">
        <v>4584</v>
      </c>
      <c r="C1085" s="2" t="s">
        <v>952</v>
      </c>
      <c r="D1085" s="2" t="s">
        <v>4585</v>
      </c>
      <c r="E1085" s="2" t="s">
        <v>4586</v>
      </c>
      <c r="F1085" s="2" t="s">
        <v>4928</v>
      </c>
      <c r="G1085" s="2" t="s">
        <v>4928</v>
      </c>
      <c r="H1085" s="2" t="s">
        <v>4928</v>
      </c>
      <c r="I1085" s="2" t="s">
        <v>4929</v>
      </c>
      <c r="J1085" s="2" t="s">
        <v>93</v>
      </c>
      <c r="K1085" s="2" t="s">
        <v>4930</v>
      </c>
      <c r="L1085" s="3">
        <v>55</v>
      </c>
      <c r="M1085" s="3">
        <v>57.75</v>
      </c>
      <c r="N1085" s="3">
        <v>114.99</v>
      </c>
      <c r="O1085" s="2" t="s">
        <v>95</v>
      </c>
      <c r="P1085" s="2" t="s">
        <v>295</v>
      </c>
      <c r="Q1085" s="2" t="s">
        <v>97</v>
      </c>
      <c r="R1085" s="2" t="s">
        <v>98</v>
      </c>
      <c r="S1085" s="2" t="s">
        <v>98</v>
      </c>
      <c r="T1085" s="2" t="s">
        <v>98</v>
      </c>
      <c r="U1085" s="2" t="s">
        <v>117</v>
      </c>
      <c r="V1085" s="2" t="s">
        <v>296</v>
      </c>
      <c r="W1085" s="2" t="s">
        <v>119</v>
      </c>
      <c r="X1085" s="2" t="s">
        <v>102</v>
      </c>
      <c r="Y1085" s="2" t="s">
        <v>1639</v>
      </c>
      <c r="Z1085" s="4">
        <v>100</v>
      </c>
      <c r="AA1085" s="4">
        <f>=ROUNDDOWN({0},0)</f>
      </c>
      <c r="AB1085" s="5"/>
      <c r="AC1085" s="2" t="s">
        <v>98</v>
      </c>
      <c r="AD1085" s="4"/>
      <c r="AE1085" s="4"/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98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/>
      <c r="BD1085" s="8"/>
      <c r="BE1085" s="4"/>
      <c r="BF1085" s="8"/>
      <c r="BG1085" s="7"/>
      <c r="BH1085" s="7"/>
      <c r="BI1085" s="7"/>
      <c r="BJ1085" s="4"/>
      <c r="BK1085" s="8"/>
      <c r="BL1085" s="2" t="s">
        <v>98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4654</v>
      </c>
      <c r="BV1085" s="2" t="s">
        <v>95</v>
      </c>
      <c r="BW1085" s="2" t="s">
        <v>98</v>
      </c>
      <c r="BX1085" s="2" t="s">
        <v>98</v>
      </c>
      <c r="BY1085" s="2" t="s">
        <v>110</v>
      </c>
      <c r="BZ1085" s="2" t="s">
        <v>98</v>
      </c>
    </row>
    <row r="1086">
      <c r="A1086" s="2" t="s">
        <v>4931</v>
      </c>
      <c r="B1086" s="2" t="s">
        <v>4584</v>
      </c>
      <c r="C1086" s="2" t="s">
        <v>952</v>
      </c>
      <c r="D1086" s="2" t="s">
        <v>4585</v>
      </c>
      <c r="E1086" s="2" t="s">
        <v>4586</v>
      </c>
      <c r="F1086" s="2" t="s">
        <v>4932</v>
      </c>
      <c r="G1086" s="2" t="s">
        <v>4932</v>
      </c>
      <c r="H1086" s="2" t="s">
        <v>4932</v>
      </c>
      <c r="I1086" s="2" t="s">
        <v>4933</v>
      </c>
      <c r="J1086" s="2" t="s">
        <v>93</v>
      </c>
      <c r="K1086" s="2" t="s">
        <v>294</v>
      </c>
      <c r="L1086" s="3">
        <v>33</v>
      </c>
      <c r="M1086" s="3">
        <v>34.65</v>
      </c>
      <c r="N1086" s="3">
        <v>69.99</v>
      </c>
      <c r="O1086" s="2" t="s">
        <v>95</v>
      </c>
      <c r="P1086" s="2" t="s">
        <v>295</v>
      </c>
      <c r="Q1086" s="2" t="s">
        <v>97</v>
      </c>
      <c r="R1086" s="2" t="s">
        <v>98</v>
      </c>
      <c r="S1086" s="2" t="s">
        <v>98</v>
      </c>
      <c r="T1086" s="2" t="s">
        <v>98</v>
      </c>
      <c r="U1086" s="2" t="s">
        <v>117</v>
      </c>
      <c r="V1086" s="2" t="s">
        <v>296</v>
      </c>
      <c r="W1086" s="2" t="s">
        <v>102</v>
      </c>
      <c r="X1086" s="2" t="s">
        <v>297</v>
      </c>
      <c r="Y1086" s="2" t="s">
        <v>1639</v>
      </c>
      <c r="Z1086" s="4">
        <v>100</v>
      </c>
      <c r="AA1086" s="4">
        <f>=ROUNDDOWN({0},0)</f>
      </c>
      <c r="AB1086" s="5"/>
      <c r="AC1086" s="2" t="s">
        <v>98</v>
      </c>
      <c r="AD1086" s="4"/>
      <c r="AE1086" s="4"/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98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/>
      <c r="BD1086" s="8"/>
      <c r="BE1086" s="4"/>
      <c r="BF1086" s="8"/>
      <c r="BG1086" s="7"/>
      <c r="BH1086" s="7"/>
      <c r="BI1086" s="7"/>
      <c r="BJ1086" s="4"/>
      <c r="BK1086" s="8"/>
      <c r="BL1086" s="2" t="s">
        <v>98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4654</v>
      </c>
      <c r="BV1086" s="2" t="s">
        <v>95</v>
      </c>
      <c r="BW1086" s="2" t="s">
        <v>98</v>
      </c>
      <c r="BX1086" s="2" t="s">
        <v>98</v>
      </c>
      <c r="BY1086" s="2" t="s">
        <v>110</v>
      </c>
      <c r="BZ1086" s="2" t="s">
        <v>98</v>
      </c>
    </row>
    <row r="1087">
      <c r="A1087" s="2" t="s">
        <v>4934</v>
      </c>
      <c r="B1087" s="2" t="s">
        <v>4584</v>
      </c>
      <c r="C1087" s="2" t="s">
        <v>952</v>
      </c>
      <c r="D1087" s="2" t="s">
        <v>4585</v>
      </c>
      <c r="E1087" s="2" t="s">
        <v>4586</v>
      </c>
      <c r="F1087" s="2" t="s">
        <v>4935</v>
      </c>
      <c r="G1087" s="2" t="s">
        <v>4935</v>
      </c>
      <c r="H1087" s="2" t="s">
        <v>4935</v>
      </c>
      <c r="I1087" s="2" t="s">
        <v>4936</v>
      </c>
      <c r="J1087" s="2" t="s">
        <v>93</v>
      </c>
      <c r="K1087" s="2" t="s">
        <v>174</v>
      </c>
      <c r="L1087" s="3">
        <v>29.7</v>
      </c>
      <c r="M1087" s="3">
        <v>31.18</v>
      </c>
      <c r="N1087" s="3">
        <v>69.99</v>
      </c>
      <c r="O1087" s="2" t="s">
        <v>95</v>
      </c>
      <c r="P1087" s="2" t="s">
        <v>134</v>
      </c>
      <c r="Q1087" s="2" t="s">
        <v>97</v>
      </c>
      <c r="R1087" s="2" t="s">
        <v>98</v>
      </c>
      <c r="S1087" s="2" t="s">
        <v>98</v>
      </c>
      <c r="T1087" s="2" t="s">
        <v>98</v>
      </c>
      <c r="U1087" s="2" t="s">
        <v>117</v>
      </c>
      <c r="V1087" s="2" t="s">
        <v>439</v>
      </c>
      <c r="W1087" s="2" t="s">
        <v>102</v>
      </c>
      <c r="X1087" s="2" t="s">
        <v>103</v>
      </c>
      <c r="Y1087" s="2" t="s">
        <v>4682</v>
      </c>
      <c r="Z1087" s="4">
        <v>186</v>
      </c>
      <c r="AA1087" s="4">
        <f>=ROUNDDOWN(62,0)</f>
      </c>
      <c r="AB1087" s="5">
        <v>3</v>
      </c>
      <c r="AC1087" s="2" t="s">
        <v>98</v>
      </c>
      <c r="AD1087" s="4"/>
      <c r="AE1087" s="4"/>
      <c r="AF1087" s="6">
        <v>63</v>
      </c>
      <c r="AG1087" s="6"/>
      <c r="AH1087" s="7">
        <v>1</v>
      </c>
      <c r="AI1087" s="4"/>
      <c r="AJ1087" s="4">
        <f>=ROUNDDOWN({0},0)</f>
      </c>
      <c r="AK1087" s="5"/>
      <c r="AL1087" s="2" t="s">
        <v>98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/>
      <c r="AW1087" s="8"/>
      <c r="AX1087" s="4"/>
      <c r="AY1087" s="8"/>
      <c r="AZ1087" s="7"/>
      <c r="BA1087" s="7"/>
      <c r="BB1087" s="7"/>
      <c r="BC1087" s="4"/>
      <c r="BD1087" s="8"/>
      <c r="BE1087" s="4"/>
      <c r="BF1087" s="8"/>
      <c r="BG1087" s="7"/>
      <c r="BH1087" s="7"/>
      <c r="BI1087" s="7"/>
      <c r="BJ1087" s="4"/>
      <c r="BK1087" s="8"/>
      <c r="BL1087" s="2" t="s">
        <v>98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107</v>
      </c>
      <c r="BV1087" s="2" t="s">
        <v>95</v>
      </c>
      <c r="BW1087" s="2" t="s">
        <v>4635</v>
      </c>
      <c r="BX1087" s="2" t="s">
        <v>98</v>
      </c>
      <c r="BY1087" s="2" t="s">
        <v>110</v>
      </c>
      <c r="BZ1087" s="2" t="s">
        <v>98</v>
      </c>
    </row>
    <row r="1088">
      <c r="A1088" s="2" t="s">
        <v>4937</v>
      </c>
      <c r="B1088" s="2" t="s">
        <v>4584</v>
      </c>
      <c r="C1088" s="2" t="s">
        <v>952</v>
      </c>
      <c r="D1088" s="2" t="s">
        <v>4585</v>
      </c>
      <c r="E1088" s="2" t="s">
        <v>4586</v>
      </c>
      <c r="F1088" s="2" t="s">
        <v>4387</v>
      </c>
      <c r="G1088" s="2" t="s">
        <v>4387</v>
      </c>
      <c r="H1088" s="2" t="s">
        <v>4387</v>
      </c>
      <c r="I1088" s="2" t="s">
        <v>4938</v>
      </c>
      <c r="J1088" s="2" t="s">
        <v>93</v>
      </c>
      <c r="K1088" s="2" t="s">
        <v>4939</v>
      </c>
      <c r="L1088" s="3">
        <v>44.37</v>
      </c>
      <c r="M1088" s="3">
        <v>46.59</v>
      </c>
      <c r="N1088" s="3">
        <v>104.99</v>
      </c>
      <c r="O1088" s="2" t="s">
        <v>95</v>
      </c>
      <c r="P1088" s="2" t="s">
        <v>134</v>
      </c>
      <c r="Q1088" s="2" t="s">
        <v>97</v>
      </c>
      <c r="R1088" s="2" t="s">
        <v>98</v>
      </c>
      <c r="S1088" s="2" t="s">
        <v>98</v>
      </c>
      <c r="T1088" s="2" t="s">
        <v>98</v>
      </c>
      <c r="U1088" s="2" t="s">
        <v>117</v>
      </c>
      <c r="V1088" s="2" t="s">
        <v>296</v>
      </c>
      <c r="W1088" s="2" t="s">
        <v>102</v>
      </c>
      <c r="X1088" s="2" t="s">
        <v>963</v>
      </c>
      <c r="Y1088" s="2" t="s">
        <v>554</v>
      </c>
      <c r="Z1088" s="4">
        <v>61</v>
      </c>
      <c r="AA1088" s="4">
        <f>=ROUNDDOWN(7.625,0)</f>
      </c>
      <c r="AB1088" s="5">
        <v>8</v>
      </c>
      <c r="AC1088" s="2" t="s">
        <v>2600</v>
      </c>
      <c r="AD1088" s="4">
        <v>50</v>
      </c>
      <c r="AE1088" s="4">
        <v>150</v>
      </c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98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/>
      <c r="AW1088" s="8"/>
      <c r="AX1088" s="4"/>
      <c r="AY1088" s="8"/>
      <c r="AZ1088" s="7"/>
      <c r="BA1088" s="7"/>
      <c r="BB1088" s="7"/>
      <c r="BC1088" s="4"/>
      <c r="BD1088" s="8"/>
      <c r="BE1088" s="4"/>
      <c r="BF1088" s="8"/>
      <c r="BG1088" s="7"/>
      <c r="BH1088" s="7"/>
      <c r="BI1088" s="7"/>
      <c r="BJ1088" s="4">
        <v>1</v>
      </c>
      <c r="BK1088" s="8">
        <v>47.54</v>
      </c>
      <c r="BL1088" s="2" t="s">
        <v>2275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107</v>
      </c>
      <c r="BV1088" s="2" t="s">
        <v>95</v>
      </c>
      <c r="BW1088" s="2" t="s">
        <v>3866</v>
      </c>
      <c r="BX1088" s="2" t="s">
        <v>4940</v>
      </c>
      <c r="BY1088" s="2" t="s">
        <v>110</v>
      </c>
      <c r="BZ1088" s="2" t="s">
        <v>98</v>
      </c>
    </row>
    <row r="1089">
      <c r="A1089" s="2" t="s">
        <v>4941</v>
      </c>
      <c r="B1089" s="2" t="s">
        <v>4584</v>
      </c>
      <c r="C1089" s="2" t="s">
        <v>952</v>
      </c>
      <c r="D1089" s="2" t="s">
        <v>4585</v>
      </c>
      <c r="E1089" s="2" t="s">
        <v>4586</v>
      </c>
      <c r="F1089" s="2" t="s">
        <v>3007</v>
      </c>
      <c r="G1089" s="2" t="s">
        <v>3007</v>
      </c>
      <c r="H1089" s="2" t="s">
        <v>3007</v>
      </c>
      <c r="I1089" s="2" t="s">
        <v>4942</v>
      </c>
      <c r="J1089" s="2" t="s">
        <v>93</v>
      </c>
      <c r="K1089" s="2" t="s">
        <v>473</v>
      </c>
      <c r="L1089" s="3">
        <v>55</v>
      </c>
      <c r="M1089" s="3">
        <v>57.75</v>
      </c>
      <c r="N1089" s="3">
        <v>119.99</v>
      </c>
      <c r="O1089" s="2" t="s">
        <v>95</v>
      </c>
      <c r="P1089" s="2" t="s">
        <v>115</v>
      </c>
      <c r="Q1089" s="2" t="s">
        <v>97</v>
      </c>
      <c r="R1089" s="2" t="s">
        <v>98</v>
      </c>
      <c r="S1089" s="2" t="s">
        <v>4943</v>
      </c>
      <c r="T1089" s="2" t="s">
        <v>98</v>
      </c>
      <c r="U1089" s="2" t="s">
        <v>98</v>
      </c>
      <c r="V1089" s="2" t="s">
        <v>331</v>
      </c>
      <c r="W1089" s="2" t="s">
        <v>968</v>
      </c>
      <c r="X1089" s="2" t="s">
        <v>98</v>
      </c>
      <c r="Y1089" s="2" t="s">
        <v>366</v>
      </c>
      <c r="Z1089" s="4">
        <v>26</v>
      </c>
      <c r="AA1089" s="4">
        <f>=ROUNDDOWN(20,0)</f>
      </c>
      <c r="AB1089" s="5">
        <v>1.3</v>
      </c>
      <c r="AC1089" s="2" t="s">
        <v>98</v>
      </c>
      <c r="AD1089" s="4"/>
      <c r="AE1089" s="4"/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98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/>
      <c r="AW1089" s="8"/>
      <c r="AX1089" s="4"/>
      <c r="AY1089" s="8"/>
      <c r="AZ1089" s="7"/>
      <c r="BA1089" s="7"/>
      <c r="BB1089" s="7"/>
      <c r="BC1089" s="4"/>
      <c r="BD1089" s="8"/>
      <c r="BE1089" s="4"/>
      <c r="BF1089" s="8"/>
      <c r="BG1089" s="7"/>
      <c r="BH1089" s="7"/>
      <c r="BI1089" s="7"/>
      <c r="BJ1089" s="4"/>
      <c r="BK1089" s="8"/>
      <c r="BL1089" s="2" t="s">
        <v>98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324</v>
      </c>
      <c r="BV1089" s="2" t="s">
        <v>95</v>
      </c>
      <c r="BW1089" s="2" t="s">
        <v>2455</v>
      </c>
      <c r="BX1089" s="2" t="s">
        <v>2766</v>
      </c>
      <c r="BY1089" s="2" t="s">
        <v>110</v>
      </c>
      <c r="BZ1089" s="2" t="s">
        <v>98</v>
      </c>
    </row>
    <row r="1090">
      <c r="A1090" s="2" t="s">
        <v>4944</v>
      </c>
      <c r="B1090" s="2" t="s">
        <v>4584</v>
      </c>
      <c r="C1090" s="2" t="s">
        <v>952</v>
      </c>
      <c r="D1090" s="2" t="s">
        <v>4585</v>
      </c>
      <c r="E1090" s="2" t="s">
        <v>4586</v>
      </c>
      <c r="F1090" s="2" t="s">
        <v>4945</v>
      </c>
      <c r="G1090" s="2" t="s">
        <v>4945</v>
      </c>
      <c r="H1090" s="2" t="s">
        <v>4945</v>
      </c>
      <c r="I1090" s="2" t="s">
        <v>4946</v>
      </c>
      <c r="J1090" s="2" t="s">
        <v>93</v>
      </c>
      <c r="K1090" s="2" t="s">
        <v>133</v>
      </c>
      <c r="L1090" s="3">
        <v>38.4</v>
      </c>
      <c r="M1090" s="3">
        <v>40.32</v>
      </c>
      <c r="N1090" s="3">
        <v>79.99</v>
      </c>
      <c r="O1090" s="2" t="s">
        <v>95</v>
      </c>
      <c r="P1090" s="2" t="s">
        <v>411</v>
      </c>
      <c r="Q1090" s="2" t="s">
        <v>97</v>
      </c>
      <c r="R1090" s="2" t="s">
        <v>98</v>
      </c>
      <c r="S1090" s="2" t="s">
        <v>98</v>
      </c>
      <c r="T1090" s="2" t="s">
        <v>98</v>
      </c>
      <c r="U1090" s="2" t="s">
        <v>117</v>
      </c>
      <c r="V1090" s="2" t="s">
        <v>296</v>
      </c>
      <c r="W1090" s="2" t="s">
        <v>4947</v>
      </c>
      <c r="X1090" s="2" t="s">
        <v>102</v>
      </c>
      <c r="Y1090" s="2" t="s">
        <v>98</v>
      </c>
      <c r="Z1090" s="4"/>
      <c r="AA1090" s="4">
        <f>=ROUNDDOWN({0},0)</f>
      </c>
      <c r="AB1090" s="5"/>
      <c r="AC1090" s="2" t="s">
        <v>287</v>
      </c>
      <c r="AD1090" s="4">
        <v>100</v>
      </c>
      <c r="AE1090" s="4">
        <v>100</v>
      </c>
      <c r="AF1090" s="6">
        <v>65</v>
      </c>
      <c r="AG1090" s="6"/>
      <c r="AH1090" s="7">
        <v>0</v>
      </c>
      <c r="AI1090" s="4"/>
      <c r="AJ1090" s="4">
        <f>=ROUNDDOWN({0},0)</f>
      </c>
      <c r="AK1090" s="5"/>
      <c r="AL1090" s="2" t="s">
        <v>98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/>
      <c r="AW1090" s="8"/>
      <c r="AX1090" s="4"/>
      <c r="AY1090" s="8"/>
      <c r="AZ1090" s="7"/>
      <c r="BA1090" s="7"/>
      <c r="BB1090" s="7"/>
      <c r="BC1090" s="4"/>
      <c r="BD1090" s="8"/>
      <c r="BE1090" s="4"/>
      <c r="BF1090" s="8"/>
      <c r="BG1090" s="7"/>
      <c r="BH1090" s="7"/>
      <c r="BI1090" s="7"/>
      <c r="BJ1090" s="4"/>
      <c r="BK1090" s="8"/>
      <c r="BL1090" s="2" t="s">
        <v>98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324</v>
      </c>
      <c r="BV1090" s="2" t="s">
        <v>95</v>
      </c>
      <c r="BW1090" s="2" t="s">
        <v>98</v>
      </c>
      <c r="BX1090" s="2" t="s">
        <v>98</v>
      </c>
      <c r="BY1090" s="2" t="s">
        <v>110</v>
      </c>
      <c r="BZ1090" s="2" t="s">
        <v>98</v>
      </c>
    </row>
    <row r="1091">
      <c r="A1091" s="2" t="s">
        <v>4948</v>
      </c>
      <c r="B1091" s="2" t="s">
        <v>4584</v>
      </c>
      <c r="C1091" s="2" t="s">
        <v>952</v>
      </c>
      <c r="D1091" s="2" t="s">
        <v>4686</v>
      </c>
      <c r="E1091" s="2" t="s">
        <v>4687</v>
      </c>
      <c r="F1091" s="2" t="s">
        <v>4949</v>
      </c>
      <c r="G1091" s="2" t="s">
        <v>4949</v>
      </c>
      <c r="H1091" s="2" t="s">
        <v>4949</v>
      </c>
      <c r="I1091" s="2" t="s">
        <v>4950</v>
      </c>
      <c r="J1091" s="2" t="s">
        <v>93</v>
      </c>
      <c r="K1091" s="2" t="s">
        <v>219</v>
      </c>
      <c r="L1091" s="3">
        <v>109.44</v>
      </c>
      <c r="M1091" s="3">
        <v>114.91</v>
      </c>
      <c r="N1091" s="3">
        <v>254.99</v>
      </c>
      <c r="O1091" s="2" t="s">
        <v>95</v>
      </c>
      <c r="P1091" s="2" t="s">
        <v>115</v>
      </c>
      <c r="Q1091" s="2" t="s">
        <v>97</v>
      </c>
      <c r="R1091" s="2" t="s">
        <v>98</v>
      </c>
      <c r="S1091" s="2" t="s">
        <v>98</v>
      </c>
      <c r="T1091" s="2" t="s">
        <v>98</v>
      </c>
      <c r="U1091" s="2" t="s">
        <v>117</v>
      </c>
      <c r="V1091" s="2" t="s">
        <v>296</v>
      </c>
      <c r="W1091" s="2" t="s">
        <v>102</v>
      </c>
      <c r="X1091" s="2" t="s">
        <v>963</v>
      </c>
      <c r="Y1091" s="2" t="s">
        <v>353</v>
      </c>
      <c r="Z1091" s="4">
        <v>93</v>
      </c>
      <c r="AA1091" s="4">
        <f>=ROUNDDOWN(71.5384615384615,0)</f>
      </c>
      <c r="AB1091" s="5">
        <v>1.3</v>
      </c>
      <c r="AC1091" s="2" t="s">
        <v>98</v>
      </c>
      <c r="AD1091" s="4"/>
      <c r="AE1091" s="4"/>
      <c r="AF1091" s="6">
        <v>63</v>
      </c>
      <c r="AG1091" s="6"/>
      <c r="AH1091" s="7">
        <v>1</v>
      </c>
      <c r="AI1091" s="4"/>
      <c r="AJ1091" s="4">
        <f>=ROUNDDOWN({0},0)</f>
      </c>
      <c r="AK1091" s="5"/>
      <c r="AL1091" s="2" t="s">
        <v>98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/>
      <c r="AW1091" s="8"/>
      <c r="AX1091" s="4"/>
      <c r="AY1091" s="8"/>
      <c r="AZ1091" s="7"/>
      <c r="BA1091" s="7"/>
      <c r="BB1091" s="7"/>
      <c r="BC1091" s="4"/>
      <c r="BD1091" s="8"/>
      <c r="BE1091" s="4"/>
      <c r="BF1091" s="8"/>
      <c r="BG1091" s="7"/>
      <c r="BH1091" s="7"/>
      <c r="BI1091" s="7"/>
      <c r="BJ1091" s="4"/>
      <c r="BK1091" s="8"/>
      <c r="BL1091" s="2" t="s">
        <v>98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107</v>
      </c>
      <c r="BV1091" s="2" t="s">
        <v>95</v>
      </c>
      <c r="BW1091" s="2" t="s">
        <v>4635</v>
      </c>
      <c r="BX1091" s="2" t="s">
        <v>98</v>
      </c>
      <c r="BY1091" s="2" t="s">
        <v>110</v>
      </c>
      <c r="BZ1091" s="2" t="s">
        <v>98</v>
      </c>
    </row>
    <row r="1092">
      <c r="A1092" s="2" t="s">
        <v>4951</v>
      </c>
      <c r="B1092" s="2" t="s">
        <v>4584</v>
      </c>
      <c r="C1092" s="2" t="s">
        <v>952</v>
      </c>
      <c r="D1092" s="2" t="s">
        <v>4686</v>
      </c>
      <c r="E1092" s="2" t="s">
        <v>4687</v>
      </c>
      <c r="F1092" s="2" t="s">
        <v>409</v>
      </c>
      <c r="G1092" s="2" t="s">
        <v>409</v>
      </c>
      <c r="H1092" s="2" t="s">
        <v>409</v>
      </c>
      <c r="I1092" s="2" t="s">
        <v>4952</v>
      </c>
      <c r="J1092" s="2" t="s">
        <v>4953</v>
      </c>
      <c r="K1092" s="2" t="s">
        <v>294</v>
      </c>
      <c r="L1092" s="3">
        <v>94.5</v>
      </c>
      <c r="M1092" s="3">
        <v>99.22</v>
      </c>
      <c r="N1092" s="3">
        <v>219.99</v>
      </c>
      <c r="O1092" s="2" t="s">
        <v>95</v>
      </c>
      <c r="P1092" s="2" t="s">
        <v>142</v>
      </c>
      <c r="Q1092" s="2" t="s">
        <v>97</v>
      </c>
      <c r="R1092" s="2" t="s">
        <v>98</v>
      </c>
      <c r="S1092" s="2" t="s">
        <v>98</v>
      </c>
      <c r="T1092" s="2" t="s">
        <v>98</v>
      </c>
      <c r="U1092" s="2" t="s">
        <v>117</v>
      </c>
      <c r="V1092" s="2" t="s">
        <v>296</v>
      </c>
      <c r="W1092" s="2" t="s">
        <v>204</v>
      </c>
      <c r="X1092" s="2" t="s">
        <v>4954</v>
      </c>
      <c r="Y1092" s="2" t="s">
        <v>2070</v>
      </c>
      <c r="Z1092" s="4">
        <v>40</v>
      </c>
      <c r="AA1092" s="4">
        <f>=ROUNDDOWN(20,0)</f>
      </c>
      <c r="AB1092" s="5">
        <v>2</v>
      </c>
      <c r="AC1092" s="2" t="s">
        <v>98</v>
      </c>
      <c r="AD1092" s="4"/>
      <c r="AE1092" s="4"/>
      <c r="AF1092" s="6">
        <v>63</v>
      </c>
      <c r="AG1092" s="6"/>
      <c r="AH1092" s="7">
        <v>1</v>
      </c>
      <c r="AI1092" s="4"/>
      <c r="AJ1092" s="4">
        <f>=ROUNDDOWN({0},0)</f>
      </c>
      <c r="AK1092" s="5"/>
      <c r="AL1092" s="2" t="s">
        <v>98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 t="s">
        <v>98</v>
      </c>
      <c r="AW1092" s="8" t="s">
        <v>98</v>
      </c>
      <c r="AX1092" s="4" t="s">
        <v>98</v>
      </c>
      <c r="AY1092" s="8" t="s">
        <v>98</v>
      </c>
      <c r="AZ1092" s="7" t="s">
        <v>98</v>
      </c>
      <c r="BA1092" s="7" t="s">
        <v>98</v>
      </c>
      <c r="BB1092" s="7"/>
      <c r="BC1092" s="4" t="s">
        <v>98</v>
      </c>
      <c r="BD1092" s="8" t="s">
        <v>98</v>
      </c>
      <c r="BE1092" s="4" t="s">
        <v>98</v>
      </c>
      <c r="BF1092" s="8" t="s">
        <v>98</v>
      </c>
      <c r="BG1092" s="7" t="s">
        <v>98</v>
      </c>
      <c r="BH1092" s="7" t="s">
        <v>98</v>
      </c>
      <c r="BI1092" s="7"/>
      <c r="BJ1092" s="4"/>
      <c r="BK1092" s="8"/>
      <c r="BL1092" s="2" t="s">
        <v>98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107</v>
      </c>
      <c r="BV1092" s="2" t="s">
        <v>95</v>
      </c>
      <c r="BW1092" s="2" t="s">
        <v>4635</v>
      </c>
      <c r="BX1092" s="2" t="s">
        <v>98</v>
      </c>
      <c r="BY1092" s="2" t="s">
        <v>110</v>
      </c>
      <c r="BZ1092" s="2" t="s">
        <v>98</v>
      </c>
    </row>
    <row r="1093">
      <c r="A1093" s="2" t="s">
        <v>4955</v>
      </c>
      <c r="B1093" s="2" t="s">
        <v>4584</v>
      </c>
      <c r="C1093" s="2" t="s">
        <v>952</v>
      </c>
      <c r="D1093" s="2" t="s">
        <v>4686</v>
      </c>
      <c r="E1093" s="2" t="s">
        <v>4687</v>
      </c>
      <c r="F1093" s="2" t="s">
        <v>409</v>
      </c>
      <c r="G1093" s="2" t="s">
        <v>409</v>
      </c>
      <c r="H1093" s="2" t="s">
        <v>409</v>
      </c>
      <c r="I1093" s="2" t="s">
        <v>4956</v>
      </c>
      <c r="J1093" s="2" t="s">
        <v>4957</v>
      </c>
      <c r="K1093" s="2" t="s">
        <v>294</v>
      </c>
      <c r="L1093" s="3">
        <v>63.9</v>
      </c>
      <c r="M1093" s="3">
        <v>67.1</v>
      </c>
      <c r="N1093" s="3">
        <v>149.99</v>
      </c>
      <c r="O1093" s="2" t="s">
        <v>95</v>
      </c>
      <c r="P1093" s="2" t="s">
        <v>142</v>
      </c>
      <c r="Q1093" s="2" t="s">
        <v>97</v>
      </c>
      <c r="R1093" s="2" t="s">
        <v>98</v>
      </c>
      <c r="S1093" s="2" t="s">
        <v>98</v>
      </c>
      <c r="T1093" s="2" t="s">
        <v>98</v>
      </c>
      <c r="U1093" s="2" t="s">
        <v>98</v>
      </c>
      <c r="V1093" s="2" t="s">
        <v>296</v>
      </c>
      <c r="W1093" s="2" t="s">
        <v>102</v>
      </c>
      <c r="X1093" s="2" t="s">
        <v>103</v>
      </c>
      <c r="Y1093" s="2" t="s">
        <v>4861</v>
      </c>
      <c r="Z1093" s="4">
        <v>80</v>
      </c>
      <c r="AA1093" s="4">
        <f>=ROUNDDOWN({0},0)</f>
      </c>
      <c r="AB1093" s="5"/>
      <c r="AC1093" s="2" t="s">
        <v>98</v>
      </c>
      <c r="AD1093" s="4"/>
      <c r="AE1093" s="4"/>
      <c r="AF1093" s="6">
        <v>63</v>
      </c>
      <c r="AG1093" s="6"/>
      <c r="AH1093" s="7">
        <v>1</v>
      </c>
      <c r="AI1093" s="4"/>
      <c r="AJ1093" s="4">
        <f>=ROUNDDOWN({0},0)</f>
      </c>
      <c r="AK1093" s="5"/>
      <c r="AL1093" s="2" t="s">
        <v>98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 t="s">
        <v>98</v>
      </c>
      <c r="AW1093" s="8" t="s">
        <v>98</v>
      </c>
      <c r="AX1093" s="4" t="s">
        <v>98</v>
      </c>
      <c r="AY1093" s="8" t="s">
        <v>98</v>
      </c>
      <c r="AZ1093" s="7" t="s">
        <v>98</v>
      </c>
      <c r="BA1093" s="7" t="s">
        <v>98</v>
      </c>
      <c r="BB1093" s="7"/>
      <c r="BC1093" s="4" t="s">
        <v>98</v>
      </c>
      <c r="BD1093" s="8" t="s">
        <v>98</v>
      </c>
      <c r="BE1093" s="4" t="s">
        <v>98</v>
      </c>
      <c r="BF1093" s="8" t="s">
        <v>98</v>
      </c>
      <c r="BG1093" s="7" t="s">
        <v>98</v>
      </c>
      <c r="BH1093" s="7" t="s">
        <v>98</v>
      </c>
      <c r="BI1093" s="7"/>
      <c r="BJ1093" s="4"/>
      <c r="BK1093" s="8"/>
      <c r="BL1093" s="2" t="s">
        <v>98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107</v>
      </c>
      <c r="BV1093" s="2" t="s">
        <v>95</v>
      </c>
      <c r="BW1093" s="2" t="s">
        <v>4635</v>
      </c>
      <c r="BX1093" s="2" t="s">
        <v>4958</v>
      </c>
      <c r="BY1093" s="2" t="s">
        <v>110</v>
      </c>
      <c r="BZ1093" s="2" t="s">
        <v>98</v>
      </c>
    </row>
    <row r="1094">
      <c r="A1094" s="2" t="s">
        <v>4959</v>
      </c>
      <c r="B1094" s="2" t="s">
        <v>4584</v>
      </c>
      <c r="C1094" s="2" t="s">
        <v>952</v>
      </c>
      <c r="D1094" s="2" t="s">
        <v>4686</v>
      </c>
      <c r="E1094" s="2" t="s">
        <v>4687</v>
      </c>
      <c r="F1094" s="2" t="s">
        <v>1860</v>
      </c>
      <c r="G1094" s="2" t="s">
        <v>1860</v>
      </c>
      <c r="H1094" s="2" t="s">
        <v>1860</v>
      </c>
      <c r="I1094" s="2" t="s">
        <v>4960</v>
      </c>
      <c r="J1094" s="2" t="s">
        <v>93</v>
      </c>
      <c r="K1094" s="2" t="s">
        <v>4961</v>
      </c>
      <c r="L1094" s="3">
        <v>103.68</v>
      </c>
      <c r="M1094" s="3">
        <v>108.86</v>
      </c>
      <c r="N1094" s="3">
        <v>239.99</v>
      </c>
      <c r="O1094" s="2" t="s">
        <v>95</v>
      </c>
      <c r="P1094" s="2" t="s">
        <v>142</v>
      </c>
      <c r="Q1094" s="2" t="s">
        <v>97</v>
      </c>
      <c r="R1094" s="2" t="s">
        <v>98</v>
      </c>
      <c r="S1094" s="2" t="s">
        <v>98</v>
      </c>
      <c r="T1094" s="2" t="s">
        <v>98</v>
      </c>
      <c r="U1094" s="2" t="s">
        <v>117</v>
      </c>
      <c r="V1094" s="2" t="s">
        <v>296</v>
      </c>
      <c r="W1094" s="2" t="s">
        <v>102</v>
      </c>
      <c r="X1094" s="2" t="s">
        <v>98</v>
      </c>
      <c r="Y1094" s="2" t="s">
        <v>4803</v>
      </c>
      <c r="Z1094" s="4">
        <v>79</v>
      </c>
      <c r="AA1094" s="4">
        <f>=ROUNDDOWN(26.3333333333333,0)</f>
      </c>
      <c r="AB1094" s="5">
        <v>3</v>
      </c>
      <c r="AC1094" s="2" t="s">
        <v>98</v>
      </c>
      <c r="AD1094" s="4"/>
      <c r="AE1094" s="4"/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98</v>
      </c>
      <c r="AM1094" s="4"/>
      <c r="AN1094" s="4"/>
      <c r="AO1094" s="7">
        <v>0</v>
      </c>
      <c r="AP1094" s="4"/>
      <c r="AQ1094" s="8"/>
      <c r="AR1094" s="4"/>
      <c r="AS1094" s="8"/>
      <c r="AT1094" s="7"/>
      <c r="AU1094" s="7"/>
      <c r="AV1094" s="4"/>
      <c r="AW1094" s="8"/>
      <c r="AX1094" s="4"/>
      <c r="AY1094" s="8"/>
      <c r="AZ1094" s="7"/>
      <c r="BA1094" s="7"/>
      <c r="BB1094" s="7"/>
      <c r="BC1094" s="4"/>
      <c r="BD1094" s="8"/>
      <c r="BE1094" s="4"/>
      <c r="BF1094" s="8"/>
      <c r="BG1094" s="7"/>
      <c r="BH1094" s="7"/>
      <c r="BI1094" s="7"/>
      <c r="BJ1094" s="4"/>
      <c r="BK1094" s="8"/>
      <c r="BL1094" s="2" t="s">
        <v>4962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107</v>
      </c>
      <c r="BV1094" s="2" t="s">
        <v>95</v>
      </c>
      <c r="BW1094" s="2" t="s">
        <v>4635</v>
      </c>
      <c r="BX1094" s="2" t="s">
        <v>4963</v>
      </c>
      <c r="BY1094" s="2" t="s">
        <v>110</v>
      </c>
      <c r="BZ1094" s="2" t="s">
        <v>98</v>
      </c>
    </row>
    <row r="1095">
      <c r="A1095" s="2" t="s">
        <v>4964</v>
      </c>
      <c r="B1095" s="2" t="s">
        <v>4584</v>
      </c>
      <c r="C1095" s="2" t="s">
        <v>952</v>
      </c>
      <c r="D1095" s="2" t="s">
        <v>4686</v>
      </c>
      <c r="E1095" s="2" t="s">
        <v>4687</v>
      </c>
      <c r="F1095" s="2" t="s">
        <v>4965</v>
      </c>
      <c r="G1095" s="2" t="s">
        <v>4965</v>
      </c>
      <c r="H1095" s="2" t="s">
        <v>4965</v>
      </c>
      <c r="I1095" s="2" t="s">
        <v>4966</v>
      </c>
      <c r="J1095" s="2" t="s">
        <v>93</v>
      </c>
      <c r="K1095" s="2" t="s">
        <v>4845</v>
      </c>
      <c r="L1095" s="3">
        <v>145</v>
      </c>
      <c r="M1095" s="3">
        <v>152.25</v>
      </c>
      <c r="N1095" s="3">
        <v>299</v>
      </c>
      <c r="O1095" s="2" t="s">
        <v>95</v>
      </c>
      <c r="P1095" s="2" t="s">
        <v>295</v>
      </c>
      <c r="Q1095" s="2" t="s">
        <v>97</v>
      </c>
      <c r="R1095" s="2" t="s">
        <v>98</v>
      </c>
      <c r="S1095" s="2" t="s">
        <v>98</v>
      </c>
      <c r="T1095" s="2" t="s">
        <v>98</v>
      </c>
      <c r="U1095" s="2" t="s">
        <v>117</v>
      </c>
      <c r="V1095" s="2" t="s">
        <v>296</v>
      </c>
      <c r="W1095" s="2" t="s">
        <v>102</v>
      </c>
      <c r="X1095" s="2" t="s">
        <v>963</v>
      </c>
      <c r="Y1095" s="2" t="s">
        <v>1632</v>
      </c>
      <c r="Z1095" s="4">
        <v>100</v>
      </c>
      <c r="AA1095" s="4">
        <f>=ROUNDDOWN({0},0)</f>
      </c>
      <c r="AB1095" s="5"/>
      <c r="AC1095" s="2" t="s">
        <v>98</v>
      </c>
      <c r="AD1095" s="4"/>
      <c r="AE1095" s="4"/>
      <c r="AF1095" s="6">
        <v>63</v>
      </c>
      <c r="AG1095" s="6"/>
      <c r="AH1095" s="7">
        <v>1</v>
      </c>
      <c r="AI1095" s="4"/>
      <c r="AJ1095" s="4">
        <f>=ROUNDDOWN({0},0)</f>
      </c>
      <c r="AK1095" s="5"/>
      <c r="AL1095" s="2" t="s">
        <v>98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/>
      <c r="AW1095" s="8"/>
      <c r="AX1095" s="4"/>
      <c r="AY1095" s="8"/>
      <c r="AZ1095" s="7"/>
      <c r="BA1095" s="7"/>
      <c r="BB1095" s="7"/>
      <c r="BC1095" s="4"/>
      <c r="BD1095" s="8"/>
      <c r="BE1095" s="4"/>
      <c r="BF1095" s="8"/>
      <c r="BG1095" s="7"/>
      <c r="BH1095" s="7"/>
      <c r="BI1095" s="7"/>
      <c r="BJ1095" s="4"/>
      <c r="BK1095" s="8"/>
      <c r="BL1095" s="2" t="s">
        <v>98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324</v>
      </c>
      <c r="BV1095" s="2" t="s">
        <v>95</v>
      </c>
      <c r="BW1095" s="2" t="s">
        <v>98</v>
      </c>
      <c r="BX1095" s="2" t="s">
        <v>98</v>
      </c>
      <c r="BY1095" s="2" t="s">
        <v>110</v>
      </c>
      <c r="BZ1095" s="2" t="s">
        <v>98</v>
      </c>
    </row>
    <row r="1096">
      <c r="A1096" s="2" t="s">
        <v>4967</v>
      </c>
      <c r="B1096" s="2" t="s">
        <v>4584</v>
      </c>
      <c r="C1096" s="2" t="s">
        <v>952</v>
      </c>
      <c r="D1096" s="2" t="s">
        <v>4686</v>
      </c>
      <c r="E1096" s="2" t="s">
        <v>4687</v>
      </c>
      <c r="F1096" s="2" t="s">
        <v>4968</v>
      </c>
      <c r="G1096" s="2" t="s">
        <v>4968</v>
      </c>
      <c r="H1096" s="2" t="s">
        <v>4968</v>
      </c>
      <c r="I1096" s="2" t="s">
        <v>4969</v>
      </c>
      <c r="J1096" s="2" t="s">
        <v>93</v>
      </c>
      <c r="K1096" s="2" t="s">
        <v>2734</v>
      </c>
      <c r="L1096" s="3">
        <v>128.6</v>
      </c>
      <c r="M1096" s="3">
        <v>135.03</v>
      </c>
      <c r="N1096" s="3">
        <v>319.99</v>
      </c>
      <c r="O1096" s="2" t="s">
        <v>95</v>
      </c>
      <c r="P1096" s="2" t="s">
        <v>142</v>
      </c>
      <c r="Q1096" s="2" t="s">
        <v>97</v>
      </c>
      <c r="R1096" s="2" t="s">
        <v>98</v>
      </c>
      <c r="S1096" s="2" t="s">
        <v>4970</v>
      </c>
      <c r="T1096" s="2" t="s">
        <v>98</v>
      </c>
      <c r="U1096" s="2" t="s">
        <v>98</v>
      </c>
      <c r="V1096" s="2" t="s">
        <v>331</v>
      </c>
      <c r="W1096" s="2" t="s">
        <v>102</v>
      </c>
      <c r="X1096" s="2" t="s">
        <v>98</v>
      </c>
      <c r="Y1096" s="2" t="s">
        <v>366</v>
      </c>
      <c r="Z1096" s="4">
        <v>51</v>
      </c>
      <c r="AA1096" s="4">
        <f>=ROUNDDOWN(63.75,0)</f>
      </c>
      <c r="AB1096" s="5">
        <v>0.8</v>
      </c>
      <c r="AC1096" s="2" t="s">
        <v>98</v>
      </c>
      <c r="AD1096" s="4"/>
      <c r="AE1096" s="4"/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98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/>
      <c r="AW1096" s="8"/>
      <c r="AX1096" s="4"/>
      <c r="AY1096" s="8"/>
      <c r="AZ1096" s="7"/>
      <c r="BA1096" s="7"/>
      <c r="BB1096" s="7"/>
      <c r="BC1096" s="4" t="s">
        <v>98</v>
      </c>
      <c r="BD1096" s="8" t="s">
        <v>98</v>
      </c>
      <c r="BE1096" s="4" t="s">
        <v>98</v>
      </c>
      <c r="BF1096" s="8" t="s">
        <v>98</v>
      </c>
      <c r="BG1096" s="7" t="s">
        <v>98</v>
      </c>
      <c r="BH1096" s="7" t="s">
        <v>98</v>
      </c>
      <c r="BI1096" s="7"/>
      <c r="BJ1096" s="4"/>
      <c r="BK1096" s="8"/>
      <c r="BL1096" s="2" t="s">
        <v>98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107</v>
      </c>
      <c r="BV1096" s="2" t="s">
        <v>95</v>
      </c>
      <c r="BW1096" s="2" t="s">
        <v>2455</v>
      </c>
      <c r="BX1096" s="2" t="s">
        <v>3501</v>
      </c>
      <c r="BY1096" s="2" t="s">
        <v>110</v>
      </c>
      <c r="BZ1096" s="2" t="s">
        <v>98</v>
      </c>
    </row>
    <row r="1097">
      <c r="A1097" s="2" t="s">
        <v>4971</v>
      </c>
      <c r="B1097" s="2" t="s">
        <v>4584</v>
      </c>
      <c r="C1097" s="2" t="s">
        <v>952</v>
      </c>
      <c r="D1097" s="2" t="s">
        <v>4686</v>
      </c>
      <c r="E1097" s="2" t="s">
        <v>4687</v>
      </c>
      <c r="F1097" s="2" t="s">
        <v>4968</v>
      </c>
      <c r="G1097" s="2" t="s">
        <v>4968</v>
      </c>
      <c r="H1097" s="2" t="s">
        <v>4968</v>
      </c>
      <c r="I1097" s="2" t="s">
        <v>4969</v>
      </c>
      <c r="J1097" s="2" t="s">
        <v>93</v>
      </c>
      <c r="K1097" s="2" t="s">
        <v>294</v>
      </c>
      <c r="L1097" s="3">
        <v>128.6</v>
      </c>
      <c r="M1097" s="3">
        <v>135.03</v>
      </c>
      <c r="N1097" s="3">
        <v>319.99</v>
      </c>
      <c r="O1097" s="2" t="s">
        <v>95</v>
      </c>
      <c r="P1097" s="2" t="s">
        <v>134</v>
      </c>
      <c r="Q1097" s="2" t="s">
        <v>97</v>
      </c>
      <c r="R1097" s="2" t="s">
        <v>98</v>
      </c>
      <c r="S1097" s="2" t="s">
        <v>4972</v>
      </c>
      <c r="T1097" s="2" t="s">
        <v>98</v>
      </c>
      <c r="U1097" s="2" t="s">
        <v>98</v>
      </c>
      <c r="V1097" s="2" t="s">
        <v>331</v>
      </c>
      <c r="W1097" s="2" t="s">
        <v>102</v>
      </c>
      <c r="X1097" s="2" t="s">
        <v>98</v>
      </c>
      <c r="Y1097" s="2" t="s">
        <v>366</v>
      </c>
      <c r="Z1097" s="4">
        <v>173</v>
      </c>
      <c r="AA1097" s="4">
        <f>=ROUNDDOWN(43.25,0)</f>
      </c>
      <c r="AB1097" s="5">
        <v>4</v>
      </c>
      <c r="AC1097" s="2" t="s">
        <v>98</v>
      </c>
      <c r="AD1097" s="4"/>
      <c r="AE1097" s="4"/>
      <c r="AF1097" s="6">
        <v>63</v>
      </c>
      <c r="AG1097" s="6"/>
      <c r="AH1097" s="7">
        <v>1</v>
      </c>
      <c r="AI1097" s="4"/>
      <c r="AJ1097" s="4">
        <f>=ROUNDDOWN({0},0)</f>
      </c>
      <c r="AK1097" s="5"/>
      <c r="AL1097" s="2" t="s">
        <v>98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/>
      <c r="AW1097" s="8"/>
      <c r="AX1097" s="4"/>
      <c r="AY1097" s="8"/>
      <c r="AZ1097" s="7"/>
      <c r="BA1097" s="7"/>
      <c r="BB1097" s="7"/>
      <c r="BC1097" s="4" t="s">
        <v>98</v>
      </c>
      <c r="BD1097" s="8" t="s">
        <v>98</v>
      </c>
      <c r="BE1097" s="4" t="s">
        <v>98</v>
      </c>
      <c r="BF1097" s="8" t="s">
        <v>98</v>
      </c>
      <c r="BG1097" s="7" t="s">
        <v>98</v>
      </c>
      <c r="BH1097" s="7" t="s">
        <v>98</v>
      </c>
      <c r="BI1097" s="7"/>
      <c r="BJ1097" s="4"/>
      <c r="BK1097" s="8"/>
      <c r="BL1097" s="2" t="s">
        <v>3321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107</v>
      </c>
      <c r="BV1097" s="2" t="s">
        <v>95</v>
      </c>
      <c r="BW1097" s="2" t="s">
        <v>2455</v>
      </c>
      <c r="BX1097" s="2" t="s">
        <v>3501</v>
      </c>
      <c r="BY1097" s="2" t="s">
        <v>110</v>
      </c>
      <c r="BZ1097" s="2" t="s">
        <v>98</v>
      </c>
    </row>
    <row r="1098">
      <c r="A1098" s="2" t="s">
        <v>4973</v>
      </c>
      <c r="B1098" s="2" t="s">
        <v>4584</v>
      </c>
      <c r="C1098" s="2" t="s">
        <v>952</v>
      </c>
      <c r="D1098" s="2" t="s">
        <v>4686</v>
      </c>
      <c r="E1098" s="2" t="s">
        <v>4687</v>
      </c>
      <c r="F1098" s="2" t="s">
        <v>4974</v>
      </c>
      <c r="G1098" s="2" t="s">
        <v>4974</v>
      </c>
      <c r="H1098" s="2" t="s">
        <v>4974</v>
      </c>
      <c r="I1098" s="2" t="s">
        <v>4975</v>
      </c>
      <c r="J1098" s="2" t="s">
        <v>93</v>
      </c>
      <c r="K1098" s="2" t="s">
        <v>4976</v>
      </c>
      <c r="L1098" s="3">
        <v>88.78</v>
      </c>
      <c r="M1098" s="3">
        <v>93.22</v>
      </c>
      <c r="N1098" s="3">
        <v>199</v>
      </c>
      <c r="O1098" s="2" t="s">
        <v>95</v>
      </c>
      <c r="P1098" s="2" t="s">
        <v>115</v>
      </c>
      <c r="Q1098" s="2" t="s">
        <v>97</v>
      </c>
      <c r="R1098" s="2" t="s">
        <v>98</v>
      </c>
      <c r="S1098" s="2" t="s">
        <v>98</v>
      </c>
      <c r="T1098" s="2" t="s">
        <v>98</v>
      </c>
      <c r="U1098" s="2" t="s">
        <v>117</v>
      </c>
      <c r="V1098" s="2" t="s">
        <v>296</v>
      </c>
      <c r="W1098" s="2" t="s">
        <v>102</v>
      </c>
      <c r="X1098" s="2" t="s">
        <v>4977</v>
      </c>
      <c r="Y1098" s="2" t="s">
        <v>4861</v>
      </c>
      <c r="Z1098" s="4">
        <v>87</v>
      </c>
      <c r="AA1098" s="4">
        <f>=ROUNDDOWN(870,0)</f>
      </c>
      <c r="AB1098" s="5">
        <v>0.1</v>
      </c>
      <c r="AC1098" s="2" t="s">
        <v>98</v>
      </c>
      <c r="AD1098" s="4"/>
      <c r="AE1098" s="4"/>
      <c r="AF1098" s="6">
        <v>63</v>
      </c>
      <c r="AG1098" s="6"/>
      <c r="AH1098" s="7">
        <v>1</v>
      </c>
      <c r="AI1098" s="4"/>
      <c r="AJ1098" s="4">
        <f>=ROUNDDOWN({0},0)</f>
      </c>
      <c r="AK1098" s="5"/>
      <c r="AL1098" s="2" t="s">
        <v>98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/>
      <c r="AW1098" s="8"/>
      <c r="AX1098" s="4"/>
      <c r="AY1098" s="8"/>
      <c r="AZ1098" s="7"/>
      <c r="BA1098" s="7"/>
      <c r="BB1098" s="7"/>
      <c r="BC1098" s="4"/>
      <c r="BD1098" s="8"/>
      <c r="BE1098" s="4"/>
      <c r="BF1098" s="8"/>
      <c r="BG1098" s="7"/>
      <c r="BH1098" s="7"/>
      <c r="BI1098" s="7"/>
      <c r="BJ1098" s="4"/>
      <c r="BK1098" s="8"/>
      <c r="BL1098" s="2" t="s">
        <v>98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107</v>
      </c>
      <c r="BV1098" s="2" t="s">
        <v>95</v>
      </c>
      <c r="BW1098" s="2" t="s">
        <v>4635</v>
      </c>
      <c r="BX1098" s="2" t="s">
        <v>98</v>
      </c>
      <c r="BY1098" s="2" t="s">
        <v>110</v>
      </c>
      <c r="BZ1098" s="2" t="s">
        <v>98</v>
      </c>
    </row>
    <row r="1099">
      <c r="A1099" s="2" t="s">
        <v>4978</v>
      </c>
      <c r="B1099" s="2" t="s">
        <v>4584</v>
      </c>
      <c r="C1099" s="2" t="s">
        <v>952</v>
      </c>
      <c r="D1099" s="2" t="s">
        <v>4686</v>
      </c>
      <c r="E1099" s="2" t="s">
        <v>4687</v>
      </c>
      <c r="F1099" s="2" t="s">
        <v>2975</v>
      </c>
      <c r="G1099" s="2" t="s">
        <v>2975</v>
      </c>
      <c r="H1099" s="2" t="s">
        <v>2975</v>
      </c>
      <c r="I1099" s="2" t="s">
        <v>4979</v>
      </c>
      <c r="J1099" s="2" t="s">
        <v>93</v>
      </c>
      <c r="K1099" s="2" t="s">
        <v>4781</v>
      </c>
      <c r="L1099" s="3">
        <v>103.5</v>
      </c>
      <c r="M1099" s="3">
        <v>108.68</v>
      </c>
      <c r="N1099" s="3">
        <v>234.99</v>
      </c>
      <c r="O1099" s="2" t="s">
        <v>95</v>
      </c>
      <c r="P1099" s="2" t="s">
        <v>142</v>
      </c>
      <c r="Q1099" s="2" t="s">
        <v>97</v>
      </c>
      <c r="R1099" s="2" t="s">
        <v>98</v>
      </c>
      <c r="S1099" s="2" t="s">
        <v>98</v>
      </c>
      <c r="T1099" s="2" t="s">
        <v>98</v>
      </c>
      <c r="U1099" s="2" t="s">
        <v>98</v>
      </c>
      <c r="V1099" s="2" t="s">
        <v>296</v>
      </c>
      <c r="W1099" s="2" t="s">
        <v>963</v>
      </c>
      <c r="X1099" s="2" t="s">
        <v>98</v>
      </c>
      <c r="Y1099" s="2" t="s">
        <v>4803</v>
      </c>
      <c r="Z1099" s="4">
        <v>55</v>
      </c>
      <c r="AA1099" s="4">
        <f>=ROUNDDOWN(55,0)</f>
      </c>
      <c r="AB1099" s="5">
        <v>1</v>
      </c>
      <c r="AC1099" s="2" t="s">
        <v>98</v>
      </c>
      <c r="AD1099" s="4"/>
      <c r="AE1099" s="4"/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98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/>
      <c r="AW1099" s="8"/>
      <c r="AX1099" s="4"/>
      <c r="AY1099" s="8"/>
      <c r="AZ1099" s="7"/>
      <c r="BA1099" s="7"/>
      <c r="BB1099" s="7"/>
      <c r="BC1099" s="4"/>
      <c r="BD1099" s="8"/>
      <c r="BE1099" s="4"/>
      <c r="BF1099" s="8"/>
      <c r="BG1099" s="7"/>
      <c r="BH1099" s="7"/>
      <c r="BI1099" s="7"/>
      <c r="BJ1099" s="4"/>
      <c r="BK1099" s="8"/>
      <c r="BL1099" s="2" t="s">
        <v>98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107</v>
      </c>
      <c r="BV1099" s="2" t="s">
        <v>95</v>
      </c>
      <c r="BW1099" s="2" t="s">
        <v>4635</v>
      </c>
      <c r="BX1099" s="2" t="s">
        <v>98</v>
      </c>
      <c r="BY1099" s="2" t="s">
        <v>110</v>
      </c>
      <c r="BZ1099" s="2" t="s">
        <v>98</v>
      </c>
    </row>
    <row r="1100">
      <c r="A1100" s="2" t="s">
        <v>4980</v>
      </c>
      <c r="B1100" s="2" t="s">
        <v>4584</v>
      </c>
      <c r="C1100" s="2" t="s">
        <v>952</v>
      </c>
      <c r="D1100" s="2" t="s">
        <v>4686</v>
      </c>
      <c r="E1100" s="2" t="s">
        <v>4687</v>
      </c>
      <c r="F1100" s="2" t="s">
        <v>4981</v>
      </c>
      <c r="G1100" s="2" t="s">
        <v>4981</v>
      </c>
      <c r="H1100" s="2" t="s">
        <v>4981</v>
      </c>
      <c r="I1100" s="2" t="s">
        <v>4982</v>
      </c>
      <c r="J1100" s="2" t="s">
        <v>93</v>
      </c>
      <c r="K1100" s="2" t="s">
        <v>4777</v>
      </c>
      <c r="L1100" s="3">
        <v>87.4</v>
      </c>
      <c r="M1100" s="3">
        <v>91.77</v>
      </c>
      <c r="N1100" s="3">
        <v>199.99</v>
      </c>
      <c r="O1100" s="2" t="s">
        <v>95</v>
      </c>
      <c r="P1100" s="2" t="s">
        <v>115</v>
      </c>
      <c r="Q1100" s="2" t="s">
        <v>97</v>
      </c>
      <c r="R1100" s="2" t="s">
        <v>98</v>
      </c>
      <c r="S1100" s="2" t="s">
        <v>98</v>
      </c>
      <c r="T1100" s="2" t="s">
        <v>98</v>
      </c>
      <c r="U1100" s="2" t="s">
        <v>117</v>
      </c>
      <c r="V1100" s="2" t="s">
        <v>296</v>
      </c>
      <c r="W1100" s="2" t="s">
        <v>102</v>
      </c>
      <c r="X1100" s="2" t="s">
        <v>963</v>
      </c>
      <c r="Y1100" s="2" t="s">
        <v>353</v>
      </c>
      <c r="Z1100" s="4">
        <v>98</v>
      </c>
      <c r="AA1100" s="4">
        <f>=ROUNDDOWN({0},0)</f>
      </c>
      <c r="AB1100" s="5"/>
      <c r="AC1100" s="2" t="s">
        <v>98</v>
      </c>
      <c r="AD1100" s="4"/>
      <c r="AE1100" s="4"/>
      <c r="AF1100" s="6">
        <v>63</v>
      </c>
      <c r="AG1100" s="6"/>
      <c r="AH1100" s="7">
        <v>1</v>
      </c>
      <c r="AI1100" s="4"/>
      <c r="AJ1100" s="4">
        <f>=ROUNDDOWN({0},0)</f>
      </c>
      <c r="AK1100" s="5"/>
      <c r="AL1100" s="2" t="s">
        <v>98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/>
      <c r="AW1100" s="8"/>
      <c r="AX1100" s="4"/>
      <c r="AY1100" s="8"/>
      <c r="AZ1100" s="7"/>
      <c r="BA1100" s="7"/>
      <c r="BB1100" s="7"/>
      <c r="BC1100" s="4"/>
      <c r="BD1100" s="8"/>
      <c r="BE1100" s="4"/>
      <c r="BF1100" s="8"/>
      <c r="BG1100" s="7"/>
      <c r="BH1100" s="7"/>
      <c r="BI1100" s="7"/>
      <c r="BJ1100" s="4"/>
      <c r="BK1100" s="8"/>
      <c r="BL1100" s="2" t="s">
        <v>98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107</v>
      </c>
      <c r="BV1100" s="2" t="s">
        <v>95</v>
      </c>
      <c r="BW1100" s="2" t="s">
        <v>4635</v>
      </c>
      <c r="BX1100" s="2" t="s">
        <v>98</v>
      </c>
      <c r="BY1100" s="2" t="s">
        <v>110</v>
      </c>
      <c r="BZ1100" s="2" t="s">
        <v>98</v>
      </c>
    </row>
    <row r="1101">
      <c r="A1101" s="2" t="s">
        <v>4983</v>
      </c>
      <c r="B1101" s="2" t="s">
        <v>4584</v>
      </c>
      <c r="C1101" s="2" t="s">
        <v>952</v>
      </c>
      <c r="D1101" s="2" t="s">
        <v>4686</v>
      </c>
      <c r="E1101" s="2" t="s">
        <v>4687</v>
      </c>
      <c r="F1101" s="2" t="s">
        <v>4082</v>
      </c>
      <c r="G1101" s="2" t="s">
        <v>4082</v>
      </c>
      <c r="H1101" s="2" t="s">
        <v>4082</v>
      </c>
      <c r="I1101" s="2" t="s">
        <v>4984</v>
      </c>
      <c r="J1101" s="2" t="s">
        <v>93</v>
      </c>
      <c r="K1101" s="2" t="s">
        <v>4767</v>
      </c>
      <c r="L1101" s="3">
        <v>116.24</v>
      </c>
      <c r="M1101" s="3">
        <v>122.05</v>
      </c>
      <c r="N1101" s="3">
        <v>264.99</v>
      </c>
      <c r="O1101" s="2" t="s">
        <v>95</v>
      </c>
      <c r="P1101" s="2" t="s">
        <v>134</v>
      </c>
      <c r="Q1101" s="2" t="s">
        <v>97</v>
      </c>
      <c r="R1101" s="2" t="s">
        <v>98</v>
      </c>
      <c r="S1101" s="2" t="s">
        <v>98</v>
      </c>
      <c r="T1101" s="2" t="s">
        <v>98</v>
      </c>
      <c r="U1101" s="2" t="s">
        <v>117</v>
      </c>
      <c r="V1101" s="2" t="s">
        <v>296</v>
      </c>
      <c r="W1101" s="2" t="s">
        <v>968</v>
      </c>
      <c r="X1101" s="2" t="s">
        <v>98</v>
      </c>
      <c r="Y1101" s="2" t="s">
        <v>4692</v>
      </c>
      <c r="Z1101" s="4">
        <v>108</v>
      </c>
      <c r="AA1101" s="4">
        <f>=ROUNDDOWN(36,0)</f>
      </c>
      <c r="AB1101" s="5">
        <v>3</v>
      </c>
      <c r="AC1101" s="2" t="s">
        <v>98</v>
      </c>
      <c r="AD1101" s="4"/>
      <c r="AE1101" s="4"/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98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/>
      <c r="AW1101" s="8"/>
      <c r="AX1101" s="4"/>
      <c r="AY1101" s="8"/>
      <c r="AZ1101" s="7"/>
      <c r="BA1101" s="7"/>
      <c r="BB1101" s="7"/>
      <c r="BC1101" s="4"/>
      <c r="BD1101" s="8"/>
      <c r="BE1101" s="4"/>
      <c r="BF1101" s="8"/>
      <c r="BG1101" s="7"/>
      <c r="BH1101" s="7"/>
      <c r="BI1101" s="7"/>
      <c r="BJ1101" s="4">
        <v>2</v>
      </c>
      <c r="BK1101" s="8">
        <v>298.12</v>
      </c>
      <c r="BL1101" s="2" t="s">
        <v>2215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107</v>
      </c>
      <c r="BV1101" s="2" t="s">
        <v>95</v>
      </c>
      <c r="BW1101" s="2" t="s">
        <v>4635</v>
      </c>
      <c r="BX1101" s="2" t="s">
        <v>98</v>
      </c>
      <c r="BY1101" s="2" t="s">
        <v>110</v>
      </c>
      <c r="BZ1101" s="2" t="s">
        <v>98</v>
      </c>
    </row>
    <row r="1102">
      <c r="A1102" s="2" t="s">
        <v>4985</v>
      </c>
      <c r="B1102" s="2" t="s">
        <v>4584</v>
      </c>
      <c r="C1102" s="2" t="s">
        <v>952</v>
      </c>
      <c r="D1102" s="2" t="s">
        <v>4686</v>
      </c>
      <c r="E1102" s="2" t="s">
        <v>4687</v>
      </c>
      <c r="F1102" s="2" t="s">
        <v>3742</v>
      </c>
      <c r="G1102" s="2" t="s">
        <v>3742</v>
      </c>
      <c r="H1102" s="2" t="s">
        <v>3742</v>
      </c>
      <c r="I1102" s="2" t="s">
        <v>4691</v>
      </c>
      <c r="J1102" s="2" t="s">
        <v>93</v>
      </c>
      <c r="K1102" s="2" t="s">
        <v>4824</v>
      </c>
      <c r="L1102" s="3">
        <v>76.64</v>
      </c>
      <c r="M1102" s="3">
        <v>80.47</v>
      </c>
      <c r="N1102" s="3">
        <v>174.99</v>
      </c>
      <c r="O1102" s="2" t="s">
        <v>95</v>
      </c>
      <c r="P1102" s="2" t="s">
        <v>115</v>
      </c>
      <c r="Q1102" s="2" t="s">
        <v>97</v>
      </c>
      <c r="R1102" s="2" t="s">
        <v>98</v>
      </c>
      <c r="S1102" s="2" t="s">
        <v>98</v>
      </c>
      <c r="T1102" s="2" t="s">
        <v>98</v>
      </c>
      <c r="U1102" s="2" t="s">
        <v>117</v>
      </c>
      <c r="V1102" s="2" t="s">
        <v>296</v>
      </c>
      <c r="W1102" s="2" t="s">
        <v>102</v>
      </c>
      <c r="X1102" s="2" t="s">
        <v>98</v>
      </c>
      <c r="Y1102" s="2" t="s">
        <v>4803</v>
      </c>
      <c r="Z1102" s="4">
        <v>78</v>
      </c>
      <c r="AA1102" s="4">
        <f>=ROUNDDOWN(260,0)</f>
      </c>
      <c r="AB1102" s="5">
        <v>0.3</v>
      </c>
      <c r="AC1102" s="2" t="s">
        <v>98</v>
      </c>
      <c r="AD1102" s="4"/>
      <c r="AE1102" s="4"/>
      <c r="AF1102" s="6">
        <v>65</v>
      </c>
      <c r="AG1102" s="6"/>
      <c r="AH1102" s="7">
        <v>1</v>
      </c>
      <c r="AI1102" s="4"/>
      <c r="AJ1102" s="4">
        <f>=ROUNDDOWN({0},0)</f>
      </c>
      <c r="AK1102" s="5"/>
      <c r="AL1102" s="2" t="s">
        <v>98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/>
      <c r="BD1102" s="8"/>
      <c r="BE1102" s="4"/>
      <c r="BF1102" s="8"/>
      <c r="BG1102" s="7"/>
      <c r="BH1102" s="7"/>
      <c r="BI1102" s="7"/>
      <c r="BJ1102" s="4"/>
      <c r="BK1102" s="8"/>
      <c r="BL1102" s="2" t="s">
        <v>98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107</v>
      </c>
      <c r="BV1102" s="2" t="s">
        <v>95</v>
      </c>
      <c r="BW1102" s="2" t="s">
        <v>4635</v>
      </c>
      <c r="BX1102" s="2" t="s">
        <v>4986</v>
      </c>
      <c r="BY1102" s="2" t="s">
        <v>110</v>
      </c>
      <c r="BZ1102" s="2" t="s">
        <v>98</v>
      </c>
    </row>
    <row r="1103">
      <c r="A1103" s="2" t="s">
        <v>4987</v>
      </c>
      <c r="B1103" s="2" t="s">
        <v>4584</v>
      </c>
      <c r="C1103" s="2" t="s">
        <v>952</v>
      </c>
      <c r="D1103" s="2" t="s">
        <v>4686</v>
      </c>
      <c r="E1103" s="2" t="s">
        <v>4687</v>
      </c>
      <c r="F1103" s="2" t="s">
        <v>2923</v>
      </c>
      <c r="G1103" s="2" t="s">
        <v>2923</v>
      </c>
      <c r="H1103" s="2" t="s">
        <v>2923</v>
      </c>
      <c r="I1103" s="2" t="s">
        <v>4988</v>
      </c>
      <c r="J1103" s="2" t="s">
        <v>93</v>
      </c>
      <c r="K1103" s="2" t="s">
        <v>2734</v>
      </c>
      <c r="L1103" s="3">
        <v>267.67</v>
      </c>
      <c r="M1103" s="3">
        <v>281.05</v>
      </c>
      <c r="N1103" s="3">
        <v>609.99</v>
      </c>
      <c r="O1103" s="2" t="s">
        <v>95</v>
      </c>
      <c r="P1103" s="2" t="s">
        <v>142</v>
      </c>
      <c r="Q1103" s="2" t="s">
        <v>97</v>
      </c>
      <c r="R1103" s="2" t="s">
        <v>98</v>
      </c>
      <c r="S1103" s="2" t="s">
        <v>4989</v>
      </c>
      <c r="T1103" s="2" t="s">
        <v>98</v>
      </c>
      <c r="U1103" s="2" t="s">
        <v>98</v>
      </c>
      <c r="V1103" s="2" t="s">
        <v>331</v>
      </c>
      <c r="W1103" s="2" t="s">
        <v>102</v>
      </c>
      <c r="X1103" s="2" t="s">
        <v>98</v>
      </c>
      <c r="Y1103" s="2" t="s">
        <v>366</v>
      </c>
      <c r="Z1103" s="4">
        <v>52</v>
      </c>
      <c r="AA1103" s="4">
        <f>=ROUNDDOWN(65,0)</f>
      </c>
      <c r="AB1103" s="5">
        <v>0.8</v>
      </c>
      <c r="AC1103" s="2" t="s">
        <v>98</v>
      </c>
      <c r="AD1103" s="4"/>
      <c r="AE1103" s="4"/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98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/>
      <c r="AW1103" s="8"/>
      <c r="AX1103" s="4"/>
      <c r="AY1103" s="8"/>
      <c r="AZ1103" s="7"/>
      <c r="BA1103" s="7"/>
      <c r="BB1103" s="7"/>
      <c r="BC1103" s="4" t="s">
        <v>98</v>
      </c>
      <c r="BD1103" s="8" t="s">
        <v>98</v>
      </c>
      <c r="BE1103" s="4" t="s">
        <v>98</v>
      </c>
      <c r="BF1103" s="8" t="s">
        <v>98</v>
      </c>
      <c r="BG1103" s="7" t="s">
        <v>98</v>
      </c>
      <c r="BH1103" s="7" t="s">
        <v>98</v>
      </c>
      <c r="BI1103" s="7"/>
      <c r="BJ1103" s="4">
        <v>1</v>
      </c>
      <c r="BK1103" s="8">
        <v>296.95</v>
      </c>
      <c r="BL1103" s="2" t="s">
        <v>4990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107</v>
      </c>
      <c r="BV1103" s="2" t="s">
        <v>95</v>
      </c>
      <c r="BW1103" s="2" t="s">
        <v>2455</v>
      </c>
      <c r="BX1103" s="2" t="s">
        <v>4097</v>
      </c>
      <c r="BY1103" s="2" t="s">
        <v>110</v>
      </c>
      <c r="BZ1103" s="2" t="s">
        <v>98</v>
      </c>
    </row>
    <row r="1104">
      <c r="A1104" s="2" t="s">
        <v>4991</v>
      </c>
      <c r="B1104" s="2" t="s">
        <v>4584</v>
      </c>
      <c r="C1104" s="2" t="s">
        <v>952</v>
      </c>
      <c r="D1104" s="2" t="s">
        <v>4686</v>
      </c>
      <c r="E1104" s="2" t="s">
        <v>4687</v>
      </c>
      <c r="F1104" s="2" t="s">
        <v>2923</v>
      </c>
      <c r="G1104" s="2" t="s">
        <v>2923</v>
      </c>
      <c r="H1104" s="2" t="s">
        <v>2923</v>
      </c>
      <c r="I1104" s="2" t="s">
        <v>4988</v>
      </c>
      <c r="J1104" s="2" t="s">
        <v>93</v>
      </c>
      <c r="K1104" s="2" t="s">
        <v>294</v>
      </c>
      <c r="L1104" s="3">
        <v>267.67</v>
      </c>
      <c r="M1104" s="3">
        <v>281.05</v>
      </c>
      <c r="N1104" s="3">
        <v>609.99</v>
      </c>
      <c r="O1104" s="2" t="s">
        <v>95</v>
      </c>
      <c r="P1104" s="2" t="s">
        <v>96</v>
      </c>
      <c r="Q1104" s="2" t="s">
        <v>97</v>
      </c>
      <c r="R1104" s="2" t="s">
        <v>98</v>
      </c>
      <c r="S1104" s="2" t="s">
        <v>4992</v>
      </c>
      <c r="T1104" s="2" t="s">
        <v>98</v>
      </c>
      <c r="U1104" s="2" t="s">
        <v>98</v>
      </c>
      <c r="V1104" s="2" t="s">
        <v>331</v>
      </c>
      <c r="W1104" s="2" t="s">
        <v>102</v>
      </c>
      <c r="X1104" s="2" t="s">
        <v>98</v>
      </c>
      <c r="Y1104" s="2" t="s">
        <v>842</v>
      </c>
      <c r="Z1104" s="4">
        <v>145</v>
      </c>
      <c r="AA1104" s="4">
        <f>=ROUNDDOWN(48.3333333333333,0)</f>
      </c>
      <c r="AB1104" s="5">
        <v>3</v>
      </c>
      <c r="AC1104" s="2" t="s">
        <v>98</v>
      </c>
      <c r="AD1104" s="4"/>
      <c r="AE1104" s="4"/>
      <c r="AF1104" s="6">
        <v>63</v>
      </c>
      <c r="AG1104" s="6"/>
      <c r="AH1104" s="7">
        <v>1</v>
      </c>
      <c r="AI1104" s="4"/>
      <c r="AJ1104" s="4">
        <f>=ROUNDDOWN({0},0)</f>
      </c>
      <c r="AK1104" s="5"/>
      <c r="AL1104" s="2" t="s">
        <v>98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/>
      <c r="AW1104" s="8"/>
      <c r="AX1104" s="4"/>
      <c r="AY1104" s="8"/>
      <c r="AZ1104" s="7"/>
      <c r="BA1104" s="7"/>
      <c r="BB1104" s="7"/>
      <c r="BC1104" s="4" t="s">
        <v>98</v>
      </c>
      <c r="BD1104" s="8" t="s">
        <v>98</v>
      </c>
      <c r="BE1104" s="4" t="s">
        <v>98</v>
      </c>
      <c r="BF1104" s="8" t="s">
        <v>98</v>
      </c>
      <c r="BG1104" s="7" t="s">
        <v>98</v>
      </c>
      <c r="BH1104" s="7" t="s">
        <v>98</v>
      </c>
      <c r="BI1104" s="7"/>
      <c r="BJ1104" s="4">
        <v>1</v>
      </c>
      <c r="BK1104" s="8">
        <v>296.95</v>
      </c>
      <c r="BL1104" s="2" t="s">
        <v>3421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107</v>
      </c>
      <c r="BV1104" s="2" t="s">
        <v>95</v>
      </c>
      <c r="BW1104" s="2" t="s">
        <v>2455</v>
      </c>
      <c r="BX1104" s="2" t="s">
        <v>2442</v>
      </c>
      <c r="BY1104" s="2" t="s">
        <v>110</v>
      </c>
      <c r="BZ1104" s="2" t="s">
        <v>98</v>
      </c>
    </row>
    <row r="1105">
      <c r="A1105" s="2" t="s">
        <v>4993</v>
      </c>
      <c r="B1105" s="2" t="s">
        <v>4584</v>
      </c>
      <c r="C1105" s="2" t="s">
        <v>952</v>
      </c>
      <c r="D1105" s="2" t="s">
        <v>4686</v>
      </c>
      <c r="E1105" s="2" t="s">
        <v>4687</v>
      </c>
      <c r="F1105" s="2" t="s">
        <v>2923</v>
      </c>
      <c r="G1105" s="2" t="s">
        <v>2923</v>
      </c>
      <c r="H1105" s="2" t="s">
        <v>2923</v>
      </c>
      <c r="I1105" s="2" t="s">
        <v>4988</v>
      </c>
      <c r="J1105" s="2" t="s">
        <v>93</v>
      </c>
      <c r="K1105" s="2" t="s">
        <v>421</v>
      </c>
      <c r="L1105" s="3">
        <v>267.67</v>
      </c>
      <c r="M1105" s="3">
        <v>281.05</v>
      </c>
      <c r="N1105" s="3">
        <v>609.99</v>
      </c>
      <c r="O1105" s="2" t="s">
        <v>95</v>
      </c>
      <c r="P1105" s="2" t="s">
        <v>134</v>
      </c>
      <c r="Q1105" s="2" t="s">
        <v>97</v>
      </c>
      <c r="R1105" s="2" t="s">
        <v>98</v>
      </c>
      <c r="S1105" s="2" t="s">
        <v>4989</v>
      </c>
      <c r="T1105" s="2" t="s">
        <v>98</v>
      </c>
      <c r="U1105" s="2" t="s">
        <v>98</v>
      </c>
      <c r="V1105" s="2" t="s">
        <v>331</v>
      </c>
      <c r="W1105" s="2" t="s">
        <v>968</v>
      </c>
      <c r="X1105" s="2" t="s">
        <v>98</v>
      </c>
      <c r="Y1105" s="2" t="s">
        <v>2603</v>
      </c>
      <c r="Z1105" s="4">
        <v>88</v>
      </c>
      <c r="AA1105" s="4">
        <f>=ROUNDDOWN(29.3333333333333,0)</f>
      </c>
      <c r="AB1105" s="5">
        <v>3</v>
      </c>
      <c r="AC1105" s="2" t="s">
        <v>98</v>
      </c>
      <c r="AD1105" s="4"/>
      <c r="AE1105" s="4"/>
      <c r="AF1105" s="6">
        <v>63</v>
      </c>
      <c r="AG1105" s="6"/>
      <c r="AH1105" s="7">
        <v>1</v>
      </c>
      <c r="AI1105" s="4"/>
      <c r="AJ1105" s="4">
        <f>=ROUNDDOWN({0},0)</f>
      </c>
      <c r="AK1105" s="5"/>
      <c r="AL1105" s="2" t="s">
        <v>98</v>
      </c>
      <c r="AM1105" s="4"/>
      <c r="AN1105" s="4"/>
      <c r="AO1105" s="7">
        <v>0</v>
      </c>
      <c r="AP1105" s="4"/>
      <c r="AQ1105" s="8"/>
      <c r="AR1105" s="4"/>
      <c r="AS1105" s="8"/>
      <c r="AT1105" s="7"/>
      <c r="AU1105" s="7"/>
      <c r="AV1105" s="4"/>
      <c r="AW1105" s="8"/>
      <c r="AX1105" s="4"/>
      <c r="AY1105" s="8"/>
      <c r="AZ1105" s="7"/>
      <c r="BA1105" s="7"/>
      <c r="BB1105" s="7"/>
      <c r="BC1105" s="4" t="s">
        <v>98</v>
      </c>
      <c r="BD1105" s="8" t="s">
        <v>98</v>
      </c>
      <c r="BE1105" s="4" t="s">
        <v>98</v>
      </c>
      <c r="BF1105" s="8" t="s">
        <v>98</v>
      </c>
      <c r="BG1105" s="7" t="s">
        <v>98</v>
      </c>
      <c r="BH1105" s="7" t="s">
        <v>98</v>
      </c>
      <c r="BI1105" s="7"/>
      <c r="BJ1105" s="4">
        <v>3</v>
      </c>
      <c r="BK1105" s="8">
        <v>728.26</v>
      </c>
      <c r="BL1105" s="2" t="s">
        <v>223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107</v>
      </c>
      <c r="BV1105" s="2" t="s">
        <v>95</v>
      </c>
      <c r="BW1105" s="2" t="s">
        <v>697</v>
      </c>
      <c r="BX1105" s="2" t="s">
        <v>4994</v>
      </c>
      <c r="BY1105" s="2" t="s">
        <v>110</v>
      </c>
      <c r="BZ1105" s="2" t="s">
        <v>98</v>
      </c>
    </row>
    <row r="1106">
      <c r="A1106" s="2" t="s">
        <v>4995</v>
      </c>
      <c r="B1106" s="2" t="s">
        <v>4584</v>
      </c>
      <c r="C1106" s="2" t="s">
        <v>952</v>
      </c>
      <c r="D1106" s="2" t="s">
        <v>4686</v>
      </c>
      <c r="E1106" s="2" t="s">
        <v>4687</v>
      </c>
      <c r="F1106" s="2" t="s">
        <v>4996</v>
      </c>
      <c r="G1106" s="2" t="s">
        <v>4996</v>
      </c>
      <c r="H1106" s="2" t="s">
        <v>4996</v>
      </c>
      <c r="I1106" s="2" t="s">
        <v>4997</v>
      </c>
      <c r="J1106" s="2" t="s">
        <v>93</v>
      </c>
      <c r="K1106" s="2" t="s">
        <v>421</v>
      </c>
      <c r="L1106" s="3">
        <v>85.5</v>
      </c>
      <c r="M1106" s="3">
        <v>89.78</v>
      </c>
      <c r="N1106" s="3">
        <v>199</v>
      </c>
      <c r="O1106" s="2" t="s">
        <v>95</v>
      </c>
      <c r="P1106" s="2" t="s">
        <v>115</v>
      </c>
      <c r="Q1106" s="2" t="s">
        <v>97</v>
      </c>
      <c r="R1106" s="2" t="s">
        <v>98</v>
      </c>
      <c r="S1106" s="2" t="s">
        <v>98</v>
      </c>
      <c r="T1106" s="2" t="s">
        <v>98</v>
      </c>
      <c r="U1106" s="2" t="s">
        <v>117</v>
      </c>
      <c r="V1106" s="2" t="s">
        <v>296</v>
      </c>
      <c r="W1106" s="2" t="s">
        <v>314</v>
      </c>
      <c r="X1106" s="2" t="s">
        <v>102</v>
      </c>
      <c r="Y1106" s="2" t="s">
        <v>353</v>
      </c>
      <c r="Z1106" s="4">
        <v>85</v>
      </c>
      <c r="AA1106" s="4">
        <f>=ROUNDDOWN(283.333333333333,0)</f>
      </c>
      <c r="AB1106" s="5">
        <v>0.3</v>
      </c>
      <c r="AC1106" s="2" t="s">
        <v>98</v>
      </c>
      <c r="AD1106" s="4"/>
      <c r="AE1106" s="4"/>
      <c r="AF1106" s="6">
        <v>63</v>
      </c>
      <c r="AG1106" s="6"/>
      <c r="AH1106" s="7">
        <v>1</v>
      </c>
      <c r="AI1106" s="4"/>
      <c r="AJ1106" s="4">
        <f>=ROUNDDOWN({0},0)</f>
      </c>
      <c r="AK1106" s="5"/>
      <c r="AL1106" s="2" t="s">
        <v>98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/>
      <c r="BD1106" s="8"/>
      <c r="BE1106" s="4"/>
      <c r="BF1106" s="8"/>
      <c r="BG1106" s="7"/>
      <c r="BH1106" s="7"/>
      <c r="BI1106" s="7"/>
      <c r="BJ1106" s="4"/>
      <c r="BK1106" s="8"/>
      <c r="BL1106" s="2" t="s">
        <v>98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107</v>
      </c>
      <c r="BV1106" s="2" t="s">
        <v>95</v>
      </c>
      <c r="BW1106" s="2" t="s">
        <v>4635</v>
      </c>
      <c r="BX1106" s="2" t="s">
        <v>98</v>
      </c>
      <c r="BY1106" s="2" t="s">
        <v>110</v>
      </c>
      <c r="BZ1106" s="2" t="s">
        <v>98</v>
      </c>
    </row>
    <row r="1107">
      <c r="A1107" s="2" t="s">
        <v>4998</v>
      </c>
      <c r="B1107" s="2" t="s">
        <v>4584</v>
      </c>
      <c r="C1107" s="2" t="s">
        <v>952</v>
      </c>
      <c r="D1107" s="2" t="s">
        <v>4686</v>
      </c>
      <c r="E1107" s="2" t="s">
        <v>4687</v>
      </c>
      <c r="F1107" s="2" t="s">
        <v>4999</v>
      </c>
      <c r="G1107" s="2" t="s">
        <v>4999</v>
      </c>
      <c r="H1107" s="2" t="s">
        <v>4999</v>
      </c>
      <c r="I1107" s="2" t="s">
        <v>5000</v>
      </c>
      <c r="J1107" s="2" t="s">
        <v>93</v>
      </c>
      <c r="K1107" s="2" t="s">
        <v>188</v>
      </c>
      <c r="L1107" s="3">
        <v>132</v>
      </c>
      <c r="M1107" s="3">
        <v>138.6</v>
      </c>
      <c r="N1107" s="3">
        <v>279.99</v>
      </c>
      <c r="O1107" s="2" t="s">
        <v>95</v>
      </c>
      <c r="P1107" s="2" t="s">
        <v>295</v>
      </c>
      <c r="Q1107" s="2" t="s">
        <v>97</v>
      </c>
      <c r="R1107" s="2" t="s">
        <v>98</v>
      </c>
      <c r="S1107" s="2" t="s">
        <v>98</v>
      </c>
      <c r="T1107" s="2" t="s">
        <v>98</v>
      </c>
      <c r="U1107" s="2" t="s">
        <v>117</v>
      </c>
      <c r="V1107" s="2" t="s">
        <v>296</v>
      </c>
      <c r="W1107" s="2" t="s">
        <v>204</v>
      </c>
      <c r="X1107" s="2" t="s">
        <v>119</v>
      </c>
      <c r="Y1107" s="2" t="s">
        <v>5001</v>
      </c>
      <c r="Z1107" s="4">
        <v>93</v>
      </c>
      <c r="AA1107" s="4">
        <f>=ROUNDDOWN(465,0)</f>
      </c>
      <c r="AB1107" s="5">
        <v>0.2</v>
      </c>
      <c r="AC1107" s="2" t="s">
        <v>98</v>
      </c>
      <c r="AD1107" s="4"/>
      <c r="AE1107" s="4"/>
      <c r="AF1107" s="6">
        <v>63</v>
      </c>
      <c r="AG1107" s="6"/>
      <c r="AH1107" s="7">
        <v>1</v>
      </c>
      <c r="AI1107" s="4"/>
      <c r="AJ1107" s="4">
        <f>=ROUNDDOWN({0},0)</f>
      </c>
      <c r="AK1107" s="5"/>
      <c r="AL1107" s="2" t="s">
        <v>98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/>
      <c r="BD1107" s="8"/>
      <c r="BE1107" s="4"/>
      <c r="BF1107" s="8"/>
      <c r="BG1107" s="7"/>
      <c r="BH1107" s="7"/>
      <c r="BI1107" s="7"/>
      <c r="BJ1107" s="4"/>
      <c r="BK1107" s="8"/>
      <c r="BL1107" s="2" t="s">
        <v>98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107</v>
      </c>
      <c r="BV1107" s="2" t="s">
        <v>95</v>
      </c>
      <c r="BW1107" s="2" t="s">
        <v>532</v>
      </c>
      <c r="BX1107" s="2" t="s">
        <v>98</v>
      </c>
      <c r="BY1107" s="2" t="s">
        <v>110</v>
      </c>
      <c r="BZ1107" s="2" t="s">
        <v>98</v>
      </c>
    </row>
    <row r="1108">
      <c r="A1108" s="2" t="s">
        <v>5002</v>
      </c>
      <c r="B1108" s="2" t="s">
        <v>4584</v>
      </c>
      <c r="C1108" s="2" t="s">
        <v>952</v>
      </c>
      <c r="D1108" s="2" t="s">
        <v>4686</v>
      </c>
      <c r="E1108" s="2" t="s">
        <v>4687</v>
      </c>
      <c r="F1108" s="2" t="s">
        <v>5003</v>
      </c>
      <c r="G1108" s="2" t="s">
        <v>5003</v>
      </c>
      <c r="H1108" s="2" t="s">
        <v>5003</v>
      </c>
      <c r="I1108" s="2" t="s">
        <v>5004</v>
      </c>
      <c r="J1108" s="2" t="s">
        <v>93</v>
      </c>
      <c r="K1108" s="2" t="s">
        <v>4824</v>
      </c>
      <c r="L1108" s="3">
        <v>106.92</v>
      </c>
      <c r="M1108" s="3">
        <v>112.27</v>
      </c>
      <c r="N1108" s="3">
        <v>249.99</v>
      </c>
      <c r="O1108" s="2" t="s">
        <v>95</v>
      </c>
      <c r="P1108" s="2" t="s">
        <v>115</v>
      </c>
      <c r="Q1108" s="2" t="s">
        <v>97</v>
      </c>
      <c r="R1108" s="2" t="s">
        <v>98</v>
      </c>
      <c r="S1108" s="2" t="s">
        <v>98</v>
      </c>
      <c r="T1108" s="2" t="s">
        <v>98</v>
      </c>
      <c r="U1108" s="2" t="s">
        <v>117</v>
      </c>
      <c r="V1108" s="2" t="s">
        <v>296</v>
      </c>
      <c r="W1108" s="2" t="s">
        <v>102</v>
      </c>
      <c r="X1108" s="2" t="s">
        <v>98</v>
      </c>
      <c r="Y1108" s="2" t="s">
        <v>4692</v>
      </c>
      <c r="Z1108" s="4">
        <v>14</v>
      </c>
      <c r="AA1108" s="4">
        <f>=ROUNDDOWN(6.66666666666667,0)</f>
      </c>
      <c r="AB1108" s="5">
        <v>2.1</v>
      </c>
      <c r="AC1108" s="2" t="s">
        <v>98</v>
      </c>
      <c r="AD1108" s="4"/>
      <c r="AE1108" s="4"/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98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/>
      <c r="AW1108" s="8"/>
      <c r="AX1108" s="4"/>
      <c r="AY1108" s="8"/>
      <c r="AZ1108" s="7"/>
      <c r="BA1108" s="7"/>
      <c r="BB1108" s="7"/>
      <c r="BC1108" s="4"/>
      <c r="BD1108" s="8"/>
      <c r="BE1108" s="4"/>
      <c r="BF1108" s="8"/>
      <c r="BG1108" s="7"/>
      <c r="BH1108" s="7"/>
      <c r="BI1108" s="7"/>
      <c r="BJ1108" s="4"/>
      <c r="BK1108" s="8"/>
      <c r="BL1108" s="2" t="s">
        <v>98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107</v>
      </c>
      <c r="BV1108" s="2" t="s">
        <v>95</v>
      </c>
      <c r="BW1108" s="2" t="s">
        <v>4635</v>
      </c>
      <c r="BX1108" s="2" t="s">
        <v>5005</v>
      </c>
      <c r="BY1108" s="2" t="s">
        <v>110</v>
      </c>
      <c r="BZ1108" s="2" t="s">
        <v>98</v>
      </c>
    </row>
    <row r="1109">
      <c r="A1109" s="2" t="s">
        <v>5006</v>
      </c>
      <c r="B1109" s="2" t="s">
        <v>4584</v>
      </c>
      <c r="C1109" s="2" t="s">
        <v>952</v>
      </c>
      <c r="D1109" s="2" t="s">
        <v>4806</v>
      </c>
      <c r="E1109" s="2" t="s">
        <v>4807</v>
      </c>
      <c r="F1109" s="2" t="s">
        <v>2981</v>
      </c>
      <c r="G1109" s="2" t="s">
        <v>2981</v>
      </c>
      <c r="H1109" s="2" t="s">
        <v>2981</v>
      </c>
      <c r="I1109" s="2" t="s">
        <v>5007</v>
      </c>
      <c r="J1109" s="2" t="s">
        <v>93</v>
      </c>
      <c r="K1109" s="2" t="s">
        <v>4771</v>
      </c>
      <c r="L1109" s="3">
        <v>55.89</v>
      </c>
      <c r="M1109" s="3">
        <v>58.68</v>
      </c>
      <c r="N1109" s="3">
        <v>129.99</v>
      </c>
      <c r="O1109" s="2" t="s">
        <v>95</v>
      </c>
      <c r="P1109" s="2" t="s">
        <v>142</v>
      </c>
      <c r="Q1109" s="2" t="s">
        <v>97</v>
      </c>
      <c r="R1109" s="2" t="s">
        <v>98</v>
      </c>
      <c r="S1109" s="2" t="s">
        <v>98</v>
      </c>
      <c r="T1109" s="2" t="s">
        <v>98</v>
      </c>
      <c r="U1109" s="2" t="s">
        <v>117</v>
      </c>
      <c r="V1109" s="2" t="s">
        <v>296</v>
      </c>
      <c r="W1109" s="2" t="s">
        <v>963</v>
      </c>
      <c r="X1109" s="2" t="s">
        <v>98</v>
      </c>
      <c r="Y1109" s="2" t="s">
        <v>4803</v>
      </c>
      <c r="Z1109" s="4">
        <v>68</v>
      </c>
      <c r="AA1109" s="4">
        <f>=ROUNDDOWN(22.6666666666667,0)</f>
      </c>
      <c r="AB1109" s="5">
        <v>3</v>
      </c>
      <c r="AC1109" s="2" t="s">
        <v>98</v>
      </c>
      <c r="AD1109" s="4"/>
      <c r="AE1109" s="4"/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98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/>
      <c r="BD1109" s="8"/>
      <c r="BE1109" s="4"/>
      <c r="BF1109" s="8"/>
      <c r="BG1109" s="7"/>
      <c r="BH1109" s="7"/>
      <c r="BI1109" s="7"/>
      <c r="BJ1109" s="4">
        <v>1</v>
      </c>
      <c r="BK1109" s="8">
        <v>81.14</v>
      </c>
      <c r="BL1109" s="2" t="s">
        <v>561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107</v>
      </c>
      <c r="BV1109" s="2" t="s">
        <v>95</v>
      </c>
      <c r="BW1109" s="2" t="s">
        <v>4635</v>
      </c>
      <c r="BX1109" s="2" t="s">
        <v>98</v>
      </c>
      <c r="BY1109" s="2" t="s">
        <v>110</v>
      </c>
      <c r="BZ1109" s="2" t="s">
        <v>98</v>
      </c>
    </row>
    <row r="1110">
      <c r="A1110" s="2" t="s">
        <v>5008</v>
      </c>
      <c r="B1110" s="2" t="s">
        <v>4584</v>
      </c>
      <c r="C1110" s="2" t="s">
        <v>952</v>
      </c>
      <c r="D1110" s="2" t="s">
        <v>4806</v>
      </c>
      <c r="E1110" s="2" t="s">
        <v>4807</v>
      </c>
      <c r="F1110" s="2" t="s">
        <v>5009</v>
      </c>
      <c r="G1110" s="2" t="s">
        <v>5009</v>
      </c>
      <c r="H1110" s="2" t="s">
        <v>5009</v>
      </c>
      <c r="I1110" s="2" t="s">
        <v>5010</v>
      </c>
      <c r="J1110" s="2" t="s">
        <v>93</v>
      </c>
      <c r="K1110" s="2" t="s">
        <v>5011</v>
      </c>
      <c r="L1110" s="3">
        <v>54.27</v>
      </c>
      <c r="M1110" s="3">
        <v>56.98</v>
      </c>
      <c r="N1110" s="3">
        <v>129.99</v>
      </c>
      <c r="O1110" s="2" t="s">
        <v>95</v>
      </c>
      <c r="P1110" s="2" t="s">
        <v>115</v>
      </c>
      <c r="Q1110" s="2" t="s">
        <v>97</v>
      </c>
      <c r="R1110" s="2" t="s">
        <v>98</v>
      </c>
      <c r="S1110" s="2" t="s">
        <v>98</v>
      </c>
      <c r="T1110" s="2" t="s">
        <v>98</v>
      </c>
      <c r="U1110" s="2" t="s">
        <v>117</v>
      </c>
      <c r="V1110" s="2" t="s">
        <v>296</v>
      </c>
      <c r="W1110" s="2" t="s">
        <v>103</v>
      </c>
      <c r="X1110" s="2" t="s">
        <v>98</v>
      </c>
      <c r="Y1110" s="2" t="s">
        <v>4803</v>
      </c>
      <c r="Z1110" s="4">
        <v>66</v>
      </c>
      <c r="AA1110" s="4">
        <f>=ROUNDDOWN(31.4285714285714,0)</f>
      </c>
      <c r="AB1110" s="5">
        <v>2.1</v>
      </c>
      <c r="AC1110" s="2" t="s">
        <v>98</v>
      </c>
      <c r="AD1110" s="4"/>
      <c r="AE1110" s="4"/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98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/>
      <c r="BD1110" s="8"/>
      <c r="BE1110" s="4"/>
      <c r="BF1110" s="8"/>
      <c r="BG1110" s="7"/>
      <c r="BH1110" s="7"/>
      <c r="BI1110" s="7"/>
      <c r="BJ1110" s="4">
        <v>1</v>
      </c>
      <c r="BK1110" s="8">
        <v>61.54</v>
      </c>
      <c r="BL1110" s="2" t="s">
        <v>4512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107</v>
      </c>
      <c r="BV1110" s="2" t="s">
        <v>95</v>
      </c>
      <c r="BW1110" s="2" t="s">
        <v>4635</v>
      </c>
      <c r="BX1110" s="2" t="s">
        <v>401</v>
      </c>
      <c r="BY1110" s="2" t="s">
        <v>110</v>
      </c>
      <c r="BZ1110" s="2" t="s">
        <v>98</v>
      </c>
    </row>
    <row r="1111">
      <c r="A1111" s="2" t="s">
        <v>5012</v>
      </c>
      <c r="B1111" s="2" t="s">
        <v>4584</v>
      </c>
      <c r="C1111" s="2" t="s">
        <v>952</v>
      </c>
      <c r="D1111" s="2" t="s">
        <v>4806</v>
      </c>
      <c r="E1111" s="2" t="s">
        <v>4807</v>
      </c>
      <c r="F1111" s="2" t="s">
        <v>4918</v>
      </c>
      <c r="G1111" s="2" t="s">
        <v>4918</v>
      </c>
      <c r="H1111" s="2" t="s">
        <v>4918</v>
      </c>
      <c r="I1111" s="2" t="s">
        <v>5013</v>
      </c>
      <c r="J1111" s="2" t="s">
        <v>93</v>
      </c>
      <c r="K1111" s="2" t="s">
        <v>4168</v>
      </c>
      <c r="L1111" s="3">
        <v>129.06</v>
      </c>
      <c r="M1111" s="3">
        <v>135.51</v>
      </c>
      <c r="N1111" s="3">
        <v>284.99</v>
      </c>
      <c r="O1111" s="2" t="s">
        <v>95</v>
      </c>
      <c r="P1111" s="2" t="s">
        <v>134</v>
      </c>
      <c r="Q1111" s="2" t="s">
        <v>97</v>
      </c>
      <c r="R1111" s="2" t="s">
        <v>98</v>
      </c>
      <c r="S1111" s="2" t="s">
        <v>98</v>
      </c>
      <c r="T1111" s="2" t="s">
        <v>98</v>
      </c>
      <c r="U1111" s="2" t="s">
        <v>98</v>
      </c>
      <c r="V1111" s="2" t="s">
        <v>296</v>
      </c>
      <c r="W1111" s="2" t="s">
        <v>103</v>
      </c>
      <c r="X1111" s="2" t="s">
        <v>98</v>
      </c>
      <c r="Y1111" s="2" t="s">
        <v>1953</v>
      </c>
      <c r="Z1111" s="4">
        <v>29</v>
      </c>
      <c r="AA1111" s="4">
        <f>=ROUNDDOWN(5.8,0)</f>
      </c>
      <c r="AB1111" s="5">
        <v>5</v>
      </c>
      <c r="AC1111" s="2" t="s">
        <v>4598</v>
      </c>
      <c r="AD1111" s="4">
        <v>100</v>
      </c>
      <c r="AE1111" s="4">
        <v>100</v>
      </c>
      <c r="AF1111" s="6">
        <v>63</v>
      </c>
      <c r="AG1111" s="6"/>
      <c r="AH1111" s="7">
        <v>1</v>
      </c>
      <c r="AI1111" s="4"/>
      <c r="AJ1111" s="4">
        <f>=ROUNDDOWN({0},0)</f>
      </c>
      <c r="AK1111" s="5"/>
      <c r="AL1111" s="2" t="s">
        <v>98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/>
      <c r="AW1111" s="8"/>
      <c r="AX1111" s="4"/>
      <c r="AY1111" s="8"/>
      <c r="AZ1111" s="7"/>
      <c r="BA1111" s="7"/>
      <c r="BB1111" s="7"/>
      <c r="BC1111" s="4"/>
      <c r="BD1111" s="8"/>
      <c r="BE1111" s="4"/>
      <c r="BF1111" s="8"/>
      <c r="BG1111" s="7"/>
      <c r="BH1111" s="7"/>
      <c r="BI1111" s="7"/>
      <c r="BJ1111" s="4">
        <v>2</v>
      </c>
      <c r="BK1111" s="8">
        <v>304.94</v>
      </c>
      <c r="BL1111" s="2" t="s">
        <v>931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107</v>
      </c>
      <c r="BV1111" s="2" t="s">
        <v>95</v>
      </c>
      <c r="BW1111" s="2" t="s">
        <v>4723</v>
      </c>
      <c r="BX1111" s="2" t="s">
        <v>5014</v>
      </c>
      <c r="BY1111" s="2" t="s">
        <v>110</v>
      </c>
      <c r="BZ1111" s="2" t="s">
        <v>98</v>
      </c>
    </row>
    <row r="1112">
      <c r="A1112" s="2" t="s">
        <v>5015</v>
      </c>
      <c r="B1112" s="2" t="s">
        <v>4584</v>
      </c>
      <c r="C1112" s="2" t="s">
        <v>952</v>
      </c>
      <c r="D1112" s="2" t="s">
        <v>4806</v>
      </c>
      <c r="E1112" s="2" t="s">
        <v>4807</v>
      </c>
      <c r="F1112" s="2" t="s">
        <v>5016</v>
      </c>
      <c r="G1112" s="2" t="s">
        <v>5016</v>
      </c>
      <c r="H1112" s="2" t="s">
        <v>5016</v>
      </c>
      <c r="I1112" s="2" t="s">
        <v>5017</v>
      </c>
      <c r="J1112" s="2" t="s">
        <v>93</v>
      </c>
      <c r="K1112" s="2" t="s">
        <v>5018</v>
      </c>
      <c r="L1112" s="3">
        <v>78.49</v>
      </c>
      <c r="M1112" s="3">
        <v>82.41</v>
      </c>
      <c r="N1112" s="3">
        <v>174.99</v>
      </c>
      <c r="O1112" s="2" t="s">
        <v>95</v>
      </c>
      <c r="P1112" s="2" t="s">
        <v>134</v>
      </c>
      <c r="Q1112" s="2" t="s">
        <v>97</v>
      </c>
      <c r="R1112" s="2" t="s">
        <v>98</v>
      </c>
      <c r="S1112" s="2" t="s">
        <v>98</v>
      </c>
      <c r="T1112" s="2" t="s">
        <v>98</v>
      </c>
      <c r="U1112" s="2" t="s">
        <v>117</v>
      </c>
      <c r="V1112" s="2" t="s">
        <v>296</v>
      </c>
      <c r="W1112" s="2" t="s">
        <v>119</v>
      </c>
      <c r="X1112" s="2" t="s">
        <v>98</v>
      </c>
      <c r="Y1112" s="2" t="s">
        <v>4803</v>
      </c>
      <c r="Z1112" s="4">
        <v>71</v>
      </c>
      <c r="AA1112" s="4">
        <f>=ROUNDDOWN(118.333333333333,0)</f>
      </c>
      <c r="AB1112" s="5">
        <v>0.6</v>
      </c>
      <c r="AC1112" s="2" t="s">
        <v>98</v>
      </c>
      <c r="AD1112" s="4"/>
      <c r="AE1112" s="4"/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98</v>
      </c>
      <c r="AM1112" s="4"/>
      <c r="AN1112" s="4"/>
      <c r="AO1112" s="7">
        <v>0</v>
      </c>
      <c r="AP1112" s="4"/>
      <c r="AQ1112" s="8"/>
      <c r="AR1112" s="4"/>
      <c r="AS1112" s="8"/>
      <c r="AT1112" s="7"/>
      <c r="AU1112" s="7"/>
      <c r="AV1112" s="4"/>
      <c r="AW1112" s="8"/>
      <c r="AX1112" s="4"/>
      <c r="AY1112" s="8"/>
      <c r="AZ1112" s="7"/>
      <c r="BA1112" s="7"/>
      <c r="BB1112" s="7"/>
      <c r="BC1112" s="4"/>
      <c r="BD1112" s="8"/>
      <c r="BE1112" s="4"/>
      <c r="BF1112" s="8"/>
      <c r="BG1112" s="7"/>
      <c r="BH1112" s="7"/>
      <c r="BI1112" s="7"/>
      <c r="BJ1112" s="4">
        <v>2</v>
      </c>
      <c r="BK1112" s="8">
        <v>184.43</v>
      </c>
      <c r="BL1112" s="2" t="s">
        <v>5019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107</v>
      </c>
      <c r="BV1112" s="2" t="s">
        <v>95</v>
      </c>
      <c r="BW1112" s="2" t="s">
        <v>4635</v>
      </c>
      <c r="BX1112" s="2" t="s">
        <v>98</v>
      </c>
      <c r="BY1112" s="2" t="s">
        <v>110</v>
      </c>
      <c r="BZ1112" s="2" t="s">
        <v>98</v>
      </c>
    </row>
    <row r="1113">
      <c r="A1113" s="2" t="s">
        <v>5020</v>
      </c>
      <c r="B1113" s="2" t="s">
        <v>4584</v>
      </c>
      <c r="C1113" s="2" t="s">
        <v>952</v>
      </c>
      <c r="D1113" s="2" t="s">
        <v>4806</v>
      </c>
      <c r="E1113" s="2" t="s">
        <v>4807</v>
      </c>
      <c r="F1113" s="2" t="s">
        <v>5021</v>
      </c>
      <c r="G1113" s="2" t="s">
        <v>5021</v>
      </c>
      <c r="H1113" s="2" t="s">
        <v>5021</v>
      </c>
      <c r="I1113" s="2" t="s">
        <v>5022</v>
      </c>
      <c r="J1113" s="2" t="s">
        <v>93</v>
      </c>
      <c r="K1113" s="2" t="s">
        <v>294</v>
      </c>
      <c r="L1113" s="3">
        <v>89.35</v>
      </c>
      <c r="M1113" s="3">
        <v>93.82</v>
      </c>
      <c r="N1113" s="3">
        <v>199.99</v>
      </c>
      <c r="O1113" s="2" t="s">
        <v>95</v>
      </c>
      <c r="P1113" s="2" t="s">
        <v>134</v>
      </c>
      <c r="Q1113" s="2" t="s">
        <v>97</v>
      </c>
      <c r="R1113" s="2" t="s">
        <v>98</v>
      </c>
      <c r="S1113" s="2" t="s">
        <v>5023</v>
      </c>
      <c r="T1113" s="2" t="s">
        <v>98</v>
      </c>
      <c r="U1113" s="2" t="s">
        <v>98</v>
      </c>
      <c r="V1113" s="2" t="s">
        <v>439</v>
      </c>
      <c r="W1113" s="2" t="s">
        <v>102</v>
      </c>
      <c r="X1113" s="2" t="s">
        <v>98</v>
      </c>
      <c r="Y1113" s="2" t="s">
        <v>366</v>
      </c>
      <c r="Z1113" s="4">
        <v>133</v>
      </c>
      <c r="AA1113" s="4">
        <f>=ROUNDDOWN(16.625,0)</f>
      </c>
      <c r="AB1113" s="5">
        <v>8</v>
      </c>
      <c r="AC1113" s="2" t="s">
        <v>222</v>
      </c>
      <c r="AD1113" s="4">
        <v>200</v>
      </c>
      <c r="AE1113" s="4">
        <v>200</v>
      </c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98</v>
      </c>
      <c r="AM1113" s="4"/>
      <c r="AN1113" s="4"/>
      <c r="AO1113" s="7">
        <v>0</v>
      </c>
      <c r="AP1113" s="4"/>
      <c r="AQ1113" s="8"/>
      <c r="AR1113" s="4">
        <v>1</v>
      </c>
      <c r="AS1113" s="8">
        <v>95.31</v>
      </c>
      <c r="AT1113" s="7">
        <v>-1</v>
      </c>
      <c r="AU1113" s="7">
        <v>-1</v>
      </c>
      <c r="AV1113" s="4"/>
      <c r="AW1113" s="8"/>
      <c r="AX1113" s="4">
        <v>1</v>
      </c>
      <c r="AY1113" s="8">
        <v>95.31</v>
      </c>
      <c r="AZ1113" s="7">
        <v>-1</v>
      </c>
      <c r="BA1113" s="7">
        <v>-1</v>
      </c>
      <c r="BB1113" s="7"/>
      <c r="BC1113" s="4" t="s">
        <v>98</v>
      </c>
      <c r="BD1113" s="8" t="s">
        <v>98</v>
      </c>
      <c r="BE1113" s="4">
        <v>1</v>
      </c>
      <c r="BF1113" s="8">
        <v>95.31</v>
      </c>
      <c r="BG1113" s="7" t="s">
        <v>98</v>
      </c>
      <c r="BH1113" s="7" t="s">
        <v>98</v>
      </c>
      <c r="BI1113" s="7"/>
      <c r="BJ1113" s="4">
        <v>2</v>
      </c>
      <c r="BK1113" s="8">
        <v>183.96</v>
      </c>
      <c r="BL1113" s="2" t="s">
        <v>5024</v>
      </c>
      <c r="BM1113" s="7"/>
      <c r="BN1113" s="7"/>
      <c r="BO1113" s="4"/>
      <c r="BP1113" s="8"/>
      <c r="BQ1113" s="4">
        <v>1</v>
      </c>
      <c r="BR1113" s="8">
        <v>95.31</v>
      </c>
      <c r="BS1113" s="7">
        <v>-1</v>
      </c>
      <c r="BT1113" s="7">
        <v>-1</v>
      </c>
      <c r="BU1113" s="2" t="s">
        <v>107</v>
      </c>
      <c r="BV1113" s="2" t="s">
        <v>95</v>
      </c>
      <c r="BW1113" s="2" t="s">
        <v>5025</v>
      </c>
      <c r="BX1113" s="2" t="s">
        <v>5026</v>
      </c>
      <c r="BY1113" s="2" t="s">
        <v>110</v>
      </c>
      <c r="BZ1113" s="2" t="s">
        <v>98</v>
      </c>
    </row>
    <row r="1114">
      <c r="A1114" s="2" t="s">
        <v>5027</v>
      </c>
      <c r="B1114" s="2" t="s">
        <v>4584</v>
      </c>
      <c r="C1114" s="2" t="s">
        <v>952</v>
      </c>
      <c r="D1114" s="2" t="s">
        <v>4806</v>
      </c>
      <c r="E1114" s="2" t="s">
        <v>4807</v>
      </c>
      <c r="F1114" s="2" t="s">
        <v>5021</v>
      </c>
      <c r="G1114" s="2" t="s">
        <v>5021</v>
      </c>
      <c r="H1114" s="2" t="s">
        <v>5021</v>
      </c>
      <c r="I1114" s="2" t="s">
        <v>5022</v>
      </c>
      <c r="J1114" s="2" t="s">
        <v>93</v>
      </c>
      <c r="K1114" s="2" t="s">
        <v>421</v>
      </c>
      <c r="L1114" s="3">
        <v>89.35</v>
      </c>
      <c r="M1114" s="3">
        <v>93.82</v>
      </c>
      <c r="N1114" s="3">
        <v>199.99</v>
      </c>
      <c r="O1114" s="2" t="s">
        <v>95</v>
      </c>
      <c r="P1114" s="2" t="s">
        <v>134</v>
      </c>
      <c r="Q1114" s="2" t="s">
        <v>97</v>
      </c>
      <c r="R1114" s="2" t="s">
        <v>98</v>
      </c>
      <c r="S1114" s="2" t="s">
        <v>98</v>
      </c>
      <c r="T1114" s="2" t="s">
        <v>98</v>
      </c>
      <c r="U1114" s="2" t="s">
        <v>98</v>
      </c>
      <c r="V1114" s="2" t="s">
        <v>439</v>
      </c>
      <c r="W1114" s="2" t="s">
        <v>968</v>
      </c>
      <c r="X1114" s="2" t="s">
        <v>98</v>
      </c>
      <c r="Y1114" s="2" t="s">
        <v>706</v>
      </c>
      <c r="Z1114" s="4">
        <v>72</v>
      </c>
      <c r="AA1114" s="4">
        <f>=ROUNDDOWN(24,0)</f>
      </c>
      <c r="AB1114" s="5">
        <v>3</v>
      </c>
      <c r="AC1114" s="2" t="s">
        <v>98</v>
      </c>
      <c r="AD1114" s="4"/>
      <c r="AE1114" s="4"/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98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 t="s">
        <v>98</v>
      </c>
      <c r="BD1114" s="8" t="s">
        <v>98</v>
      </c>
      <c r="BE1114" s="4" t="s">
        <v>98</v>
      </c>
      <c r="BF1114" s="8" t="s">
        <v>98</v>
      </c>
      <c r="BG1114" s="7" t="s">
        <v>98</v>
      </c>
      <c r="BH1114" s="7" t="s">
        <v>98</v>
      </c>
      <c r="BI1114" s="7"/>
      <c r="BJ1114" s="4">
        <v>1</v>
      </c>
      <c r="BK1114" s="8">
        <v>109.4</v>
      </c>
      <c r="BL1114" s="2" t="s">
        <v>3325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107</v>
      </c>
      <c r="BV1114" s="2" t="s">
        <v>95</v>
      </c>
      <c r="BW1114" s="2" t="s">
        <v>4594</v>
      </c>
      <c r="BX1114" s="2" t="s">
        <v>4264</v>
      </c>
      <c r="BY1114" s="2" t="s">
        <v>110</v>
      </c>
      <c r="BZ1114" s="2" t="s">
        <v>98</v>
      </c>
    </row>
    <row r="1115">
      <c r="A1115" s="2" t="s">
        <v>5028</v>
      </c>
      <c r="B1115" s="2" t="s">
        <v>4584</v>
      </c>
      <c r="C1115" s="2" t="s">
        <v>952</v>
      </c>
      <c r="D1115" s="2" t="s">
        <v>5029</v>
      </c>
      <c r="E1115" s="2" t="s">
        <v>5030</v>
      </c>
      <c r="F1115" s="2" t="s">
        <v>5031</v>
      </c>
      <c r="G1115" s="2" t="s">
        <v>5031</v>
      </c>
      <c r="H1115" s="2" t="s">
        <v>5031</v>
      </c>
      <c r="I1115" s="2" t="s">
        <v>5032</v>
      </c>
      <c r="J1115" s="2" t="s">
        <v>93</v>
      </c>
      <c r="K1115" s="2" t="s">
        <v>127</v>
      </c>
      <c r="L1115" s="3">
        <v>68.4</v>
      </c>
      <c r="M1115" s="3">
        <v>71.82</v>
      </c>
      <c r="N1115" s="3">
        <v>149.99</v>
      </c>
      <c r="O1115" s="2" t="s">
        <v>95</v>
      </c>
      <c r="P1115" s="2" t="s">
        <v>134</v>
      </c>
      <c r="Q1115" s="2" t="s">
        <v>97</v>
      </c>
      <c r="R1115" s="2" t="s">
        <v>98</v>
      </c>
      <c r="S1115" s="2" t="s">
        <v>98</v>
      </c>
      <c r="T1115" s="2" t="s">
        <v>98</v>
      </c>
      <c r="U1115" s="2" t="s">
        <v>117</v>
      </c>
      <c r="V1115" s="2" t="s">
        <v>296</v>
      </c>
      <c r="W1115" s="2" t="s">
        <v>165</v>
      </c>
      <c r="X1115" s="2" t="s">
        <v>119</v>
      </c>
      <c r="Y1115" s="2" t="s">
        <v>4861</v>
      </c>
      <c r="Z1115" s="4">
        <v>17</v>
      </c>
      <c r="AA1115" s="4">
        <f>=ROUNDDOWN(4.25,0)</f>
      </c>
      <c r="AB1115" s="5">
        <v>4</v>
      </c>
      <c r="AC1115" s="2" t="s">
        <v>222</v>
      </c>
      <c r="AD1115" s="4">
        <v>80</v>
      </c>
      <c r="AE1115" s="4">
        <v>80</v>
      </c>
      <c r="AF1115" s="6">
        <v>63</v>
      </c>
      <c r="AG1115" s="6"/>
      <c r="AH1115" s="7">
        <v>1</v>
      </c>
      <c r="AI1115" s="4"/>
      <c r="AJ1115" s="4">
        <f>=ROUNDDOWN({0},0)</f>
      </c>
      <c r="AK1115" s="5"/>
      <c r="AL1115" s="2" t="s">
        <v>98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/>
      <c r="AW1115" s="8"/>
      <c r="AX1115" s="4"/>
      <c r="AY1115" s="8"/>
      <c r="AZ1115" s="7"/>
      <c r="BA1115" s="7"/>
      <c r="BB1115" s="7"/>
      <c r="BC1115" s="4"/>
      <c r="BD1115" s="8"/>
      <c r="BE1115" s="4"/>
      <c r="BF1115" s="8"/>
      <c r="BG1115" s="7"/>
      <c r="BH1115" s="7"/>
      <c r="BI1115" s="7"/>
      <c r="BJ1115" s="4">
        <v>16</v>
      </c>
      <c r="BK1115" s="8">
        <v>1102.32</v>
      </c>
      <c r="BL1115" s="2" t="s">
        <v>1379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107</v>
      </c>
      <c r="BV1115" s="2" t="s">
        <v>95</v>
      </c>
      <c r="BW1115" s="2" t="s">
        <v>4635</v>
      </c>
      <c r="BX1115" s="2" t="s">
        <v>4684</v>
      </c>
      <c r="BY1115" s="2" t="s">
        <v>110</v>
      </c>
      <c r="BZ1115" s="2" t="s">
        <v>98</v>
      </c>
    </row>
    <row r="1116">
      <c r="A1116" s="2" t="s">
        <v>5033</v>
      </c>
      <c r="B1116" s="2" t="s">
        <v>4584</v>
      </c>
      <c r="C1116" s="2" t="s">
        <v>952</v>
      </c>
      <c r="D1116" s="2" t="s">
        <v>4832</v>
      </c>
      <c r="E1116" s="2" t="s">
        <v>4833</v>
      </c>
      <c r="F1116" s="2" t="s">
        <v>2001</v>
      </c>
      <c r="G1116" s="2" t="s">
        <v>2001</v>
      </c>
      <c r="H1116" s="2" t="s">
        <v>2001</v>
      </c>
      <c r="I1116" s="2" t="s">
        <v>5034</v>
      </c>
      <c r="J1116" s="2" t="s">
        <v>93</v>
      </c>
      <c r="K1116" s="2" t="s">
        <v>2794</v>
      </c>
      <c r="L1116" s="3">
        <v>56.05</v>
      </c>
      <c r="M1116" s="3">
        <v>58.85</v>
      </c>
      <c r="N1116" s="3">
        <v>117.99</v>
      </c>
      <c r="O1116" s="2" t="s">
        <v>95</v>
      </c>
      <c r="P1116" s="2" t="s">
        <v>115</v>
      </c>
      <c r="Q1116" s="2" t="s">
        <v>97</v>
      </c>
      <c r="R1116" s="2" t="s">
        <v>98</v>
      </c>
      <c r="S1116" s="2" t="s">
        <v>98</v>
      </c>
      <c r="T1116" s="2" t="s">
        <v>98</v>
      </c>
      <c r="U1116" s="2" t="s">
        <v>117</v>
      </c>
      <c r="V1116" s="2" t="s">
        <v>296</v>
      </c>
      <c r="W1116" s="2" t="s">
        <v>102</v>
      </c>
      <c r="X1116" s="2" t="s">
        <v>98</v>
      </c>
      <c r="Y1116" s="2" t="s">
        <v>2373</v>
      </c>
      <c r="Z1116" s="4">
        <v>104</v>
      </c>
      <c r="AA1116" s="4">
        <f>=ROUNDDOWN(104,0)</f>
      </c>
      <c r="AB1116" s="5">
        <v>1</v>
      </c>
      <c r="AC1116" s="2" t="s">
        <v>98</v>
      </c>
      <c r="AD1116" s="4"/>
      <c r="AE1116" s="4"/>
      <c r="AF1116" s="6">
        <v>65</v>
      </c>
      <c r="AG1116" s="6"/>
      <c r="AH1116" s="7">
        <v>1</v>
      </c>
      <c r="AI1116" s="4"/>
      <c r="AJ1116" s="4">
        <f>=ROUNDDOWN({0},0)</f>
      </c>
      <c r="AK1116" s="5"/>
      <c r="AL1116" s="2" t="s">
        <v>98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/>
      <c r="AW1116" s="8"/>
      <c r="AX1116" s="4"/>
      <c r="AY1116" s="8"/>
      <c r="AZ1116" s="7"/>
      <c r="BA1116" s="7"/>
      <c r="BB1116" s="7"/>
      <c r="BC1116" s="4"/>
      <c r="BD1116" s="8"/>
      <c r="BE1116" s="4"/>
      <c r="BF1116" s="8"/>
      <c r="BG1116" s="7"/>
      <c r="BH1116" s="7"/>
      <c r="BI1116" s="7"/>
      <c r="BJ1116" s="4"/>
      <c r="BK1116" s="8"/>
      <c r="BL1116" s="2" t="s">
        <v>98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107</v>
      </c>
      <c r="BV1116" s="2" t="s">
        <v>95</v>
      </c>
      <c r="BW1116" s="2" t="s">
        <v>4308</v>
      </c>
      <c r="BX1116" s="2" t="s">
        <v>98</v>
      </c>
      <c r="BY1116" s="2" t="s">
        <v>110</v>
      </c>
      <c r="BZ1116" s="2" t="s">
        <v>98</v>
      </c>
    </row>
    <row r="1117">
      <c r="A1117" s="2" t="s">
        <v>5035</v>
      </c>
      <c r="B1117" s="2" t="s">
        <v>4584</v>
      </c>
      <c r="C1117" s="2" t="s">
        <v>952</v>
      </c>
      <c r="D1117" s="2" t="s">
        <v>4832</v>
      </c>
      <c r="E1117" s="2" t="s">
        <v>4833</v>
      </c>
      <c r="F1117" s="2" t="s">
        <v>1350</v>
      </c>
      <c r="G1117" s="2" t="s">
        <v>1350</v>
      </c>
      <c r="H1117" s="2" t="s">
        <v>1350</v>
      </c>
      <c r="I1117" s="2" t="s">
        <v>5036</v>
      </c>
      <c r="J1117" s="2" t="s">
        <v>93</v>
      </c>
      <c r="K1117" s="2" t="s">
        <v>127</v>
      </c>
      <c r="L1117" s="3">
        <v>67</v>
      </c>
      <c r="M1117" s="3">
        <v>70.35</v>
      </c>
      <c r="N1117" s="3">
        <v>139.99</v>
      </c>
      <c r="O1117" s="2" t="s">
        <v>95</v>
      </c>
      <c r="P1117" s="2" t="s">
        <v>142</v>
      </c>
      <c r="Q1117" s="2" t="s">
        <v>97</v>
      </c>
      <c r="R1117" s="2" t="s">
        <v>98</v>
      </c>
      <c r="S1117" s="2" t="s">
        <v>98</v>
      </c>
      <c r="T1117" s="2" t="s">
        <v>98</v>
      </c>
      <c r="U1117" s="2" t="s">
        <v>117</v>
      </c>
      <c r="V1117" s="2" t="s">
        <v>296</v>
      </c>
      <c r="W1117" s="2" t="s">
        <v>102</v>
      </c>
      <c r="X1117" s="2" t="s">
        <v>4954</v>
      </c>
      <c r="Y1117" s="2" t="s">
        <v>2070</v>
      </c>
      <c r="Z1117" s="4">
        <v>63</v>
      </c>
      <c r="AA1117" s="4">
        <f>=ROUNDDOWN(63,0)</f>
      </c>
      <c r="AB1117" s="5">
        <v>1</v>
      </c>
      <c r="AC1117" s="2" t="s">
        <v>98</v>
      </c>
      <c r="AD1117" s="4"/>
      <c r="AE1117" s="4"/>
      <c r="AF1117" s="6">
        <v>63</v>
      </c>
      <c r="AG1117" s="6"/>
      <c r="AH1117" s="7">
        <v>1</v>
      </c>
      <c r="AI1117" s="4"/>
      <c r="AJ1117" s="4">
        <f>=ROUNDDOWN({0},0)</f>
      </c>
      <c r="AK1117" s="5"/>
      <c r="AL1117" s="2" t="s">
        <v>98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/>
      <c r="AW1117" s="8"/>
      <c r="AX1117" s="4"/>
      <c r="AY1117" s="8"/>
      <c r="AZ1117" s="7"/>
      <c r="BA1117" s="7"/>
      <c r="BB1117" s="7"/>
      <c r="BC1117" s="4"/>
      <c r="BD1117" s="8"/>
      <c r="BE1117" s="4"/>
      <c r="BF1117" s="8"/>
      <c r="BG1117" s="7"/>
      <c r="BH1117" s="7"/>
      <c r="BI1117" s="7"/>
      <c r="BJ1117" s="4"/>
      <c r="BK1117" s="8"/>
      <c r="BL1117" s="2" t="s">
        <v>98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107</v>
      </c>
      <c r="BV1117" s="2" t="s">
        <v>95</v>
      </c>
      <c r="BW1117" s="2" t="s">
        <v>4635</v>
      </c>
      <c r="BX1117" s="2" t="s">
        <v>475</v>
      </c>
      <c r="BY1117" s="2" t="s">
        <v>110</v>
      </c>
      <c r="BZ1117" s="2" t="s">
        <v>98</v>
      </c>
    </row>
    <row r="1118">
      <c r="A1118" s="2" t="s">
        <v>5037</v>
      </c>
      <c r="B1118" s="2" t="s">
        <v>4584</v>
      </c>
      <c r="C1118" s="2" t="s">
        <v>952</v>
      </c>
      <c r="D1118" s="2" t="s">
        <v>4832</v>
      </c>
      <c r="E1118" s="2" t="s">
        <v>4833</v>
      </c>
      <c r="F1118" s="2" t="s">
        <v>946</v>
      </c>
      <c r="G1118" s="2" t="s">
        <v>946</v>
      </c>
      <c r="H1118" s="2" t="s">
        <v>946</v>
      </c>
      <c r="I1118" s="2" t="s">
        <v>5038</v>
      </c>
      <c r="J1118" s="2" t="s">
        <v>93</v>
      </c>
      <c r="K1118" s="2" t="s">
        <v>174</v>
      </c>
      <c r="L1118" s="3">
        <v>43</v>
      </c>
      <c r="M1118" s="3">
        <v>45.15</v>
      </c>
      <c r="N1118" s="3">
        <v>89.99</v>
      </c>
      <c r="O1118" s="2" t="s">
        <v>95</v>
      </c>
      <c r="P1118" s="2" t="s">
        <v>142</v>
      </c>
      <c r="Q1118" s="2" t="s">
        <v>97</v>
      </c>
      <c r="R1118" s="2" t="s">
        <v>98</v>
      </c>
      <c r="S1118" s="2" t="s">
        <v>98</v>
      </c>
      <c r="T1118" s="2" t="s">
        <v>98</v>
      </c>
      <c r="U1118" s="2" t="s">
        <v>117</v>
      </c>
      <c r="V1118" s="2" t="s">
        <v>296</v>
      </c>
      <c r="W1118" s="2" t="s">
        <v>102</v>
      </c>
      <c r="X1118" s="2" t="s">
        <v>4954</v>
      </c>
      <c r="Y1118" s="2" t="s">
        <v>2070</v>
      </c>
      <c r="Z1118" s="4">
        <v>34</v>
      </c>
      <c r="AA1118" s="4">
        <f>=ROUNDDOWN(17,0)</f>
      </c>
      <c r="AB1118" s="5">
        <v>2</v>
      </c>
      <c r="AC1118" s="2" t="s">
        <v>98</v>
      </c>
      <c r="AD1118" s="4"/>
      <c r="AE1118" s="4"/>
      <c r="AF1118" s="6">
        <v>63</v>
      </c>
      <c r="AG1118" s="6"/>
      <c r="AH1118" s="7">
        <v>1</v>
      </c>
      <c r="AI1118" s="4"/>
      <c r="AJ1118" s="4">
        <f>=ROUNDDOWN({0},0)</f>
      </c>
      <c r="AK1118" s="5"/>
      <c r="AL1118" s="2" t="s">
        <v>98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/>
      <c r="BD1118" s="8"/>
      <c r="BE1118" s="4"/>
      <c r="BF1118" s="8"/>
      <c r="BG1118" s="7"/>
      <c r="BH1118" s="7"/>
      <c r="BI1118" s="7"/>
      <c r="BJ1118" s="4"/>
      <c r="BK1118" s="8"/>
      <c r="BL1118" s="2" t="s">
        <v>98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107</v>
      </c>
      <c r="BV1118" s="2" t="s">
        <v>95</v>
      </c>
      <c r="BW1118" s="2" t="s">
        <v>4635</v>
      </c>
      <c r="BX1118" s="2" t="s">
        <v>98</v>
      </c>
      <c r="BY1118" s="2" t="s">
        <v>110</v>
      </c>
      <c r="BZ1118" s="2" t="s">
        <v>98</v>
      </c>
    </row>
    <row r="1119">
      <c r="A1119" s="2" t="s">
        <v>5039</v>
      </c>
      <c r="B1119" s="2" t="s">
        <v>4584</v>
      </c>
      <c r="C1119" s="2" t="s">
        <v>952</v>
      </c>
      <c r="D1119" s="2" t="s">
        <v>4832</v>
      </c>
      <c r="E1119" s="2" t="s">
        <v>4833</v>
      </c>
      <c r="F1119" s="2" t="s">
        <v>5040</v>
      </c>
      <c r="G1119" s="2" t="s">
        <v>5040</v>
      </c>
      <c r="H1119" s="2" t="s">
        <v>5040</v>
      </c>
      <c r="I1119" s="2" t="s">
        <v>5041</v>
      </c>
      <c r="J1119" s="2" t="s">
        <v>93</v>
      </c>
      <c r="K1119" s="2" t="s">
        <v>127</v>
      </c>
      <c r="L1119" s="3">
        <v>71</v>
      </c>
      <c r="M1119" s="3">
        <v>74.55</v>
      </c>
      <c r="N1119" s="3">
        <v>149.99</v>
      </c>
      <c r="O1119" s="2" t="s">
        <v>95</v>
      </c>
      <c r="P1119" s="2" t="s">
        <v>142</v>
      </c>
      <c r="Q1119" s="2" t="s">
        <v>97</v>
      </c>
      <c r="R1119" s="2" t="s">
        <v>98</v>
      </c>
      <c r="S1119" s="2" t="s">
        <v>98</v>
      </c>
      <c r="T1119" s="2" t="s">
        <v>98</v>
      </c>
      <c r="U1119" s="2" t="s">
        <v>117</v>
      </c>
      <c r="V1119" s="2" t="s">
        <v>296</v>
      </c>
      <c r="W1119" s="2" t="s">
        <v>204</v>
      </c>
      <c r="X1119" s="2" t="s">
        <v>4954</v>
      </c>
      <c r="Y1119" s="2" t="s">
        <v>2070</v>
      </c>
      <c r="Z1119" s="4">
        <v>69</v>
      </c>
      <c r="AA1119" s="4">
        <f>=ROUNDDOWN(34.5,0)</f>
      </c>
      <c r="AB1119" s="5">
        <v>2</v>
      </c>
      <c r="AC1119" s="2" t="s">
        <v>98</v>
      </c>
      <c r="AD1119" s="4"/>
      <c r="AE1119" s="4"/>
      <c r="AF1119" s="6">
        <v>63</v>
      </c>
      <c r="AG1119" s="6"/>
      <c r="AH1119" s="7">
        <v>1</v>
      </c>
      <c r="AI1119" s="4"/>
      <c r="AJ1119" s="4">
        <f>=ROUNDDOWN({0},0)</f>
      </c>
      <c r="AK1119" s="5"/>
      <c r="AL1119" s="2" t="s">
        <v>98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/>
      <c r="BD1119" s="8"/>
      <c r="BE1119" s="4"/>
      <c r="BF1119" s="8"/>
      <c r="BG1119" s="7"/>
      <c r="BH1119" s="7"/>
      <c r="BI1119" s="7"/>
      <c r="BJ1119" s="4">
        <v>1</v>
      </c>
      <c r="BK1119" s="8">
        <v>81.65</v>
      </c>
      <c r="BL1119" s="2" t="s">
        <v>307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107</v>
      </c>
      <c r="BV1119" s="2" t="s">
        <v>95</v>
      </c>
      <c r="BW1119" s="2" t="s">
        <v>4635</v>
      </c>
      <c r="BX1119" s="2" t="s">
        <v>98</v>
      </c>
      <c r="BY1119" s="2" t="s">
        <v>110</v>
      </c>
      <c r="BZ1119" s="2" t="s">
        <v>98</v>
      </c>
    </row>
    <row r="1120">
      <c r="A1120" s="2" t="s">
        <v>5042</v>
      </c>
      <c r="B1120" s="2" t="s">
        <v>4584</v>
      </c>
      <c r="C1120" s="2" t="s">
        <v>952</v>
      </c>
      <c r="D1120" s="2" t="s">
        <v>4832</v>
      </c>
      <c r="E1120" s="2" t="s">
        <v>4833</v>
      </c>
      <c r="F1120" s="2" t="s">
        <v>5043</v>
      </c>
      <c r="G1120" s="2" t="s">
        <v>5043</v>
      </c>
      <c r="H1120" s="2" t="s">
        <v>5043</v>
      </c>
      <c r="I1120" s="2" t="s">
        <v>5044</v>
      </c>
      <c r="J1120" s="2" t="s">
        <v>93</v>
      </c>
      <c r="K1120" s="2" t="s">
        <v>473</v>
      </c>
      <c r="L1120" s="3">
        <v>45.45</v>
      </c>
      <c r="M1120" s="3">
        <v>47.72</v>
      </c>
      <c r="N1120" s="3">
        <v>99.99</v>
      </c>
      <c r="O1120" s="2" t="s">
        <v>95</v>
      </c>
      <c r="P1120" s="2" t="s">
        <v>115</v>
      </c>
      <c r="Q1120" s="2" t="s">
        <v>97</v>
      </c>
      <c r="R1120" s="2" t="s">
        <v>98</v>
      </c>
      <c r="S1120" s="2" t="s">
        <v>98</v>
      </c>
      <c r="T1120" s="2" t="s">
        <v>98</v>
      </c>
      <c r="U1120" s="2" t="s">
        <v>117</v>
      </c>
      <c r="V1120" s="2" t="s">
        <v>296</v>
      </c>
      <c r="W1120" s="2" t="s">
        <v>102</v>
      </c>
      <c r="X1120" s="2" t="s">
        <v>98</v>
      </c>
      <c r="Y1120" s="2" t="s">
        <v>2373</v>
      </c>
      <c r="Z1120" s="4">
        <v>104</v>
      </c>
      <c r="AA1120" s="4">
        <f>=ROUNDDOWN({0},0)</f>
      </c>
      <c r="AB1120" s="5"/>
      <c r="AC1120" s="2" t="s">
        <v>98</v>
      </c>
      <c r="AD1120" s="4"/>
      <c r="AE1120" s="4"/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98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/>
      <c r="BD1120" s="8"/>
      <c r="BE1120" s="4"/>
      <c r="BF1120" s="8"/>
      <c r="BG1120" s="7"/>
      <c r="BH1120" s="7"/>
      <c r="BI1120" s="7"/>
      <c r="BJ1120" s="4"/>
      <c r="BK1120" s="8"/>
      <c r="BL1120" s="2" t="s">
        <v>98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107</v>
      </c>
      <c r="BV1120" s="2" t="s">
        <v>95</v>
      </c>
      <c r="BW1120" s="2" t="s">
        <v>4308</v>
      </c>
      <c r="BX1120" s="2" t="s">
        <v>98</v>
      </c>
      <c r="BY1120" s="2" t="s">
        <v>110</v>
      </c>
      <c r="BZ1120" s="2" t="s">
        <v>98</v>
      </c>
    </row>
    <row r="1121">
      <c r="A1121" s="2" t="s">
        <v>5045</v>
      </c>
      <c r="B1121" s="2" t="s">
        <v>4584</v>
      </c>
      <c r="C1121" s="2" t="s">
        <v>952</v>
      </c>
      <c r="D1121" s="2" t="s">
        <v>4832</v>
      </c>
      <c r="E1121" s="2" t="s">
        <v>4833</v>
      </c>
      <c r="F1121" s="2" t="s">
        <v>5046</v>
      </c>
      <c r="G1121" s="2" t="s">
        <v>5046</v>
      </c>
      <c r="H1121" s="2" t="s">
        <v>5046</v>
      </c>
      <c r="I1121" s="2" t="s">
        <v>5047</v>
      </c>
      <c r="J1121" s="2" t="s">
        <v>93</v>
      </c>
      <c r="K1121" s="2" t="s">
        <v>934</v>
      </c>
      <c r="L1121" s="3">
        <v>62</v>
      </c>
      <c r="M1121" s="3">
        <v>65.1</v>
      </c>
      <c r="N1121" s="3">
        <v>129.99</v>
      </c>
      <c r="O1121" s="2" t="s">
        <v>95</v>
      </c>
      <c r="P1121" s="2" t="s">
        <v>115</v>
      </c>
      <c r="Q1121" s="2" t="s">
        <v>97</v>
      </c>
      <c r="R1121" s="2" t="s">
        <v>98</v>
      </c>
      <c r="S1121" s="2" t="s">
        <v>98</v>
      </c>
      <c r="T1121" s="2" t="s">
        <v>98</v>
      </c>
      <c r="U1121" s="2" t="s">
        <v>117</v>
      </c>
      <c r="V1121" s="2" t="s">
        <v>296</v>
      </c>
      <c r="W1121" s="2" t="s">
        <v>102</v>
      </c>
      <c r="X1121" s="2" t="s">
        <v>4954</v>
      </c>
      <c r="Y1121" s="2" t="s">
        <v>2070</v>
      </c>
      <c r="Z1121" s="4">
        <v>88</v>
      </c>
      <c r="AA1121" s="4">
        <f>=ROUNDDOWN({0},0)</f>
      </c>
      <c r="AB1121" s="5"/>
      <c r="AC1121" s="2" t="s">
        <v>98</v>
      </c>
      <c r="AD1121" s="4"/>
      <c r="AE1121" s="4"/>
      <c r="AF1121" s="6">
        <v>63</v>
      </c>
      <c r="AG1121" s="6"/>
      <c r="AH1121" s="7">
        <v>1</v>
      </c>
      <c r="AI1121" s="4"/>
      <c r="AJ1121" s="4">
        <f>=ROUNDDOWN({0},0)</f>
      </c>
      <c r="AK1121" s="5"/>
      <c r="AL1121" s="2" t="s">
        <v>98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/>
      <c r="AW1121" s="8"/>
      <c r="AX1121" s="4"/>
      <c r="AY1121" s="8"/>
      <c r="AZ1121" s="7"/>
      <c r="BA1121" s="7"/>
      <c r="BB1121" s="7"/>
      <c r="BC1121" s="4"/>
      <c r="BD1121" s="8"/>
      <c r="BE1121" s="4"/>
      <c r="BF1121" s="8"/>
      <c r="BG1121" s="7"/>
      <c r="BH1121" s="7"/>
      <c r="BI1121" s="7"/>
      <c r="BJ1121" s="4"/>
      <c r="BK1121" s="8"/>
      <c r="BL1121" s="2" t="s">
        <v>98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107</v>
      </c>
      <c r="BV1121" s="2" t="s">
        <v>95</v>
      </c>
      <c r="BW1121" s="2" t="s">
        <v>4635</v>
      </c>
      <c r="BX1121" s="2" t="s">
        <v>98</v>
      </c>
      <c r="BY1121" s="2" t="s">
        <v>110</v>
      </c>
      <c r="BZ1121" s="2" t="s">
        <v>98</v>
      </c>
    </row>
    <row r="1122">
      <c r="A1122" s="2" t="s">
        <v>5048</v>
      </c>
      <c r="B1122" s="2" t="s">
        <v>4584</v>
      </c>
      <c r="C1122" s="2" t="s">
        <v>952</v>
      </c>
      <c r="D1122" s="2" t="s">
        <v>4832</v>
      </c>
      <c r="E1122" s="2" t="s">
        <v>4833</v>
      </c>
      <c r="F1122" s="2" t="s">
        <v>5021</v>
      </c>
      <c r="G1122" s="2" t="s">
        <v>5021</v>
      </c>
      <c r="H1122" s="2" t="s">
        <v>5021</v>
      </c>
      <c r="I1122" s="2" t="s">
        <v>5049</v>
      </c>
      <c r="J1122" s="2" t="s">
        <v>93</v>
      </c>
      <c r="K1122" s="2" t="s">
        <v>5050</v>
      </c>
      <c r="L1122" s="3">
        <v>85.81</v>
      </c>
      <c r="M1122" s="3">
        <v>90.1</v>
      </c>
      <c r="N1122" s="3">
        <v>179.99</v>
      </c>
      <c r="O1122" s="2" t="s">
        <v>95</v>
      </c>
      <c r="P1122" s="2" t="s">
        <v>115</v>
      </c>
      <c r="Q1122" s="2" t="s">
        <v>97</v>
      </c>
      <c r="R1122" s="2" t="s">
        <v>98</v>
      </c>
      <c r="S1122" s="2" t="s">
        <v>98</v>
      </c>
      <c r="T1122" s="2" t="s">
        <v>98</v>
      </c>
      <c r="U1122" s="2" t="s">
        <v>117</v>
      </c>
      <c r="V1122" s="2" t="s">
        <v>296</v>
      </c>
      <c r="W1122" s="2" t="s">
        <v>102</v>
      </c>
      <c r="X1122" s="2" t="s">
        <v>98</v>
      </c>
      <c r="Y1122" s="2" t="s">
        <v>4790</v>
      </c>
      <c r="Z1122" s="4">
        <v>183</v>
      </c>
      <c r="AA1122" s="4">
        <f>=ROUNDDOWN(915,0)</f>
      </c>
      <c r="AB1122" s="5">
        <v>0.2</v>
      </c>
      <c r="AC1122" s="2" t="s">
        <v>98</v>
      </c>
      <c r="AD1122" s="4"/>
      <c r="AE1122" s="4"/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98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/>
      <c r="AW1122" s="8"/>
      <c r="AX1122" s="4"/>
      <c r="AY1122" s="8"/>
      <c r="AZ1122" s="7"/>
      <c r="BA1122" s="7"/>
      <c r="BB1122" s="7"/>
      <c r="BC1122" s="4"/>
      <c r="BD1122" s="8"/>
      <c r="BE1122" s="4"/>
      <c r="BF1122" s="8"/>
      <c r="BG1122" s="7"/>
      <c r="BH1122" s="7"/>
      <c r="BI1122" s="7"/>
      <c r="BJ1122" s="4"/>
      <c r="BK1122" s="8"/>
      <c r="BL1122" s="2" t="s">
        <v>98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107</v>
      </c>
      <c r="BV1122" s="2" t="s">
        <v>95</v>
      </c>
      <c r="BW1122" s="2" t="s">
        <v>243</v>
      </c>
      <c r="BX1122" s="2" t="s">
        <v>98</v>
      </c>
      <c r="BY1122" s="2" t="s">
        <v>110</v>
      </c>
      <c r="BZ1122" s="2" t="s">
        <v>98</v>
      </c>
    </row>
    <row r="1123">
      <c r="A1123" s="2" t="s">
        <v>5051</v>
      </c>
      <c r="B1123" s="2" t="s">
        <v>4584</v>
      </c>
      <c r="C1123" s="2" t="s">
        <v>952</v>
      </c>
      <c r="D1123" s="2" t="s">
        <v>4832</v>
      </c>
      <c r="E1123" s="2" t="s">
        <v>4833</v>
      </c>
      <c r="F1123" s="2" t="s">
        <v>5052</v>
      </c>
      <c r="G1123" s="2" t="s">
        <v>5052</v>
      </c>
      <c r="H1123" s="2" t="s">
        <v>5052</v>
      </c>
      <c r="I1123" s="2" t="s">
        <v>5053</v>
      </c>
      <c r="J1123" s="2" t="s">
        <v>93</v>
      </c>
      <c r="K1123" s="2" t="s">
        <v>5054</v>
      </c>
      <c r="L1123" s="3">
        <v>47</v>
      </c>
      <c r="M1123" s="3">
        <v>49.35</v>
      </c>
      <c r="N1123" s="3">
        <v>99.99</v>
      </c>
      <c r="O1123" s="2" t="s">
        <v>95</v>
      </c>
      <c r="P1123" s="2" t="s">
        <v>142</v>
      </c>
      <c r="Q1123" s="2" t="s">
        <v>97</v>
      </c>
      <c r="R1123" s="2" t="s">
        <v>98</v>
      </c>
      <c r="S1123" s="2" t="s">
        <v>98</v>
      </c>
      <c r="T1123" s="2" t="s">
        <v>98</v>
      </c>
      <c r="U1123" s="2" t="s">
        <v>117</v>
      </c>
      <c r="V1123" s="2" t="s">
        <v>296</v>
      </c>
      <c r="W1123" s="2" t="s">
        <v>165</v>
      </c>
      <c r="X1123" s="2" t="s">
        <v>119</v>
      </c>
      <c r="Y1123" s="2" t="s">
        <v>4861</v>
      </c>
      <c r="Z1123" s="4">
        <v>14</v>
      </c>
      <c r="AA1123" s="4">
        <f>=ROUNDDOWN(4.66666666666667,0)</f>
      </c>
      <c r="AB1123" s="5">
        <v>3</v>
      </c>
      <c r="AC1123" s="2" t="s">
        <v>98</v>
      </c>
      <c r="AD1123" s="4"/>
      <c r="AE1123" s="4"/>
      <c r="AF1123" s="6">
        <v>63</v>
      </c>
      <c r="AG1123" s="6"/>
      <c r="AH1123" s="7">
        <v>1</v>
      </c>
      <c r="AI1123" s="4"/>
      <c r="AJ1123" s="4">
        <f>=ROUNDDOWN({0},0)</f>
      </c>
      <c r="AK1123" s="5"/>
      <c r="AL1123" s="2" t="s">
        <v>98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/>
      <c r="AW1123" s="8"/>
      <c r="AX1123" s="4"/>
      <c r="AY1123" s="8"/>
      <c r="AZ1123" s="7"/>
      <c r="BA1123" s="7"/>
      <c r="BB1123" s="7"/>
      <c r="BC1123" s="4"/>
      <c r="BD1123" s="8"/>
      <c r="BE1123" s="4"/>
      <c r="BF1123" s="8"/>
      <c r="BG1123" s="7"/>
      <c r="BH1123" s="7"/>
      <c r="BI1123" s="7"/>
      <c r="BJ1123" s="4"/>
      <c r="BK1123" s="8"/>
      <c r="BL1123" s="2" t="s">
        <v>98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107</v>
      </c>
      <c r="BV1123" s="2" t="s">
        <v>95</v>
      </c>
      <c r="BW1123" s="2" t="s">
        <v>4635</v>
      </c>
      <c r="BX1123" s="2" t="s">
        <v>98</v>
      </c>
      <c r="BY1123" s="2" t="s">
        <v>110</v>
      </c>
      <c r="BZ1123" s="2" t="s">
        <v>98</v>
      </c>
    </row>
    <row r="1124">
      <c r="A1124" s="2" t="s">
        <v>5055</v>
      </c>
      <c r="B1124" s="2" t="s">
        <v>4584</v>
      </c>
      <c r="C1124" s="2" t="s">
        <v>952</v>
      </c>
      <c r="D1124" s="2" t="s">
        <v>4832</v>
      </c>
      <c r="E1124" s="2" t="s">
        <v>4833</v>
      </c>
      <c r="F1124" s="2" t="s">
        <v>5056</v>
      </c>
      <c r="G1124" s="2" t="s">
        <v>5056</v>
      </c>
      <c r="H1124" s="2" t="s">
        <v>5056</v>
      </c>
      <c r="I1124" s="2" t="s">
        <v>5057</v>
      </c>
      <c r="J1124" s="2" t="s">
        <v>93</v>
      </c>
      <c r="K1124" s="2" t="s">
        <v>4681</v>
      </c>
      <c r="L1124" s="3">
        <v>41.08</v>
      </c>
      <c r="M1124" s="3">
        <v>43.13</v>
      </c>
      <c r="N1124" s="3">
        <v>89.99</v>
      </c>
      <c r="O1124" s="2" t="s">
        <v>95</v>
      </c>
      <c r="P1124" s="2" t="s">
        <v>115</v>
      </c>
      <c r="Q1124" s="2" t="s">
        <v>97</v>
      </c>
      <c r="R1124" s="2" t="s">
        <v>98</v>
      </c>
      <c r="S1124" s="2" t="s">
        <v>98</v>
      </c>
      <c r="T1124" s="2" t="s">
        <v>98</v>
      </c>
      <c r="U1124" s="2" t="s">
        <v>117</v>
      </c>
      <c r="V1124" s="2" t="s">
        <v>296</v>
      </c>
      <c r="W1124" s="2" t="s">
        <v>963</v>
      </c>
      <c r="X1124" s="2" t="s">
        <v>98</v>
      </c>
      <c r="Y1124" s="2" t="s">
        <v>4692</v>
      </c>
      <c r="Z1124" s="4">
        <v>146</v>
      </c>
      <c r="AA1124" s="4">
        <f>=ROUNDDOWN(292,0)</f>
      </c>
      <c r="AB1124" s="5">
        <v>0.5</v>
      </c>
      <c r="AC1124" s="2" t="s">
        <v>98</v>
      </c>
      <c r="AD1124" s="4"/>
      <c r="AE1124" s="4"/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98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/>
      <c r="AW1124" s="8"/>
      <c r="AX1124" s="4"/>
      <c r="AY1124" s="8"/>
      <c r="AZ1124" s="7"/>
      <c r="BA1124" s="7"/>
      <c r="BB1124" s="7"/>
      <c r="BC1124" s="4"/>
      <c r="BD1124" s="8"/>
      <c r="BE1124" s="4"/>
      <c r="BF1124" s="8"/>
      <c r="BG1124" s="7"/>
      <c r="BH1124" s="7"/>
      <c r="BI1124" s="7"/>
      <c r="BJ1124" s="4"/>
      <c r="BK1124" s="8"/>
      <c r="BL1124" s="2" t="s">
        <v>895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107</v>
      </c>
      <c r="BV1124" s="2" t="s">
        <v>95</v>
      </c>
      <c r="BW1124" s="2" t="s">
        <v>4635</v>
      </c>
      <c r="BX1124" s="2" t="s">
        <v>98</v>
      </c>
      <c r="BY1124" s="2" t="s">
        <v>110</v>
      </c>
      <c r="BZ1124" s="2" t="s">
        <v>98</v>
      </c>
    </row>
    <row r="1125">
      <c r="A1125" s="2" t="s">
        <v>5058</v>
      </c>
      <c r="B1125" s="2" t="s">
        <v>4584</v>
      </c>
      <c r="C1125" s="2" t="s">
        <v>952</v>
      </c>
      <c r="D1125" s="2" t="s">
        <v>4832</v>
      </c>
      <c r="E1125" s="2" t="s">
        <v>4833</v>
      </c>
      <c r="F1125" s="2" t="s">
        <v>5059</v>
      </c>
      <c r="G1125" s="2" t="s">
        <v>5059</v>
      </c>
      <c r="H1125" s="2" t="s">
        <v>5059</v>
      </c>
      <c r="I1125" s="2" t="s">
        <v>5060</v>
      </c>
      <c r="J1125" s="2" t="s">
        <v>93</v>
      </c>
      <c r="K1125" s="2" t="s">
        <v>127</v>
      </c>
      <c r="L1125" s="3">
        <v>81</v>
      </c>
      <c r="M1125" s="3">
        <v>85.05</v>
      </c>
      <c r="N1125" s="3">
        <v>189.99</v>
      </c>
      <c r="O1125" s="2" t="s">
        <v>95</v>
      </c>
      <c r="P1125" s="2" t="s">
        <v>142</v>
      </c>
      <c r="Q1125" s="2" t="s">
        <v>97</v>
      </c>
      <c r="R1125" s="2" t="s">
        <v>98</v>
      </c>
      <c r="S1125" s="2" t="s">
        <v>98</v>
      </c>
      <c r="T1125" s="2" t="s">
        <v>98</v>
      </c>
      <c r="U1125" s="2" t="s">
        <v>117</v>
      </c>
      <c r="V1125" s="2" t="s">
        <v>296</v>
      </c>
      <c r="W1125" s="2" t="s">
        <v>102</v>
      </c>
      <c r="X1125" s="2" t="s">
        <v>4954</v>
      </c>
      <c r="Y1125" s="2" t="s">
        <v>2070</v>
      </c>
      <c r="Z1125" s="4">
        <v>81</v>
      </c>
      <c r="AA1125" s="4">
        <f>=ROUNDDOWN(40.5,0)</f>
      </c>
      <c r="AB1125" s="5">
        <v>2</v>
      </c>
      <c r="AC1125" s="2" t="s">
        <v>98</v>
      </c>
      <c r="AD1125" s="4"/>
      <c r="AE1125" s="4"/>
      <c r="AF1125" s="6">
        <v>63</v>
      </c>
      <c r="AG1125" s="6"/>
      <c r="AH1125" s="7">
        <v>1</v>
      </c>
      <c r="AI1125" s="4"/>
      <c r="AJ1125" s="4">
        <f>=ROUNDDOWN({0},0)</f>
      </c>
      <c r="AK1125" s="5"/>
      <c r="AL1125" s="2" t="s">
        <v>98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/>
      <c r="AW1125" s="8"/>
      <c r="AX1125" s="4"/>
      <c r="AY1125" s="8"/>
      <c r="AZ1125" s="7"/>
      <c r="BA1125" s="7"/>
      <c r="BB1125" s="7"/>
      <c r="BC1125" s="4"/>
      <c r="BD1125" s="8"/>
      <c r="BE1125" s="4"/>
      <c r="BF1125" s="8"/>
      <c r="BG1125" s="7"/>
      <c r="BH1125" s="7"/>
      <c r="BI1125" s="7"/>
      <c r="BJ1125" s="4"/>
      <c r="BK1125" s="8"/>
      <c r="BL1125" s="2" t="s">
        <v>98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107</v>
      </c>
      <c r="BV1125" s="2" t="s">
        <v>95</v>
      </c>
      <c r="BW1125" s="2" t="s">
        <v>4635</v>
      </c>
      <c r="BX1125" s="2" t="s">
        <v>5061</v>
      </c>
      <c r="BY1125" s="2" t="s">
        <v>110</v>
      </c>
      <c r="BZ1125" s="2" t="s">
        <v>98</v>
      </c>
    </row>
    <row r="1126">
      <c r="A1126" s="2" t="s">
        <v>5062</v>
      </c>
      <c r="B1126" s="2" t="s">
        <v>4584</v>
      </c>
      <c r="C1126" s="2" t="s">
        <v>952</v>
      </c>
      <c r="D1126" s="2" t="s">
        <v>4858</v>
      </c>
      <c r="E1126" s="2" t="s">
        <v>4859</v>
      </c>
      <c r="F1126" s="2" t="s">
        <v>4928</v>
      </c>
      <c r="G1126" s="2" t="s">
        <v>4928</v>
      </c>
      <c r="H1126" s="2" t="s">
        <v>4928</v>
      </c>
      <c r="I1126" s="2" t="s">
        <v>5063</v>
      </c>
      <c r="J1126" s="2" t="s">
        <v>93</v>
      </c>
      <c r="K1126" s="2" t="s">
        <v>294</v>
      </c>
      <c r="L1126" s="3">
        <v>51.3</v>
      </c>
      <c r="M1126" s="3">
        <v>53.86</v>
      </c>
      <c r="N1126" s="3">
        <v>119.99</v>
      </c>
      <c r="O1126" s="2" t="s">
        <v>95</v>
      </c>
      <c r="P1126" s="2" t="s">
        <v>96</v>
      </c>
      <c r="Q1126" s="2" t="s">
        <v>97</v>
      </c>
      <c r="R1126" s="2" t="s">
        <v>98</v>
      </c>
      <c r="S1126" s="2" t="s">
        <v>98</v>
      </c>
      <c r="T1126" s="2" t="s">
        <v>98</v>
      </c>
      <c r="U1126" s="2" t="s">
        <v>117</v>
      </c>
      <c r="V1126" s="2" t="s">
        <v>296</v>
      </c>
      <c r="W1126" s="2" t="s">
        <v>119</v>
      </c>
      <c r="X1126" s="2" t="s">
        <v>102</v>
      </c>
      <c r="Y1126" s="2" t="s">
        <v>4314</v>
      </c>
      <c r="Z1126" s="4">
        <v>255</v>
      </c>
      <c r="AA1126" s="4">
        <f>=ROUNDDOWN(17,0)</f>
      </c>
      <c r="AB1126" s="5">
        <v>15</v>
      </c>
      <c r="AC1126" s="2" t="s">
        <v>2600</v>
      </c>
      <c r="AD1126" s="4">
        <v>150</v>
      </c>
      <c r="AE1126" s="4">
        <v>150</v>
      </c>
      <c r="AF1126" s="6">
        <v>63</v>
      </c>
      <c r="AG1126" s="6"/>
      <c r="AH1126" s="7">
        <v>1</v>
      </c>
      <c r="AI1126" s="4"/>
      <c r="AJ1126" s="4">
        <f>=ROUNDDOWN({0},0)</f>
      </c>
      <c r="AK1126" s="5"/>
      <c r="AL1126" s="2" t="s">
        <v>98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/>
      <c r="AW1126" s="8"/>
      <c r="AX1126" s="4"/>
      <c r="AY1126" s="8"/>
      <c r="AZ1126" s="7"/>
      <c r="BA1126" s="7"/>
      <c r="BB1126" s="7"/>
      <c r="BC1126" s="4"/>
      <c r="BD1126" s="8"/>
      <c r="BE1126" s="4"/>
      <c r="BF1126" s="8"/>
      <c r="BG1126" s="7"/>
      <c r="BH1126" s="7"/>
      <c r="BI1126" s="7"/>
      <c r="BJ1126" s="4">
        <v>11</v>
      </c>
      <c r="BK1126" s="8">
        <v>727.81</v>
      </c>
      <c r="BL1126" s="2" t="s">
        <v>931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107</v>
      </c>
      <c r="BV1126" s="2" t="s">
        <v>95</v>
      </c>
      <c r="BW1126" s="2" t="s">
        <v>4891</v>
      </c>
      <c r="BX1126" s="2" t="s">
        <v>98</v>
      </c>
      <c r="BY1126" s="2" t="s">
        <v>110</v>
      </c>
      <c r="BZ1126" s="2" t="s">
        <v>98</v>
      </c>
    </row>
    <row r="1127">
      <c r="A1127" s="2" t="s">
        <v>5064</v>
      </c>
      <c r="B1127" s="2" t="s">
        <v>4584</v>
      </c>
      <c r="C1127" s="2" t="s">
        <v>1178</v>
      </c>
      <c r="D1127" s="2" t="s">
        <v>4806</v>
      </c>
      <c r="E1127" s="2" t="s">
        <v>4807</v>
      </c>
      <c r="F1127" s="2" t="s">
        <v>5065</v>
      </c>
      <c r="G1127" s="2" t="s">
        <v>5065</v>
      </c>
      <c r="H1127" s="2" t="s">
        <v>5065</v>
      </c>
      <c r="I1127" s="2" t="s">
        <v>5066</v>
      </c>
      <c r="J1127" s="2" t="s">
        <v>93</v>
      </c>
      <c r="K1127" s="2" t="s">
        <v>4789</v>
      </c>
      <c r="L1127" s="3">
        <v>79.49</v>
      </c>
      <c r="M1127" s="3">
        <v>83.46</v>
      </c>
      <c r="N1127" s="3">
        <v>184.99</v>
      </c>
      <c r="O1127" s="2" t="s">
        <v>95</v>
      </c>
      <c r="P1127" s="2" t="s">
        <v>163</v>
      </c>
      <c r="Q1127" s="2" t="s">
        <v>97</v>
      </c>
      <c r="R1127" s="2" t="s">
        <v>98</v>
      </c>
      <c r="S1127" s="2" t="s">
        <v>98</v>
      </c>
      <c r="T1127" s="2" t="s">
        <v>98</v>
      </c>
      <c r="U1127" s="2" t="s">
        <v>98</v>
      </c>
      <c r="V1127" s="2" t="s">
        <v>296</v>
      </c>
      <c r="W1127" s="2" t="s">
        <v>102</v>
      </c>
      <c r="X1127" s="2" t="s">
        <v>1181</v>
      </c>
      <c r="Y1127" s="2" t="s">
        <v>5067</v>
      </c>
      <c r="Z1127" s="4">
        <v>151</v>
      </c>
      <c r="AA1127" s="4">
        <f>=ROUNDDOWN(16.7777777777778,0)</f>
      </c>
      <c r="AB1127" s="5">
        <v>9</v>
      </c>
      <c r="AC1127" s="2" t="s">
        <v>1457</v>
      </c>
      <c r="AD1127" s="4">
        <v>100</v>
      </c>
      <c r="AE1127" s="4">
        <v>100</v>
      </c>
      <c r="AF1127" s="6">
        <v>65</v>
      </c>
      <c r="AG1127" s="6"/>
      <c r="AH1127" s="7">
        <v>1</v>
      </c>
      <c r="AI1127" s="4"/>
      <c r="AJ1127" s="4">
        <f>=ROUNDDOWN({0},0)</f>
      </c>
      <c r="AK1127" s="5"/>
      <c r="AL1127" s="2" t="s">
        <v>98</v>
      </c>
      <c r="AM1127" s="4"/>
      <c r="AN1127" s="4"/>
      <c r="AO1127" s="7">
        <v>0</v>
      </c>
      <c r="AP1127" s="4">
        <v>1</v>
      </c>
      <c r="AQ1127" s="8">
        <v>95.26</v>
      </c>
      <c r="AR1127" s="4"/>
      <c r="AS1127" s="8"/>
      <c r="AT1127" s="7"/>
      <c r="AU1127" s="7"/>
      <c r="AV1127" s="4">
        <v>1</v>
      </c>
      <c r="AW1127" s="8">
        <v>95.26</v>
      </c>
      <c r="AX1127" s="4"/>
      <c r="AY1127" s="8"/>
      <c r="AZ1127" s="7"/>
      <c r="BA1127" s="7"/>
      <c r="BB1127" s="7">
        <v>1</v>
      </c>
      <c r="BC1127" s="4">
        <v>1</v>
      </c>
      <c r="BD1127" s="8">
        <v>95.26</v>
      </c>
      <c r="BE1127" s="4"/>
      <c r="BF1127" s="8"/>
      <c r="BG1127" s="7"/>
      <c r="BH1127" s="7"/>
      <c r="BI1127" s="7">
        <v>1</v>
      </c>
      <c r="BJ1127" s="4">
        <v>11</v>
      </c>
      <c r="BK1127" s="8">
        <v>1064.89</v>
      </c>
      <c r="BL1127" s="2" t="s">
        <v>5068</v>
      </c>
      <c r="BM1127" s="7">
        <v>0.0909</v>
      </c>
      <c r="BN1127" s="7">
        <v>0.0895</v>
      </c>
      <c r="BO1127" s="4">
        <v>1</v>
      </c>
      <c r="BP1127" s="8">
        <v>95.26</v>
      </c>
      <c r="BQ1127" s="4"/>
      <c r="BR1127" s="8"/>
      <c r="BS1127" s="7"/>
      <c r="BT1127" s="7"/>
      <c r="BU1127" s="2" t="s">
        <v>107</v>
      </c>
      <c r="BV1127" s="2" t="s">
        <v>95</v>
      </c>
      <c r="BW1127" s="2" t="s">
        <v>243</v>
      </c>
      <c r="BX1127" s="2" t="s">
        <v>5069</v>
      </c>
      <c r="BY1127" s="2" t="s">
        <v>110</v>
      </c>
      <c r="BZ1127" s="2" t="s">
        <v>98</v>
      </c>
    </row>
    <row r="1128">
      <c r="A1128" s="2" t="s">
        <v>5070</v>
      </c>
      <c r="B1128" s="2" t="s">
        <v>4584</v>
      </c>
      <c r="C1128" s="2" t="s">
        <v>1178</v>
      </c>
      <c r="D1128" s="2" t="s">
        <v>4806</v>
      </c>
      <c r="E1128" s="2" t="s">
        <v>4807</v>
      </c>
      <c r="F1128" s="2" t="s">
        <v>5071</v>
      </c>
      <c r="G1128" s="2" t="s">
        <v>5071</v>
      </c>
      <c r="H1128" s="2" t="s">
        <v>5071</v>
      </c>
      <c r="I1128" s="2" t="s">
        <v>5072</v>
      </c>
      <c r="J1128" s="2" t="s">
        <v>93</v>
      </c>
      <c r="K1128" s="2" t="s">
        <v>4824</v>
      </c>
      <c r="L1128" s="3">
        <v>57.5</v>
      </c>
      <c r="M1128" s="3">
        <v>60.38</v>
      </c>
      <c r="N1128" s="3">
        <v>119.99</v>
      </c>
      <c r="O1128" s="2" t="s">
        <v>95</v>
      </c>
      <c r="P1128" s="2" t="s">
        <v>96</v>
      </c>
      <c r="Q1128" s="2" t="s">
        <v>97</v>
      </c>
      <c r="R1128" s="2" t="s">
        <v>98</v>
      </c>
      <c r="S1128" s="2" t="s">
        <v>98</v>
      </c>
      <c r="T1128" s="2" t="s">
        <v>98</v>
      </c>
      <c r="U1128" s="2" t="s">
        <v>117</v>
      </c>
      <c r="V1128" s="2" t="s">
        <v>296</v>
      </c>
      <c r="W1128" s="2" t="s">
        <v>314</v>
      </c>
      <c r="X1128" s="2" t="s">
        <v>1215</v>
      </c>
      <c r="Y1128" s="2" t="s">
        <v>4503</v>
      </c>
      <c r="Z1128" s="4">
        <v>176</v>
      </c>
      <c r="AA1128" s="4">
        <f>=ROUNDDOWN(14.6666666666667,0)</f>
      </c>
      <c r="AB1128" s="5">
        <v>12</v>
      </c>
      <c r="AC1128" s="2" t="s">
        <v>98</v>
      </c>
      <c r="AD1128" s="4"/>
      <c r="AE1128" s="4"/>
      <c r="AF1128" s="6">
        <v>63</v>
      </c>
      <c r="AG1128" s="6"/>
      <c r="AH1128" s="7">
        <v>1</v>
      </c>
      <c r="AI1128" s="4"/>
      <c r="AJ1128" s="4">
        <f>=ROUNDDOWN({0},0)</f>
      </c>
      <c r="AK1128" s="5"/>
      <c r="AL1128" s="2" t="s">
        <v>98</v>
      </c>
      <c r="AM1128" s="4"/>
      <c r="AN1128" s="4"/>
      <c r="AO1128" s="7">
        <v>0</v>
      </c>
      <c r="AP1128" s="4"/>
      <c r="AQ1128" s="8"/>
      <c r="AR1128" s="4"/>
      <c r="AS1128" s="8"/>
      <c r="AT1128" s="7"/>
      <c r="AU1128" s="7"/>
      <c r="AV1128" s="4"/>
      <c r="AW1128" s="8"/>
      <c r="AX1128" s="4"/>
      <c r="AY1128" s="8"/>
      <c r="AZ1128" s="7"/>
      <c r="BA1128" s="7"/>
      <c r="BB1128" s="7"/>
      <c r="BC1128" s="4"/>
      <c r="BD1128" s="8"/>
      <c r="BE1128" s="4"/>
      <c r="BF1128" s="8"/>
      <c r="BG1128" s="7"/>
      <c r="BH1128" s="7"/>
      <c r="BI1128" s="7"/>
      <c r="BJ1128" s="4">
        <v>12</v>
      </c>
      <c r="BK1128" s="8">
        <v>777.66</v>
      </c>
      <c r="BL1128" s="2" t="s">
        <v>5073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107</v>
      </c>
      <c r="BV1128" s="2" t="s">
        <v>95</v>
      </c>
      <c r="BW1128" s="2" t="s">
        <v>4891</v>
      </c>
      <c r="BX1128" s="2" t="s">
        <v>5074</v>
      </c>
      <c r="BY1128" s="2" t="s">
        <v>110</v>
      </c>
      <c r="BZ1128" s="2" t="s">
        <v>98</v>
      </c>
    </row>
    <row r="1129">
      <c r="A1129" s="2" t="s">
        <v>5075</v>
      </c>
      <c r="B1129" s="2" t="s">
        <v>4584</v>
      </c>
      <c r="C1129" s="2" t="s">
        <v>1178</v>
      </c>
      <c r="D1129" s="2" t="s">
        <v>4806</v>
      </c>
      <c r="E1129" s="2" t="s">
        <v>4807</v>
      </c>
      <c r="F1129" s="2" t="s">
        <v>5076</v>
      </c>
      <c r="G1129" s="2" t="s">
        <v>5076</v>
      </c>
      <c r="H1129" s="2" t="s">
        <v>5076</v>
      </c>
      <c r="I1129" s="2" t="s">
        <v>5077</v>
      </c>
      <c r="J1129" s="2" t="s">
        <v>93</v>
      </c>
      <c r="K1129" s="2" t="s">
        <v>473</v>
      </c>
      <c r="L1129" s="3">
        <v>121.5</v>
      </c>
      <c r="M1129" s="3">
        <v>127.58</v>
      </c>
      <c r="N1129" s="3">
        <v>279.99</v>
      </c>
      <c r="O1129" s="2" t="s">
        <v>95</v>
      </c>
      <c r="P1129" s="2" t="s">
        <v>142</v>
      </c>
      <c r="Q1129" s="2" t="s">
        <v>97</v>
      </c>
      <c r="R1129" s="2" t="s">
        <v>98</v>
      </c>
      <c r="S1129" s="2" t="s">
        <v>98</v>
      </c>
      <c r="T1129" s="2" t="s">
        <v>98</v>
      </c>
      <c r="U1129" s="2" t="s">
        <v>117</v>
      </c>
      <c r="V1129" s="2" t="s">
        <v>296</v>
      </c>
      <c r="W1129" s="2" t="s">
        <v>102</v>
      </c>
      <c r="X1129" s="2" t="s">
        <v>1181</v>
      </c>
      <c r="Y1129" s="2" t="s">
        <v>4861</v>
      </c>
      <c r="Z1129" s="4">
        <v>86</v>
      </c>
      <c r="AA1129" s="4">
        <f>=ROUNDDOWN(86,0)</f>
      </c>
      <c r="AB1129" s="5">
        <v>1</v>
      </c>
      <c r="AC1129" s="2" t="s">
        <v>98</v>
      </c>
      <c r="AD1129" s="4"/>
      <c r="AE1129" s="4"/>
      <c r="AF1129" s="6">
        <v>63</v>
      </c>
      <c r="AG1129" s="6"/>
      <c r="AH1129" s="7">
        <v>1</v>
      </c>
      <c r="AI1129" s="4"/>
      <c r="AJ1129" s="4">
        <f>=ROUNDDOWN({0},0)</f>
      </c>
      <c r="AK1129" s="5"/>
      <c r="AL1129" s="2" t="s">
        <v>98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/>
      <c r="AW1129" s="8"/>
      <c r="AX1129" s="4"/>
      <c r="AY1129" s="8"/>
      <c r="AZ1129" s="7"/>
      <c r="BA1129" s="7"/>
      <c r="BB1129" s="7"/>
      <c r="BC1129" s="4"/>
      <c r="BD1129" s="8"/>
      <c r="BE1129" s="4"/>
      <c r="BF1129" s="8"/>
      <c r="BG1129" s="7"/>
      <c r="BH1129" s="7"/>
      <c r="BI1129" s="7"/>
      <c r="BJ1129" s="4"/>
      <c r="BK1129" s="8"/>
      <c r="BL1129" s="2" t="s">
        <v>98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107</v>
      </c>
      <c r="BV1129" s="2" t="s">
        <v>95</v>
      </c>
      <c r="BW1129" s="2" t="s">
        <v>4635</v>
      </c>
      <c r="BX1129" s="2" t="s">
        <v>98</v>
      </c>
      <c r="BY1129" s="2" t="s">
        <v>110</v>
      </c>
      <c r="BZ1129" s="2" t="s">
        <v>98</v>
      </c>
    </row>
    <row r="1130">
      <c r="A1130" s="2" t="s">
        <v>5078</v>
      </c>
      <c r="B1130" s="2" t="s">
        <v>4584</v>
      </c>
      <c r="C1130" s="2" t="s">
        <v>1178</v>
      </c>
      <c r="D1130" s="2" t="s">
        <v>4806</v>
      </c>
      <c r="E1130" s="2" t="s">
        <v>4807</v>
      </c>
      <c r="F1130" s="2" t="s">
        <v>5079</v>
      </c>
      <c r="G1130" s="2" t="s">
        <v>5079</v>
      </c>
      <c r="H1130" s="2" t="s">
        <v>5079</v>
      </c>
      <c r="I1130" s="2" t="s">
        <v>5080</v>
      </c>
      <c r="J1130" s="2" t="s">
        <v>93</v>
      </c>
      <c r="K1130" s="2" t="s">
        <v>473</v>
      </c>
      <c r="L1130" s="3">
        <v>83.79</v>
      </c>
      <c r="M1130" s="3">
        <v>87.98</v>
      </c>
      <c r="N1130" s="3">
        <v>189.99</v>
      </c>
      <c r="O1130" s="2" t="s">
        <v>95</v>
      </c>
      <c r="P1130" s="2" t="s">
        <v>134</v>
      </c>
      <c r="Q1130" s="2" t="s">
        <v>97</v>
      </c>
      <c r="R1130" s="2" t="s">
        <v>98</v>
      </c>
      <c r="S1130" s="2" t="s">
        <v>98</v>
      </c>
      <c r="T1130" s="2" t="s">
        <v>98</v>
      </c>
      <c r="U1130" s="2" t="s">
        <v>117</v>
      </c>
      <c r="V1130" s="2" t="s">
        <v>296</v>
      </c>
      <c r="W1130" s="2" t="s">
        <v>102</v>
      </c>
      <c r="X1130" s="2" t="s">
        <v>1181</v>
      </c>
      <c r="Y1130" s="2" t="s">
        <v>5081</v>
      </c>
      <c r="Z1130" s="4">
        <v>93</v>
      </c>
      <c r="AA1130" s="4">
        <f>=ROUNDDOWN(31,0)</f>
      </c>
      <c r="AB1130" s="5">
        <v>3</v>
      </c>
      <c r="AC1130" s="2" t="s">
        <v>98</v>
      </c>
      <c r="AD1130" s="4"/>
      <c r="AE1130" s="4"/>
      <c r="AF1130" s="6">
        <v>65</v>
      </c>
      <c r="AG1130" s="6"/>
      <c r="AH1130" s="7">
        <v>1</v>
      </c>
      <c r="AI1130" s="4"/>
      <c r="AJ1130" s="4">
        <f>=ROUNDDOWN({0},0)</f>
      </c>
      <c r="AK1130" s="5"/>
      <c r="AL1130" s="2" t="s">
        <v>98</v>
      </c>
      <c r="AM1130" s="4"/>
      <c r="AN1130" s="4"/>
      <c r="AO1130" s="7">
        <v>0</v>
      </c>
      <c r="AP1130" s="4"/>
      <c r="AQ1130" s="8"/>
      <c r="AR1130" s="4"/>
      <c r="AS1130" s="8"/>
      <c r="AT1130" s="7"/>
      <c r="AU1130" s="7"/>
      <c r="AV1130" s="4"/>
      <c r="AW1130" s="8"/>
      <c r="AX1130" s="4"/>
      <c r="AY1130" s="8"/>
      <c r="AZ1130" s="7"/>
      <c r="BA1130" s="7"/>
      <c r="BB1130" s="7"/>
      <c r="BC1130" s="4"/>
      <c r="BD1130" s="8"/>
      <c r="BE1130" s="4"/>
      <c r="BF1130" s="8"/>
      <c r="BG1130" s="7"/>
      <c r="BH1130" s="7"/>
      <c r="BI1130" s="7"/>
      <c r="BJ1130" s="4">
        <v>1</v>
      </c>
      <c r="BK1130" s="8">
        <v>100.42</v>
      </c>
      <c r="BL1130" s="2" t="s">
        <v>158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107</v>
      </c>
      <c r="BV1130" s="2" t="s">
        <v>95</v>
      </c>
      <c r="BW1130" s="2" t="s">
        <v>4308</v>
      </c>
      <c r="BX1130" s="2" t="s">
        <v>993</v>
      </c>
      <c r="BY1130" s="2" t="s">
        <v>110</v>
      </c>
      <c r="BZ1130" s="2" t="s">
        <v>98</v>
      </c>
    </row>
    <row r="1131">
      <c r="A1131" s="2" t="s">
        <v>5082</v>
      </c>
      <c r="B1131" s="2" t="s">
        <v>4584</v>
      </c>
      <c r="C1131" s="2" t="s">
        <v>1178</v>
      </c>
      <c r="D1131" s="2" t="s">
        <v>4806</v>
      </c>
      <c r="E1131" s="2" t="s">
        <v>4807</v>
      </c>
      <c r="F1131" s="2" t="s">
        <v>5083</v>
      </c>
      <c r="G1131" s="2" t="s">
        <v>5083</v>
      </c>
      <c r="H1131" s="2" t="s">
        <v>5083</v>
      </c>
      <c r="I1131" s="2" t="s">
        <v>5084</v>
      </c>
      <c r="J1131" s="2" t="s">
        <v>93</v>
      </c>
      <c r="K1131" s="2" t="s">
        <v>5085</v>
      </c>
      <c r="L1131" s="3">
        <v>85</v>
      </c>
      <c r="M1131" s="3">
        <v>89.25</v>
      </c>
      <c r="N1131" s="3">
        <v>179.99</v>
      </c>
      <c r="O1131" s="2" t="s">
        <v>95</v>
      </c>
      <c r="P1131" s="2" t="s">
        <v>295</v>
      </c>
      <c r="Q1131" s="2" t="s">
        <v>97</v>
      </c>
      <c r="R1131" s="2" t="s">
        <v>98</v>
      </c>
      <c r="S1131" s="2" t="s">
        <v>98</v>
      </c>
      <c r="T1131" s="2" t="s">
        <v>98</v>
      </c>
      <c r="U1131" s="2" t="s">
        <v>117</v>
      </c>
      <c r="V1131" s="2" t="s">
        <v>296</v>
      </c>
      <c r="W1131" s="2" t="s">
        <v>1186</v>
      </c>
      <c r="X1131" s="2" t="s">
        <v>165</v>
      </c>
      <c r="Y1131" s="2" t="s">
        <v>4867</v>
      </c>
      <c r="Z1131" s="4">
        <v>64</v>
      </c>
      <c r="AA1131" s="4">
        <f>=ROUNDDOWN(32,0)</f>
      </c>
      <c r="AB1131" s="5">
        <v>2</v>
      </c>
      <c r="AC1131" s="2" t="s">
        <v>98</v>
      </c>
      <c r="AD1131" s="4"/>
      <c r="AE1131" s="4"/>
      <c r="AF1131" s="6">
        <v>63</v>
      </c>
      <c r="AG1131" s="6"/>
      <c r="AH1131" s="7">
        <v>1</v>
      </c>
      <c r="AI1131" s="4"/>
      <c r="AJ1131" s="4">
        <f>=ROUNDDOWN({0},0)</f>
      </c>
      <c r="AK1131" s="5"/>
      <c r="AL1131" s="2" t="s">
        <v>98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/>
      <c r="AW1131" s="8"/>
      <c r="AX1131" s="4"/>
      <c r="AY1131" s="8"/>
      <c r="AZ1131" s="7"/>
      <c r="BA1131" s="7"/>
      <c r="BB1131" s="7"/>
      <c r="BC1131" s="4"/>
      <c r="BD1131" s="8"/>
      <c r="BE1131" s="4"/>
      <c r="BF1131" s="8"/>
      <c r="BG1131" s="7"/>
      <c r="BH1131" s="7"/>
      <c r="BI1131" s="7"/>
      <c r="BJ1131" s="4">
        <v>1</v>
      </c>
      <c r="BK1131" s="8">
        <v>93.71</v>
      </c>
      <c r="BL1131" s="2" t="s">
        <v>158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107</v>
      </c>
      <c r="BV1131" s="2" t="s">
        <v>95</v>
      </c>
      <c r="BW1131" s="2" t="s">
        <v>532</v>
      </c>
      <c r="BX1131" s="2" t="s">
        <v>98</v>
      </c>
      <c r="BY1131" s="2" t="s">
        <v>110</v>
      </c>
      <c r="BZ1131" s="2" t="s">
        <v>98</v>
      </c>
    </row>
    <row r="1132">
      <c r="A1132" s="2" t="s">
        <v>5086</v>
      </c>
      <c r="B1132" s="2" t="s">
        <v>4584</v>
      </c>
      <c r="C1132" s="2" t="s">
        <v>1178</v>
      </c>
      <c r="D1132" s="2" t="s">
        <v>4686</v>
      </c>
      <c r="E1132" s="2" t="s">
        <v>4687</v>
      </c>
      <c r="F1132" s="2" t="s">
        <v>2836</v>
      </c>
      <c r="G1132" s="2" t="s">
        <v>2836</v>
      </c>
      <c r="H1132" s="2" t="s">
        <v>2836</v>
      </c>
      <c r="I1132" s="2" t="s">
        <v>5087</v>
      </c>
      <c r="J1132" s="2" t="s">
        <v>93</v>
      </c>
      <c r="K1132" s="2" t="s">
        <v>5088</v>
      </c>
      <c r="L1132" s="3">
        <v>142.2</v>
      </c>
      <c r="M1132" s="3">
        <v>149.31</v>
      </c>
      <c r="N1132" s="3">
        <v>329.99</v>
      </c>
      <c r="O1132" s="2" t="s">
        <v>95</v>
      </c>
      <c r="P1132" s="2" t="s">
        <v>142</v>
      </c>
      <c r="Q1132" s="2" t="s">
        <v>97</v>
      </c>
      <c r="R1132" s="2" t="s">
        <v>98</v>
      </c>
      <c r="S1132" s="2" t="s">
        <v>98</v>
      </c>
      <c r="T1132" s="2" t="s">
        <v>98</v>
      </c>
      <c r="U1132" s="2" t="s">
        <v>117</v>
      </c>
      <c r="V1132" s="2" t="s">
        <v>296</v>
      </c>
      <c r="W1132" s="2" t="s">
        <v>297</v>
      </c>
      <c r="X1132" s="2" t="s">
        <v>1215</v>
      </c>
      <c r="Y1132" s="2" t="s">
        <v>4861</v>
      </c>
      <c r="Z1132" s="4">
        <v>94</v>
      </c>
      <c r="AA1132" s="4">
        <f>=ROUNDDOWN(94,0)</f>
      </c>
      <c r="AB1132" s="5">
        <v>1</v>
      </c>
      <c r="AC1132" s="2" t="s">
        <v>98</v>
      </c>
      <c r="AD1132" s="4"/>
      <c r="AE1132" s="4"/>
      <c r="AF1132" s="6">
        <v>63</v>
      </c>
      <c r="AG1132" s="6"/>
      <c r="AH1132" s="7">
        <v>1</v>
      </c>
      <c r="AI1132" s="4"/>
      <c r="AJ1132" s="4">
        <f>=ROUNDDOWN({0},0)</f>
      </c>
      <c r="AK1132" s="5"/>
      <c r="AL1132" s="2" t="s">
        <v>98</v>
      </c>
      <c r="AM1132" s="4"/>
      <c r="AN1132" s="4"/>
      <c r="AO1132" s="7">
        <v>0</v>
      </c>
      <c r="AP1132" s="4"/>
      <c r="AQ1132" s="8"/>
      <c r="AR1132" s="4"/>
      <c r="AS1132" s="8"/>
      <c r="AT1132" s="7"/>
      <c r="AU1132" s="7"/>
      <c r="AV1132" s="4"/>
      <c r="AW1132" s="8"/>
      <c r="AX1132" s="4"/>
      <c r="AY1132" s="8"/>
      <c r="AZ1132" s="7"/>
      <c r="BA1132" s="7"/>
      <c r="BB1132" s="7"/>
      <c r="BC1132" s="4"/>
      <c r="BD1132" s="8"/>
      <c r="BE1132" s="4"/>
      <c r="BF1132" s="8"/>
      <c r="BG1132" s="7"/>
      <c r="BH1132" s="7"/>
      <c r="BI1132" s="7"/>
      <c r="BJ1132" s="4"/>
      <c r="BK1132" s="8"/>
      <c r="BL1132" s="2" t="s">
        <v>98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107</v>
      </c>
      <c r="BV1132" s="2" t="s">
        <v>95</v>
      </c>
      <c r="BW1132" s="2" t="s">
        <v>4635</v>
      </c>
      <c r="BX1132" s="2" t="s">
        <v>98</v>
      </c>
      <c r="BY1132" s="2" t="s">
        <v>110</v>
      </c>
      <c r="BZ1132" s="2" t="s">
        <v>98</v>
      </c>
    </row>
    <row r="1133">
      <c r="A1133" s="2" t="s">
        <v>5089</v>
      </c>
      <c r="B1133" s="2" t="s">
        <v>4584</v>
      </c>
      <c r="C1133" s="2" t="s">
        <v>1178</v>
      </c>
      <c r="D1133" s="2" t="s">
        <v>4686</v>
      </c>
      <c r="E1133" s="2" t="s">
        <v>4687</v>
      </c>
      <c r="F1133" s="2" t="s">
        <v>5090</v>
      </c>
      <c r="G1133" s="2" t="s">
        <v>5090</v>
      </c>
      <c r="H1133" s="2" t="s">
        <v>5090</v>
      </c>
      <c r="I1133" s="2" t="s">
        <v>5091</v>
      </c>
      <c r="J1133" s="2" t="s">
        <v>93</v>
      </c>
      <c r="K1133" s="2" t="s">
        <v>4824</v>
      </c>
      <c r="L1133" s="3">
        <v>89.1</v>
      </c>
      <c r="M1133" s="3">
        <v>93.56</v>
      </c>
      <c r="N1133" s="3">
        <v>209</v>
      </c>
      <c r="O1133" s="2" t="s">
        <v>95</v>
      </c>
      <c r="P1133" s="2" t="s">
        <v>142</v>
      </c>
      <c r="Q1133" s="2" t="s">
        <v>97</v>
      </c>
      <c r="R1133" s="2" t="s">
        <v>98</v>
      </c>
      <c r="S1133" s="2" t="s">
        <v>98</v>
      </c>
      <c r="T1133" s="2" t="s">
        <v>98</v>
      </c>
      <c r="U1133" s="2" t="s">
        <v>117</v>
      </c>
      <c r="V1133" s="2" t="s">
        <v>296</v>
      </c>
      <c r="W1133" s="2" t="s">
        <v>103</v>
      </c>
      <c r="X1133" s="2" t="s">
        <v>1215</v>
      </c>
      <c r="Y1133" s="2" t="s">
        <v>4861</v>
      </c>
      <c r="Z1133" s="4">
        <v>80</v>
      </c>
      <c r="AA1133" s="4">
        <f>=ROUNDDOWN(80,0)</f>
      </c>
      <c r="AB1133" s="5">
        <v>1</v>
      </c>
      <c r="AC1133" s="2" t="s">
        <v>98</v>
      </c>
      <c r="AD1133" s="4"/>
      <c r="AE1133" s="4"/>
      <c r="AF1133" s="6">
        <v>63</v>
      </c>
      <c r="AG1133" s="6"/>
      <c r="AH1133" s="7">
        <v>1</v>
      </c>
      <c r="AI1133" s="4"/>
      <c r="AJ1133" s="4">
        <f>=ROUNDDOWN({0},0)</f>
      </c>
      <c r="AK1133" s="5"/>
      <c r="AL1133" s="2" t="s">
        <v>98</v>
      </c>
      <c r="AM1133" s="4"/>
      <c r="AN1133" s="4"/>
      <c r="AO1133" s="7">
        <v>0</v>
      </c>
      <c r="AP1133" s="4"/>
      <c r="AQ1133" s="8"/>
      <c r="AR1133" s="4"/>
      <c r="AS1133" s="8"/>
      <c r="AT1133" s="7"/>
      <c r="AU1133" s="7"/>
      <c r="AV1133" s="4"/>
      <c r="AW1133" s="8"/>
      <c r="AX1133" s="4"/>
      <c r="AY1133" s="8"/>
      <c r="AZ1133" s="7"/>
      <c r="BA1133" s="7"/>
      <c r="BB1133" s="7"/>
      <c r="BC1133" s="4"/>
      <c r="BD1133" s="8"/>
      <c r="BE1133" s="4"/>
      <c r="BF1133" s="8"/>
      <c r="BG1133" s="7"/>
      <c r="BH1133" s="7"/>
      <c r="BI1133" s="7"/>
      <c r="BJ1133" s="4"/>
      <c r="BK1133" s="8"/>
      <c r="BL1133" s="2" t="s">
        <v>98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107</v>
      </c>
      <c r="BV1133" s="2" t="s">
        <v>95</v>
      </c>
      <c r="BW1133" s="2" t="s">
        <v>4635</v>
      </c>
      <c r="BX1133" s="2" t="s">
        <v>98</v>
      </c>
      <c r="BY1133" s="2" t="s">
        <v>110</v>
      </c>
      <c r="BZ1133" s="2" t="s">
        <v>98</v>
      </c>
    </row>
    <row r="1134">
      <c r="A1134" s="2" t="s">
        <v>5092</v>
      </c>
      <c r="B1134" s="2" t="s">
        <v>4584</v>
      </c>
      <c r="C1134" s="2" t="s">
        <v>1178</v>
      </c>
      <c r="D1134" s="2" t="s">
        <v>4585</v>
      </c>
      <c r="E1134" s="2" t="s">
        <v>4586</v>
      </c>
      <c r="F1134" s="2" t="s">
        <v>5071</v>
      </c>
      <c r="G1134" s="2" t="s">
        <v>5071</v>
      </c>
      <c r="H1134" s="2" t="s">
        <v>5071</v>
      </c>
      <c r="I1134" s="2" t="s">
        <v>5093</v>
      </c>
      <c r="J1134" s="2" t="s">
        <v>93</v>
      </c>
      <c r="K1134" s="2" t="s">
        <v>4824</v>
      </c>
      <c r="L1134" s="3">
        <v>39.85</v>
      </c>
      <c r="M1134" s="3">
        <v>41.84</v>
      </c>
      <c r="N1134" s="3">
        <v>79.99</v>
      </c>
      <c r="O1134" s="2" t="s">
        <v>95</v>
      </c>
      <c r="P1134" s="2" t="s">
        <v>295</v>
      </c>
      <c r="Q1134" s="2" t="s">
        <v>97</v>
      </c>
      <c r="R1134" s="2" t="s">
        <v>98</v>
      </c>
      <c r="S1134" s="2" t="s">
        <v>98</v>
      </c>
      <c r="T1134" s="2" t="s">
        <v>98</v>
      </c>
      <c r="U1134" s="2" t="s">
        <v>117</v>
      </c>
      <c r="V1134" s="2" t="s">
        <v>296</v>
      </c>
      <c r="W1134" s="2" t="s">
        <v>314</v>
      </c>
      <c r="X1134" s="2" t="s">
        <v>1215</v>
      </c>
      <c r="Y1134" s="2" t="s">
        <v>98</v>
      </c>
      <c r="Z1134" s="4"/>
      <c r="AA1134" s="4">
        <f>=ROUNDDOWN({0},0)</f>
      </c>
      <c r="AB1134" s="5"/>
      <c r="AC1134" s="2" t="s">
        <v>1989</v>
      </c>
      <c r="AD1134" s="4">
        <v>100</v>
      </c>
      <c r="AE1134" s="4">
        <v>100</v>
      </c>
      <c r="AF1134" s="6">
        <v>65</v>
      </c>
      <c r="AG1134" s="6"/>
      <c r="AH1134" s="7">
        <v>0</v>
      </c>
      <c r="AI1134" s="4"/>
      <c r="AJ1134" s="4">
        <f>=ROUNDDOWN({0},0)</f>
      </c>
      <c r="AK1134" s="5"/>
      <c r="AL1134" s="2" t="s">
        <v>98</v>
      </c>
      <c r="AM1134" s="4"/>
      <c r="AN1134" s="4"/>
      <c r="AO1134" s="7">
        <v>0</v>
      </c>
      <c r="AP1134" s="4"/>
      <c r="AQ1134" s="8"/>
      <c r="AR1134" s="4"/>
      <c r="AS1134" s="8"/>
      <c r="AT1134" s="7"/>
      <c r="AU1134" s="7"/>
      <c r="AV1134" s="4"/>
      <c r="AW1134" s="8"/>
      <c r="AX1134" s="4"/>
      <c r="AY1134" s="8"/>
      <c r="AZ1134" s="7"/>
      <c r="BA1134" s="7"/>
      <c r="BB1134" s="7"/>
      <c r="BC1134" s="4"/>
      <c r="BD1134" s="8"/>
      <c r="BE1134" s="4"/>
      <c r="BF1134" s="8"/>
      <c r="BG1134" s="7"/>
      <c r="BH1134" s="7"/>
      <c r="BI1134" s="7"/>
      <c r="BJ1134" s="4"/>
      <c r="BK1134" s="8"/>
      <c r="BL1134" s="2" t="s">
        <v>98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324</v>
      </c>
      <c r="BV1134" s="2" t="s">
        <v>95</v>
      </c>
      <c r="BW1134" s="2" t="s">
        <v>98</v>
      </c>
      <c r="BX1134" s="2" t="s">
        <v>98</v>
      </c>
      <c r="BY1134" s="2" t="s">
        <v>110</v>
      </c>
      <c r="BZ1134" s="2" t="s">
        <v>98</v>
      </c>
    </row>
    <row r="1135">
      <c r="A1135" s="2" t="s">
        <v>5094</v>
      </c>
      <c r="B1135" s="2" t="s">
        <v>4584</v>
      </c>
      <c r="C1135" s="2" t="s">
        <v>1178</v>
      </c>
      <c r="D1135" s="2" t="s">
        <v>4585</v>
      </c>
      <c r="E1135" s="2" t="s">
        <v>4586</v>
      </c>
      <c r="F1135" s="2" t="s">
        <v>5095</v>
      </c>
      <c r="G1135" s="2" t="s">
        <v>5095</v>
      </c>
      <c r="H1135" s="2" t="s">
        <v>5095</v>
      </c>
      <c r="I1135" s="2" t="s">
        <v>5096</v>
      </c>
      <c r="J1135" s="2" t="s">
        <v>93</v>
      </c>
      <c r="K1135" s="2" t="s">
        <v>174</v>
      </c>
      <c r="L1135" s="3">
        <v>51.92</v>
      </c>
      <c r="M1135" s="3">
        <v>54.52</v>
      </c>
      <c r="N1135" s="3">
        <v>114.99</v>
      </c>
      <c r="O1135" s="2" t="s">
        <v>95</v>
      </c>
      <c r="P1135" s="2" t="s">
        <v>134</v>
      </c>
      <c r="Q1135" s="2" t="s">
        <v>97</v>
      </c>
      <c r="R1135" s="2" t="s">
        <v>98</v>
      </c>
      <c r="S1135" s="2" t="s">
        <v>98</v>
      </c>
      <c r="T1135" s="2" t="s">
        <v>98</v>
      </c>
      <c r="U1135" s="2" t="s">
        <v>117</v>
      </c>
      <c r="V1135" s="2" t="s">
        <v>296</v>
      </c>
      <c r="W1135" s="2" t="s">
        <v>314</v>
      </c>
      <c r="X1135" s="2" t="s">
        <v>1215</v>
      </c>
      <c r="Y1135" s="2" t="s">
        <v>3782</v>
      </c>
      <c r="Z1135" s="4">
        <v>64</v>
      </c>
      <c r="AA1135" s="4">
        <f>=ROUNDDOWN(16,0)</f>
      </c>
      <c r="AB1135" s="5">
        <v>4</v>
      </c>
      <c r="AC1135" s="2" t="s">
        <v>4598</v>
      </c>
      <c r="AD1135" s="4">
        <v>100</v>
      </c>
      <c r="AE1135" s="4">
        <v>100</v>
      </c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98</v>
      </c>
      <c r="AM1135" s="4"/>
      <c r="AN1135" s="4"/>
      <c r="AO1135" s="7">
        <v>0</v>
      </c>
      <c r="AP1135" s="4"/>
      <c r="AQ1135" s="8"/>
      <c r="AR1135" s="4"/>
      <c r="AS1135" s="8"/>
      <c r="AT1135" s="7"/>
      <c r="AU1135" s="7"/>
      <c r="AV1135" s="4"/>
      <c r="AW1135" s="8"/>
      <c r="AX1135" s="4"/>
      <c r="AY1135" s="8"/>
      <c r="AZ1135" s="7"/>
      <c r="BA1135" s="7"/>
      <c r="BB1135" s="7"/>
      <c r="BC1135" s="4"/>
      <c r="BD1135" s="8"/>
      <c r="BE1135" s="4"/>
      <c r="BF1135" s="8"/>
      <c r="BG1135" s="7"/>
      <c r="BH1135" s="7"/>
      <c r="BI1135" s="7"/>
      <c r="BJ1135" s="4">
        <v>2</v>
      </c>
      <c r="BK1135" s="8">
        <v>111.34</v>
      </c>
      <c r="BL1135" s="2" t="s">
        <v>711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107</v>
      </c>
      <c r="BV1135" s="2" t="s">
        <v>95</v>
      </c>
      <c r="BW1135" s="2" t="s">
        <v>4308</v>
      </c>
      <c r="BX1135" s="2" t="s">
        <v>98</v>
      </c>
      <c r="BY1135" s="2" t="s">
        <v>110</v>
      </c>
      <c r="BZ1135" s="2" t="s">
        <v>98</v>
      </c>
    </row>
    <row r="1136">
      <c r="A1136" s="2" t="s">
        <v>5097</v>
      </c>
      <c r="B1136" s="2" t="s">
        <v>4584</v>
      </c>
      <c r="C1136" s="2" t="s">
        <v>1178</v>
      </c>
      <c r="D1136" s="2" t="s">
        <v>4585</v>
      </c>
      <c r="E1136" s="2" t="s">
        <v>4586</v>
      </c>
      <c r="F1136" s="2" t="s">
        <v>2172</v>
      </c>
      <c r="G1136" s="2" t="s">
        <v>2172</v>
      </c>
      <c r="H1136" s="2" t="s">
        <v>2172</v>
      </c>
      <c r="I1136" s="2" t="s">
        <v>4661</v>
      </c>
      <c r="J1136" s="2" t="s">
        <v>93</v>
      </c>
      <c r="K1136" s="2" t="s">
        <v>473</v>
      </c>
      <c r="L1136" s="3">
        <v>43.99</v>
      </c>
      <c r="M1136" s="3">
        <v>46.19</v>
      </c>
      <c r="N1136" s="3">
        <v>99.99</v>
      </c>
      <c r="O1136" s="2" t="s">
        <v>95</v>
      </c>
      <c r="P1136" s="2" t="s">
        <v>96</v>
      </c>
      <c r="Q1136" s="2" t="s">
        <v>97</v>
      </c>
      <c r="R1136" s="2" t="s">
        <v>98</v>
      </c>
      <c r="S1136" s="2" t="s">
        <v>98</v>
      </c>
      <c r="T1136" s="2" t="s">
        <v>98</v>
      </c>
      <c r="U1136" s="2" t="s">
        <v>117</v>
      </c>
      <c r="V1136" s="2" t="s">
        <v>296</v>
      </c>
      <c r="W1136" s="2" t="s">
        <v>102</v>
      </c>
      <c r="X1136" s="2" t="s">
        <v>1181</v>
      </c>
      <c r="Y1136" s="2" t="s">
        <v>5081</v>
      </c>
      <c r="Z1136" s="4">
        <v>118</v>
      </c>
      <c r="AA1136" s="4">
        <f>=ROUNDDOWN(14.75,0)</f>
      </c>
      <c r="AB1136" s="5">
        <v>8</v>
      </c>
      <c r="AC1136" s="2" t="s">
        <v>4598</v>
      </c>
      <c r="AD1136" s="4">
        <v>100</v>
      </c>
      <c r="AE1136" s="4">
        <v>100</v>
      </c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98</v>
      </c>
      <c r="AM1136" s="4"/>
      <c r="AN1136" s="4"/>
      <c r="AO1136" s="7">
        <v>0</v>
      </c>
      <c r="AP1136" s="4"/>
      <c r="AQ1136" s="8"/>
      <c r="AR1136" s="4"/>
      <c r="AS1136" s="8"/>
      <c r="AT1136" s="7"/>
      <c r="AU1136" s="7"/>
      <c r="AV1136" s="4"/>
      <c r="AW1136" s="8"/>
      <c r="AX1136" s="4"/>
      <c r="AY1136" s="8"/>
      <c r="AZ1136" s="7"/>
      <c r="BA1136" s="7"/>
      <c r="BB1136" s="7"/>
      <c r="BC1136" s="4"/>
      <c r="BD1136" s="8"/>
      <c r="BE1136" s="4"/>
      <c r="BF1136" s="8"/>
      <c r="BG1136" s="7"/>
      <c r="BH1136" s="7"/>
      <c r="BI1136" s="7"/>
      <c r="BJ1136" s="4">
        <v>14</v>
      </c>
      <c r="BK1136" s="8">
        <v>646.27</v>
      </c>
      <c r="BL1136" s="2" t="s">
        <v>5098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107</v>
      </c>
      <c r="BV1136" s="2" t="s">
        <v>95</v>
      </c>
      <c r="BW1136" s="2" t="s">
        <v>4308</v>
      </c>
      <c r="BX1136" s="2" t="s">
        <v>5099</v>
      </c>
      <c r="BY1136" s="2" t="s">
        <v>110</v>
      </c>
      <c r="BZ1136" s="2" t="s">
        <v>98</v>
      </c>
    </row>
    <row r="1137">
      <c r="A1137" s="2" t="s">
        <v>5100</v>
      </c>
      <c r="B1137" s="2" t="s">
        <v>4584</v>
      </c>
      <c r="C1137" s="2" t="s">
        <v>1178</v>
      </c>
      <c r="D1137" s="2" t="s">
        <v>4585</v>
      </c>
      <c r="E1137" s="2" t="s">
        <v>4586</v>
      </c>
      <c r="F1137" s="2" t="s">
        <v>5101</v>
      </c>
      <c r="G1137" s="2" t="s">
        <v>5101</v>
      </c>
      <c r="H1137" s="2" t="s">
        <v>5101</v>
      </c>
      <c r="I1137" s="2" t="s">
        <v>5102</v>
      </c>
      <c r="J1137" s="2" t="s">
        <v>93</v>
      </c>
      <c r="K1137" s="2" t="s">
        <v>4681</v>
      </c>
      <c r="L1137" s="3">
        <v>82.8</v>
      </c>
      <c r="M1137" s="3">
        <v>86.94</v>
      </c>
      <c r="N1137" s="3">
        <v>189.99</v>
      </c>
      <c r="O1137" s="2" t="s">
        <v>95</v>
      </c>
      <c r="P1137" s="2" t="s">
        <v>142</v>
      </c>
      <c r="Q1137" s="2" t="s">
        <v>97</v>
      </c>
      <c r="R1137" s="2" t="s">
        <v>98</v>
      </c>
      <c r="S1137" s="2" t="s">
        <v>98</v>
      </c>
      <c r="T1137" s="2" t="s">
        <v>98</v>
      </c>
      <c r="U1137" s="2" t="s">
        <v>117</v>
      </c>
      <c r="V1137" s="2" t="s">
        <v>296</v>
      </c>
      <c r="W1137" s="2" t="s">
        <v>102</v>
      </c>
      <c r="X1137" s="2" t="s">
        <v>1181</v>
      </c>
      <c r="Y1137" s="2" t="s">
        <v>4861</v>
      </c>
      <c r="Z1137" s="4">
        <v>63</v>
      </c>
      <c r="AA1137" s="4">
        <f>=ROUNDDOWN(63,0)</f>
      </c>
      <c r="AB1137" s="5">
        <v>1</v>
      </c>
      <c r="AC1137" s="2" t="s">
        <v>98</v>
      </c>
      <c r="AD1137" s="4"/>
      <c r="AE1137" s="4"/>
      <c r="AF1137" s="6">
        <v>63</v>
      </c>
      <c r="AG1137" s="6"/>
      <c r="AH1137" s="7">
        <v>1</v>
      </c>
      <c r="AI1137" s="4"/>
      <c r="AJ1137" s="4">
        <f>=ROUNDDOWN({0},0)</f>
      </c>
      <c r="AK1137" s="5"/>
      <c r="AL1137" s="2" t="s">
        <v>98</v>
      </c>
      <c r="AM1137" s="4"/>
      <c r="AN1137" s="4"/>
      <c r="AO1137" s="7">
        <v>0</v>
      </c>
      <c r="AP1137" s="4"/>
      <c r="AQ1137" s="8"/>
      <c r="AR1137" s="4"/>
      <c r="AS1137" s="8"/>
      <c r="AT1137" s="7"/>
      <c r="AU1137" s="7"/>
      <c r="AV1137" s="4"/>
      <c r="AW1137" s="8"/>
      <c r="AX1137" s="4"/>
      <c r="AY1137" s="8"/>
      <c r="AZ1137" s="7"/>
      <c r="BA1137" s="7"/>
      <c r="BB1137" s="7"/>
      <c r="BC1137" s="4"/>
      <c r="BD1137" s="8"/>
      <c r="BE1137" s="4"/>
      <c r="BF1137" s="8"/>
      <c r="BG1137" s="7"/>
      <c r="BH1137" s="7"/>
      <c r="BI1137" s="7"/>
      <c r="BJ1137" s="4"/>
      <c r="BK1137" s="8"/>
      <c r="BL1137" s="2" t="s">
        <v>98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107</v>
      </c>
      <c r="BV1137" s="2" t="s">
        <v>95</v>
      </c>
      <c r="BW1137" s="2" t="s">
        <v>4635</v>
      </c>
      <c r="BX1137" s="2" t="s">
        <v>98</v>
      </c>
      <c r="BY1137" s="2" t="s">
        <v>110</v>
      </c>
      <c r="BZ1137" s="2" t="s">
        <v>98</v>
      </c>
    </row>
    <row r="1138">
      <c r="A1138" s="2" t="s">
        <v>5103</v>
      </c>
      <c r="B1138" s="2" t="s">
        <v>4584</v>
      </c>
      <c r="C1138" s="2" t="s">
        <v>1178</v>
      </c>
      <c r="D1138" s="2" t="s">
        <v>4585</v>
      </c>
      <c r="E1138" s="2" t="s">
        <v>4586</v>
      </c>
      <c r="F1138" s="2" t="s">
        <v>5104</v>
      </c>
      <c r="G1138" s="2" t="s">
        <v>5104</v>
      </c>
      <c r="H1138" s="2" t="s">
        <v>5104</v>
      </c>
      <c r="I1138" s="2" t="s">
        <v>5105</v>
      </c>
      <c r="J1138" s="2" t="s">
        <v>93</v>
      </c>
      <c r="K1138" s="2" t="s">
        <v>133</v>
      </c>
      <c r="L1138" s="3">
        <v>41.94</v>
      </c>
      <c r="M1138" s="3">
        <v>44.04</v>
      </c>
      <c r="N1138" s="3">
        <v>89.99</v>
      </c>
      <c r="O1138" s="2" t="s">
        <v>95</v>
      </c>
      <c r="P1138" s="2" t="s">
        <v>96</v>
      </c>
      <c r="Q1138" s="2" t="s">
        <v>97</v>
      </c>
      <c r="R1138" s="2" t="s">
        <v>98</v>
      </c>
      <c r="S1138" s="2" t="s">
        <v>98</v>
      </c>
      <c r="T1138" s="2" t="s">
        <v>98</v>
      </c>
      <c r="U1138" s="2" t="s">
        <v>117</v>
      </c>
      <c r="V1138" s="2" t="s">
        <v>296</v>
      </c>
      <c r="W1138" s="2" t="s">
        <v>102</v>
      </c>
      <c r="X1138" s="2" t="s">
        <v>1181</v>
      </c>
      <c r="Y1138" s="2" t="s">
        <v>5106</v>
      </c>
      <c r="Z1138" s="4">
        <v>127</v>
      </c>
      <c r="AA1138" s="4">
        <f>=ROUNDDOWN(21.1666666666667,0)</f>
      </c>
      <c r="AB1138" s="5">
        <v>6</v>
      </c>
      <c r="AC1138" s="2" t="s">
        <v>98</v>
      </c>
      <c r="AD1138" s="4"/>
      <c r="AE1138" s="4"/>
      <c r="AF1138" s="6">
        <v>65</v>
      </c>
      <c r="AG1138" s="6"/>
      <c r="AH1138" s="7">
        <v>1</v>
      </c>
      <c r="AI1138" s="4"/>
      <c r="AJ1138" s="4">
        <f>=ROUNDDOWN({0},0)</f>
      </c>
      <c r="AK1138" s="5"/>
      <c r="AL1138" s="2" t="s">
        <v>98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/>
      <c r="AW1138" s="8"/>
      <c r="AX1138" s="4"/>
      <c r="AY1138" s="8"/>
      <c r="AZ1138" s="7"/>
      <c r="BA1138" s="7"/>
      <c r="BB1138" s="7"/>
      <c r="BC1138" s="4"/>
      <c r="BD1138" s="8"/>
      <c r="BE1138" s="4"/>
      <c r="BF1138" s="8"/>
      <c r="BG1138" s="7"/>
      <c r="BH1138" s="7"/>
      <c r="BI1138" s="7"/>
      <c r="BJ1138" s="4">
        <v>12</v>
      </c>
      <c r="BK1138" s="8">
        <v>451.92</v>
      </c>
      <c r="BL1138" s="2" t="s">
        <v>895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107</v>
      </c>
      <c r="BV1138" s="2" t="s">
        <v>95</v>
      </c>
      <c r="BW1138" s="2" t="s">
        <v>4308</v>
      </c>
      <c r="BX1138" s="2" t="s">
        <v>5107</v>
      </c>
      <c r="BY1138" s="2" t="s">
        <v>110</v>
      </c>
      <c r="BZ1138" s="2" t="s">
        <v>98</v>
      </c>
    </row>
    <row r="1139">
      <c r="A1139" s="2" t="s">
        <v>5108</v>
      </c>
      <c r="B1139" s="2" t="s">
        <v>4584</v>
      </c>
      <c r="C1139" s="2" t="s">
        <v>1178</v>
      </c>
      <c r="D1139" s="2" t="s">
        <v>4585</v>
      </c>
      <c r="E1139" s="2" t="s">
        <v>4586</v>
      </c>
      <c r="F1139" s="2" t="s">
        <v>5109</v>
      </c>
      <c r="G1139" s="2" t="s">
        <v>5109</v>
      </c>
      <c r="H1139" s="2" t="s">
        <v>5109</v>
      </c>
      <c r="I1139" s="2" t="s">
        <v>5110</v>
      </c>
      <c r="J1139" s="2" t="s">
        <v>93</v>
      </c>
      <c r="K1139" s="2" t="s">
        <v>4890</v>
      </c>
      <c r="L1139" s="3">
        <v>48.75</v>
      </c>
      <c r="M1139" s="3">
        <v>51.19</v>
      </c>
      <c r="N1139" s="3">
        <v>99.99</v>
      </c>
      <c r="O1139" s="2" t="s">
        <v>95</v>
      </c>
      <c r="P1139" s="2" t="s">
        <v>295</v>
      </c>
      <c r="Q1139" s="2" t="s">
        <v>97</v>
      </c>
      <c r="R1139" s="2" t="s">
        <v>98</v>
      </c>
      <c r="S1139" s="2" t="s">
        <v>98</v>
      </c>
      <c r="T1139" s="2" t="s">
        <v>98</v>
      </c>
      <c r="U1139" s="2" t="s">
        <v>117</v>
      </c>
      <c r="V1139" s="2" t="s">
        <v>296</v>
      </c>
      <c r="W1139" s="2" t="s">
        <v>102</v>
      </c>
      <c r="X1139" s="2" t="s">
        <v>1181</v>
      </c>
      <c r="Y1139" s="2" t="s">
        <v>5111</v>
      </c>
      <c r="Z1139" s="4">
        <v>79</v>
      </c>
      <c r="AA1139" s="4">
        <f>=ROUNDDOWN(39.5,0)</f>
      </c>
      <c r="AB1139" s="5">
        <v>2</v>
      </c>
      <c r="AC1139" s="2" t="s">
        <v>98</v>
      </c>
      <c r="AD1139" s="4"/>
      <c r="AE1139" s="4"/>
      <c r="AF1139" s="6">
        <v>63</v>
      </c>
      <c r="AG1139" s="6"/>
      <c r="AH1139" s="7">
        <v>1</v>
      </c>
      <c r="AI1139" s="4"/>
      <c r="AJ1139" s="4">
        <f>=ROUNDDOWN({0},0)</f>
      </c>
      <c r="AK1139" s="5"/>
      <c r="AL1139" s="2" t="s">
        <v>98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/>
      <c r="AW1139" s="8"/>
      <c r="AX1139" s="4"/>
      <c r="AY1139" s="8"/>
      <c r="AZ1139" s="7"/>
      <c r="BA1139" s="7"/>
      <c r="BB1139" s="7"/>
      <c r="BC1139" s="4"/>
      <c r="BD1139" s="8"/>
      <c r="BE1139" s="4"/>
      <c r="BF1139" s="8"/>
      <c r="BG1139" s="7"/>
      <c r="BH1139" s="7"/>
      <c r="BI1139" s="7"/>
      <c r="BJ1139" s="4"/>
      <c r="BK1139" s="8"/>
      <c r="BL1139" s="2" t="s">
        <v>98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107</v>
      </c>
      <c r="BV1139" s="2" t="s">
        <v>95</v>
      </c>
      <c r="BW1139" s="2" t="s">
        <v>532</v>
      </c>
      <c r="BX1139" s="2" t="s">
        <v>98</v>
      </c>
      <c r="BY1139" s="2" t="s">
        <v>110</v>
      </c>
      <c r="BZ1139" s="2" t="s">
        <v>98</v>
      </c>
    </row>
    <row r="1140">
      <c r="A1140" s="2" t="s">
        <v>5112</v>
      </c>
      <c r="B1140" s="2" t="s">
        <v>4584</v>
      </c>
      <c r="C1140" s="2" t="s">
        <v>1178</v>
      </c>
      <c r="D1140" s="2" t="s">
        <v>4585</v>
      </c>
      <c r="E1140" s="2" t="s">
        <v>4586</v>
      </c>
      <c r="F1140" s="2" t="s">
        <v>5113</v>
      </c>
      <c r="G1140" s="2" t="s">
        <v>5113</v>
      </c>
      <c r="H1140" s="2" t="s">
        <v>5113</v>
      </c>
      <c r="I1140" s="2" t="s">
        <v>4883</v>
      </c>
      <c r="J1140" s="2" t="s">
        <v>93</v>
      </c>
      <c r="K1140" s="2" t="s">
        <v>174</v>
      </c>
      <c r="L1140" s="3">
        <v>64.06</v>
      </c>
      <c r="M1140" s="3">
        <v>67.26</v>
      </c>
      <c r="N1140" s="3">
        <v>139.99</v>
      </c>
      <c r="O1140" s="2" t="s">
        <v>95</v>
      </c>
      <c r="P1140" s="2" t="s">
        <v>134</v>
      </c>
      <c r="Q1140" s="2" t="s">
        <v>97</v>
      </c>
      <c r="R1140" s="2" t="s">
        <v>98</v>
      </c>
      <c r="S1140" s="2" t="s">
        <v>98</v>
      </c>
      <c r="T1140" s="2" t="s">
        <v>98</v>
      </c>
      <c r="U1140" s="2" t="s">
        <v>98</v>
      </c>
      <c r="V1140" s="2" t="s">
        <v>439</v>
      </c>
      <c r="W1140" s="2" t="s">
        <v>103</v>
      </c>
      <c r="X1140" s="2" t="s">
        <v>1215</v>
      </c>
      <c r="Y1140" s="2" t="s">
        <v>1279</v>
      </c>
      <c r="Z1140" s="4">
        <v>60</v>
      </c>
      <c r="AA1140" s="4">
        <f>=ROUNDDOWN(20,0)</f>
      </c>
      <c r="AB1140" s="5">
        <v>3</v>
      </c>
      <c r="AC1140" s="2" t="s">
        <v>98</v>
      </c>
      <c r="AD1140" s="4"/>
      <c r="AE1140" s="4"/>
      <c r="AF1140" s="6">
        <v>65</v>
      </c>
      <c r="AG1140" s="6"/>
      <c r="AH1140" s="7">
        <v>1</v>
      </c>
      <c r="AI1140" s="4"/>
      <c r="AJ1140" s="4">
        <f>=ROUNDDOWN({0},0)</f>
      </c>
      <c r="AK1140" s="5"/>
      <c r="AL1140" s="2" t="s">
        <v>98</v>
      </c>
      <c r="AM1140" s="4"/>
      <c r="AN1140" s="4"/>
      <c r="AO1140" s="7">
        <v>0</v>
      </c>
      <c r="AP1140" s="4"/>
      <c r="AQ1140" s="8"/>
      <c r="AR1140" s="4">
        <v>2</v>
      </c>
      <c r="AS1140" s="8">
        <v>136.54</v>
      </c>
      <c r="AT1140" s="7">
        <v>-1</v>
      </c>
      <c r="AU1140" s="7">
        <v>-1</v>
      </c>
      <c r="AV1140" s="4"/>
      <c r="AW1140" s="8"/>
      <c r="AX1140" s="4">
        <v>2</v>
      </c>
      <c r="AY1140" s="8">
        <v>136.54</v>
      </c>
      <c r="AZ1140" s="7">
        <v>-1</v>
      </c>
      <c r="BA1140" s="7">
        <v>-1</v>
      </c>
      <c r="BB1140" s="7"/>
      <c r="BC1140" s="4"/>
      <c r="BD1140" s="8"/>
      <c r="BE1140" s="4">
        <v>2</v>
      </c>
      <c r="BF1140" s="8">
        <v>136.54</v>
      </c>
      <c r="BG1140" s="7">
        <v>-1</v>
      </c>
      <c r="BH1140" s="7">
        <v>-1</v>
      </c>
      <c r="BI1140" s="7"/>
      <c r="BJ1140" s="4"/>
      <c r="BK1140" s="8"/>
      <c r="BL1140" s="2" t="s">
        <v>121</v>
      </c>
      <c r="BM1140" s="7"/>
      <c r="BN1140" s="7"/>
      <c r="BO1140" s="4"/>
      <c r="BP1140" s="8"/>
      <c r="BQ1140" s="4">
        <v>2</v>
      </c>
      <c r="BR1140" s="8">
        <v>136.54</v>
      </c>
      <c r="BS1140" s="7">
        <v>-1</v>
      </c>
      <c r="BT1140" s="7">
        <v>-1</v>
      </c>
      <c r="BU1140" s="2" t="s">
        <v>107</v>
      </c>
      <c r="BV1140" s="2" t="s">
        <v>95</v>
      </c>
      <c r="BW1140" s="2" t="s">
        <v>5114</v>
      </c>
      <c r="BX1140" s="2" t="s">
        <v>5115</v>
      </c>
      <c r="BY1140" s="2" t="s">
        <v>110</v>
      </c>
      <c r="BZ1140" s="2" t="s">
        <v>98</v>
      </c>
    </row>
    <row r="1141">
      <c r="A1141" s="2" t="s">
        <v>5116</v>
      </c>
      <c r="B1141" s="2" t="s">
        <v>4584</v>
      </c>
      <c r="C1141" s="2" t="s">
        <v>1178</v>
      </c>
      <c r="D1141" s="2" t="s">
        <v>4585</v>
      </c>
      <c r="E1141" s="2" t="s">
        <v>4586</v>
      </c>
      <c r="F1141" s="2" t="s">
        <v>5117</v>
      </c>
      <c r="G1141" s="2" t="s">
        <v>5117</v>
      </c>
      <c r="H1141" s="2" t="s">
        <v>5117</v>
      </c>
      <c r="I1141" s="2" t="s">
        <v>5118</v>
      </c>
      <c r="J1141" s="2" t="s">
        <v>93</v>
      </c>
      <c r="K1141" s="2" t="s">
        <v>473</v>
      </c>
      <c r="L1141" s="3">
        <v>45</v>
      </c>
      <c r="M1141" s="3">
        <v>47.25</v>
      </c>
      <c r="N1141" s="3">
        <v>104.99</v>
      </c>
      <c r="O1141" s="2" t="s">
        <v>95</v>
      </c>
      <c r="P1141" s="2" t="s">
        <v>134</v>
      </c>
      <c r="Q1141" s="2" t="s">
        <v>97</v>
      </c>
      <c r="R1141" s="2" t="s">
        <v>98</v>
      </c>
      <c r="S1141" s="2" t="s">
        <v>98</v>
      </c>
      <c r="T1141" s="2" t="s">
        <v>98</v>
      </c>
      <c r="U1141" s="2" t="s">
        <v>117</v>
      </c>
      <c r="V1141" s="2" t="s">
        <v>296</v>
      </c>
      <c r="W1141" s="2" t="s">
        <v>314</v>
      </c>
      <c r="X1141" s="2" t="s">
        <v>1186</v>
      </c>
      <c r="Y1141" s="2" t="s">
        <v>4314</v>
      </c>
      <c r="Z1141" s="4">
        <v>124</v>
      </c>
      <c r="AA1141" s="4">
        <f>=ROUNDDOWN(31,0)</f>
      </c>
      <c r="AB1141" s="5">
        <v>4</v>
      </c>
      <c r="AC1141" s="2" t="s">
        <v>98</v>
      </c>
      <c r="AD1141" s="4"/>
      <c r="AE1141" s="4"/>
      <c r="AF1141" s="6">
        <v>63</v>
      </c>
      <c r="AG1141" s="6"/>
      <c r="AH1141" s="7">
        <v>1</v>
      </c>
      <c r="AI1141" s="4"/>
      <c r="AJ1141" s="4">
        <f>=ROUNDDOWN({0},0)</f>
      </c>
      <c r="AK1141" s="5"/>
      <c r="AL1141" s="2" t="s">
        <v>98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/>
      <c r="AW1141" s="8"/>
      <c r="AX1141" s="4"/>
      <c r="AY1141" s="8"/>
      <c r="AZ1141" s="7"/>
      <c r="BA1141" s="7"/>
      <c r="BB1141" s="7"/>
      <c r="BC1141" s="4"/>
      <c r="BD1141" s="8"/>
      <c r="BE1141" s="4"/>
      <c r="BF1141" s="8"/>
      <c r="BG1141" s="7"/>
      <c r="BH1141" s="7"/>
      <c r="BI1141" s="7"/>
      <c r="BJ1141" s="4"/>
      <c r="BK1141" s="8"/>
      <c r="BL1141" s="2" t="s">
        <v>98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107</v>
      </c>
      <c r="BV1141" s="2" t="s">
        <v>95</v>
      </c>
      <c r="BW1141" s="2" t="s">
        <v>4891</v>
      </c>
      <c r="BX1141" s="2" t="s">
        <v>5119</v>
      </c>
      <c r="BY1141" s="2" t="s">
        <v>110</v>
      </c>
      <c r="BZ1141" s="2" t="s">
        <v>98</v>
      </c>
    </row>
    <row r="1142">
      <c r="A1142" s="2" t="s">
        <v>5120</v>
      </c>
      <c r="B1142" s="2" t="s">
        <v>4584</v>
      </c>
      <c r="C1142" s="2" t="s">
        <v>1178</v>
      </c>
      <c r="D1142" s="2" t="s">
        <v>4585</v>
      </c>
      <c r="E1142" s="2" t="s">
        <v>4586</v>
      </c>
      <c r="F1142" s="2" t="s">
        <v>5121</v>
      </c>
      <c r="G1142" s="2" t="s">
        <v>5121</v>
      </c>
      <c r="H1142" s="2" t="s">
        <v>5121</v>
      </c>
      <c r="I1142" s="2" t="s">
        <v>5122</v>
      </c>
      <c r="J1142" s="2" t="s">
        <v>93</v>
      </c>
      <c r="K1142" s="2" t="s">
        <v>277</v>
      </c>
      <c r="L1142" s="3">
        <v>63</v>
      </c>
      <c r="M1142" s="3">
        <v>66.15</v>
      </c>
      <c r="N1142" s="3">
        <v>129.99</v>
      </c>
      <c r="O1142" s="2" t="s">
        <v>95</v>
      </c>
      <c r="P1142" s="2" t="s">
        <v>295</v>
      </c>
      <c r="Q1142" s="2" t="s">
        <v>97</v>
      </c>
      <c r="R1142" s="2" t="s">
        <v>98</v>
      </c>
      <c r="S1142" s="2" t="s">
        <v>98</v>
      </c>
      <c r="T1142" s="2" t="s">
        <v>98</v>
      </c>
      <c r="U1142" s="2" t="s">
        <v>117</v>
      </c>
      <c r="V1142" s="2" t="s">
        <v>296</v>
      </c>
      <c r="W1142" s="2" t="s">
        <v>1186</v>
      </c>
      <c r="X1142" s="2" t="s">
        <v>165</v>
      </c>
      <c r="Y1142" s="2" t="s">
        <v>98</v>
      </c>
      <c r="Z1142" s="4"/>
      <c r="AA1142" s="4">
        <f>=ROUNDDOWN({0},0)</f>
      </c>
      <c r="AB1142" s="5"/>
      <c r="AC1142" s="2" t="s">
        <v>222</v>
      </c>
      <c r="AD1142" s="4">
        <v>100</v>
      </c>
      <c r="AE1142" s="4">
        <v>100</v>
      </c>
      <c r="AF1142" s="6">
        <v>65</v>
      </c>
      <c r="AG1142" s="6"/>
      <c r="AH1142" s="7">
        <v>0</v>
      </c>
      <c r="AI1142" s="4"/>
      <c r="AJ1142" s="4">
        <f>=ROUNDDOWN({0},0)</f>
      </c>
      <c r="AK1142" s="5"/>
      <c r="AL1142" s="2" t="s">
        <v>98</v>
      </c>
      <c r="AM1142" s="4"/>
      <c r="AN1142" s="4"/>
      <c r="AO1142" s="7">
        <v>0</v>
      </c>
      <c r="AP1142" s="4"/>
      <c r="AQ1142" s="8"/>
      <c r="AR1142" s="4"/>
      <c r="AS1142" s="8"/>
      <c r="AT1142" s="7"/>
      <c r="AU1142" s="7"/>
      <c r="AV1142" s="4"/>
      <c r="AW1142" s="8"/>
      <c r="AX1142" s="4"/>
      <c r="AY1142" s="8"/>
      <c r="AZ1142" s="7"/>
      <c r="BA1142" s="7"/>
      <c r="BB1142" s="7"/>
      <c r="BC1142" s="4"/>
      <c r="BD1142" s="8"/>
      <c r="BE1142" s="4"/>
      <c r="BF1142" s="8"/>
      <c r="BG1142" s="7"/>
      <c r="BH1142" s="7"/>
      <c r="BI1142" s="7"/>
      <c r="BJ1142" s="4"/>
      <c r="BK1142" s="8"/>
      <c r="BL1142" s="2" t="s">
        <v>98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324</v>
      </c>
      <c r="BV1142" s="2" t="s">
        <v>95</v>
      </c>
      <c r="BW1142" s="2" t="s">
        <v>98</v>
      </c>
      <c r="BX1142" s="2" t="s">
        <v>98</v>
      </c>
      <c r="BY1142" s="2" t="s">
        <v>110</v>
      </c>
      <c r="BZ1142" s="2" t="s">
        <v>98</v>
      </c>
    </row>
    <row r="1143">
      <c r="A1143" s="2" t="s">
        <v>5123</v>
      </c>
      <c r="B1143" s="2" t="s">
        <v>4584</v>
      </c>
      <c r="C1143" s="2" t="s">
        <v>1178</v>
      </c>
      <c r="D1143" s="2" t="s">
        <v>4585</v>
      </c>
      <c r="E1143" s="2" t="s">
        <v>4586</v>
      </c>
      <c r="F1143" s="2" t="s">
        <v>5124</v>
      </c>
      <c r="G1143" s="2" t="s">
        <v>5124</v>
      </c>
      <c r="H1143" s="2" t="s">
        <v>5124</v>
      </c>
      <c r="I1143" s="2" t="s">
        <v>5125</v>
      </c>
      <c r="J1143" s="2" t="s">
        <v>93</v>
      </c>
      <c r="K1143" s="2" t="s">
        <v>94</v>
      </c>
      <c r="L1143" s="3">
        <v>90</v>
      </c>
      <c r="M1143" s="3">
        <v>94.5</v>
      </c>
      <c r="N1143" s="3">
        <v>189.99</v>
      </c>
      <c r="O1143" s="2" t="s">
        <v>95</v>
      </c>
      <c r="P1143" s="2" t="s">
        <v>295</v>
      </c>
      <c r="Q1143" s="2" t="s">
        <v>97</v>
      </c>
      <c r="R1143" s="2" t="s">
        <v>98</v>
      </c>
      <c r="S1143" s="2" t="s">
        <v>98</v>
      </c>
      <c r="T1143" s="2" t="s">
        <v>98</v>
      </c>
      <c r="U1143" s="2" t="s">
        <v>100</v>
      </c>
      <c r="V1143" s="2" t="s">
        <v>296</v>
      </c>
      <c r="W1143" s="2" t="s">
        <v>1186</v>
      </c>
      <c r="X1143" s="2" t="s">
        <v>98</v>
      </c>
      <c r="Y1143" s="2" t="s">
        <v>5126</v>
      </c>
      <c r="Z1143" s="4">
        <v>90</v>
      </c>
      <c r="AA1143" s="4">
        <f>=ROUNDDOWN({0},0)</f>
      </c>
      <c r="AB1143" s="5"/>
      <c r="AC1143" s="2" t="s">
        <v>98</v>
      </c>
      <c r="AD1143" s="4"/>
      <c r="AE1143" s="4"/>
      <c r="AF1143" s="6">
        <v>63</v>
      </c>
      <c r="AG1143" s="6"/>
      <c r="AH1143" s="7">
        <v>1</v>
      </c>
      <c r="AI1143" s="4"/>
      <c r="AJ1143" s="4">
        <f>=ROUNDDOWN({0},0)</f>
      </c>
      <c r="AK1143" s="5"/>
      <c r="AL1143" s="2" t="s">
        <v>98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/>
      <c r="AW1143" s="8"/>
      <c r="AX1143" s="4"/>
      <c r="AY1143" s="8"/>
      <c r="AZ1143" s="7"/>
      <c r="BA1143" s="7"/>
      <c r="BB1143" s="7"/>
      <c r="BC1143" s="4"/>
      <c r="BD1143" s="8"/>
      <c r="BE1143" s="4"/>
      <c r="BF1143" s="8"/>
      <c r="BG1143" s="7"/>
      <c r="BH1143" s="7"/>
      <c r="BI1143" s="7"/>
      <c r="BJ1143" s="4"/>
      <c r="BK1143" s="8"/>
      <c r="BL1143" s="2" t="s">
        <v>98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107</v>
      </c>
      <c r="BV1143" s="2" t="s">
        <v>95</v>
      </c>
      <c r="BW1143" s="2" t="s">
        <v>532</v>
      </c>
      <c r="BX1143" s="2" t="s">
        <v>98</v>
      </c>
      <c r="BY1143" s="2" t="s">
        <v>110</v>
      </c>
      <c r="BZ1143" s="2" t="s">
        <v>98</v>
      </c>
    </row>
    <row r="1144">
      <c r="A1144" s="2" t="s">
        <v>5127</v>
      </c>
      <c r="B1144" s="2" t="s">
        <v>4584</v>
      </c>
      <c r="C1144" s="2" t="s">
        <v>1315</v>
      </c>
      <c r="D1144" s="2" t="s">
        <v>4686</v>
      </c>
      <c r="E1144" s="2" t="s">
        <v>4687</v>
      </c>
      <c r="F1144" s="2" t="s">
        <v>4195</v>
      </c>
      <c r="G1144" s="2" t="s">
        <v>4195</v>
      </c>
      <c r="H1144" s="2" t="s">
        <v>4195</v>
      </c>
      <c r="I1144" s="2" t="s">
        <v>5128</v>
      </c>
      <c r="J1144" s="2" t="s">
        <v>93</v>
      </c>
      <c r="K1144" s="2" t="s">
        <v>174</v>
      </c>
      <c r="L1144" s="3">
        <v>125.15</v>
      </c>
      <c r="M1144" s="3">
        <v>131.41</v>
      </c>
      <c r="N1144" s="3">
        <v>279.99</v>
      </c>
      <c r="O1144" s="2" t="s">
        <v>95</v>
      </c>
      <c r="P1144" s="2" t="s">
        <v>163</v>
      </c>
      <c r="Q1144" s="2" t="s">
        <v>97</v>
      </c>
      <c r="R1144" s="2" t="s">
        <v>98</v>
      </c>
      <c r="S1144" s="2" t="s">
        <v>98</v>
      </c>
      <c r="T1144" s="2" t="s">
        <v>98</v>
      </c>
      <c r="U1144" s="2" t="s">
        <v>98</v>
      </c>
      <c r="V1144" s="2" t="s">
        <v>296</v>
      </c>
      <c r="W1144" s="2" t="s">
        <v>103</v>
      </c>
      <c r="X1144" s="2" t="s">
        <v>98</v>
      </c>
      <c r="Y1144" s="2" t="s">
        <v>5129</v>
      </c>
      <c r="Z1144" s="4">
        <v>272</v>
      </c>
      <c r="AA1144" s="4">
        <f>=ROUNDDOWN(15.1111111111111,0)</f>
      </c>
      <c r="AB1144" s="5">
        <v>18</v>
      </c>
      <c r="AC1144" s="2" t="s">
        <v>323</v>
      </c>
      <c r="AD1144" s="4">
        <v>100</v>
      </c>
      <c r="AE1144" s="4">
        <v>230</v>
      </c>
      <c r="AF1144" s="6">
        <v>65</v>
      </c>
      <c r="AG1144" s="6"/>
      <c r="AH1144" s="7">
        <v>1</v>
      </c>
      <c r="AI1144" s="4"/>
      <c r="AJ1144" s="4">
        <f>=ROUNDDOWN({0},0)</f>
      </c>
      <c r="AK1144" s="5"/>
      <c r="AL1144" s="2" t="s">
        <v>98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/>
      <c r="AW1144" s="8"/>
      <c r="AX1144" s="4"/>
      <c r="AY1144" s="8"/>
      <c r="AZ1144" s="7"/>
      <c r="BA1144" s="7"/>
      <c r="BB1144" s="7"/>
      <c r="BC1144" s="4"/>
      <c r="BD1144" s="8"/>
      <c r="BE1144" s="4"/>
      <c r="BF1144" s="8"/>
      <c r="BG1144" s="7"/>
      <c r="BH1144" s="7"/>
      <c r="BI1144" s="7"/>
      <c r="BJ1144" s="4">
        <v>16</v>
      </c>
      <c r="BK1144" s="8">
        <v>2297.88</v>
      </c>
      <c r="BL1144" s="2" t="s">
        <v>5130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107</v>
      </c>
      <c r="BV1144" s="2" t="s">
        <v>95</v>
      </c>
      <c r="BW1144" s="2" t="s">
        <v>4723</v>
      </c>
      <c r="BX1144" s="2" t="s">
        <v>3108</v>
      </c>
      <c r="BY1144" s="2" t="s">
        <v>110</v>
      </c>
      <c r="BZ1144" s="2" t="s">
        <v>98</v>
      </c>
    </row>
    <row r="1145">
      <c r="A1145" s="2" t="s">
        <v>5131</v>
      </c>
      <c r="B1145" s="2" t="s">
        <v>4584</v>
      </c>
      <c r="C1145" s="2" t="s">
        <v>1315</v>
      </c>
      <c r="D1145" s="2" t="s">
        <v>4806</v>
      </c>
      <c r="E1145" s="2" t="s">
        <v>4807</v>
      </c>
      <c r="F1145" s="2" t="s">
        <v>5132</v>
      </c>
      <c r="G1145" s="2" t="s">
        <v>5132</v>
      </c>
      <c r="H1145" s="2" t="s">
        <v>5132</v>
      </c>
      <c r="I1145" s="2" t="s">
        <v>5133</v>
      </c>
      <c r="J1145" s="2" t="s">
        <v>93</v>
      </c>
      <c r="K1145" s="2" t="s">
        <v>294</v>
      </c>
      <c r="L1145" s="3">
        <v>127.24</v>
      </c>
      <c r="M1145" s="3">
        <v>133.6</v>
      </c>
      <c r="N1145" s="3">
        <v>289.99</v>
      </c>
      <c r="O1145" s="2" t="s">
        <v>95</v>
      </c>
      <c r="P1145" s="2" t="s">
        <v>134</v>
      </c>
      <c r="Q1145" s="2" t="s">
        <v>97</v>
      </c>
      <c r="R1145" s="2" t="s">
        <v>98</v>
      </c>
      <c r="S1145" s="2" t="s">
        <v>98</v>
      </c>
      <c r="T1145" s="2" t="s">
        <v>98</v>
      </c>
      <c r="U1145" s="2" t="s">
        <v>98</v>
      </c>
      <c r="V1145" s="2" t="s">
        <v>439</v>
      </c>
      <c r="W1145" s="2" t="s">
        <v>103</v>
      </c>
      <c r="X1145" s="2" t="s">
        <v>98</v>
      </c>
      <c r="Y1145" s="2" t="s">
        <v>2674</v>
      </c>
      <c r="Z1145" s="4">
        <v>12</v>
      </c>
      <c r="AA1145" s="4">
        <f>=ROUNDDOWN(6,0)</f>
      </c>
      <c r="AB1145" s="5">
        <v>2</v>
      </c>
      <c r="AC1145" s="2" t="s">
        <v>2600</v>
      </c>
      <c r="AD1145" s="4">
        <v>100</v>
      </c>
      <c r="AE1145" s="4">
        <v>100</v>
      </c>
      <c r="AF1145" s="6">
        <v>65</v>
      </c>
      <c r="AG1145" s="6"/>
      <c r="AH1145" s="7">
        <v>1</v>
      </c>
      <c r="AI1145" s="4"/>
      <c r="AJ1145" s="4">
        <f>=ROUNDDOWN({0},0)</f>
      </c>
      <c r="AK1145" s="5"/>
      <c r="AL1145" s="2" t="s">
        <v>98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/>
      <c r="AW1145" s="8"/>
      <c r="AX1145" s="4"/>
      <c r="AY1145" s="8"/>
      <c r="AZ1145" s="7"/>
      <c r="BA1145" s="7"/>
      <c r="BB1145" s="7"/>
      <c r="BC1145" s="4"/>
      <c r="BD1145" s="8"/>
      <c r="BE1145" s="4"/>
      <c r="BF1145" s="8"/>
      <c r="BG1145" s="7"/>
      <c r="BH1145" s="7"/>
      <c r="BI1145" s="7"/>
      <c r="BJ1145" s="4">
        <v>1</v>
      </c>
      <c r="BK1145" s="8">
        <v>152.48</v>
      </c>
      <c r="BL1145" s="2" t="s">
        <v>5134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107</v>
      </c>
      <c r="BV1145" s="2" t="s">
        <v>95</v>
      </c>
      <c r="BW1145" s="2" t="s">
        <v>4723</v>
      </c>
      <c r="BX1145" s="2" t="s">
        <v>5135</v>
      </c>
      <c r="BY1145" s="2" t="s">
        <v>110</v>
      </c>
      <c r="BZ1145" s="2" t="s">
        <v>98</v>
      </c>
    </row>
    <row r="1146">
      <c r="A1146" s="2" t="s">
        <v>5136</v>
      </c>
      <c r="B1146" s="2" t="s">
        <v>4584</v>
      </c>
      <c r="C1146" s="2" t="s">
        <v>1315</v>
      </c>
      <c r="D1146" s="2" t="s">
        <v>4585</v>
      </c>
      <c r="E1146" s="2" t="s">
        <v>4586</v>
      </c>
      <c r="F1146" s="2" t="s">
        <v>5137</v>
      </c>
      <c r="G1146" s="2" t="s">
        <v>5137</v>
      </c>
      <c r="H1146" s="2" t="s">
        <v>5137</v>
      </c>
      <c r="I1146" s="2" t="s">
        <v>5138</v>
      </c>
      <c r="J1146" s="2" t="s">
        <v>93</v>
      </c>
      <c r="K1146" s="2" t="s">
        <v>277</v>
      </c>
      <c r="L1146" s="3">
        <v>54.94</v>
      </c>
      <c r="M1146" s="3">
        <v>57.69</v>
      </c>
      <c r="N1146" s="3">
        <v>119.99</v>
      </c>
      <c r="O1146" s="2" t="s">
        <v>95</v>
      </c>
      <c r="P1146" s="2" t="s">
        <v>96</v>
      </c>
      <c r="Q1146" s="2" t="s">
        <v>97</v>
      </c>
      <c r="R1146" s="2" t="s">
        <v>98</v>
      </c>
      <c r="S1146" s="2" t="s">
        <v>98</v>
      </c>
      <c r="T1146" s="2" t="s">
        <v>98</v>
      </c>
      <c r="U1146" s="2" t="s">
        <v>98</v>
      </c>
      <c r="V1146" s="2" t="s">
        <v>439</v>
      </c>
      <c r="W1146" s="2" t="s">
        <v>98</v>
      </c>
      <c r="X1146" s="2" t="s">
        <v>98</v>
      </c>
      <c r="Y1146" s="2" t="s">
        <v>5139</v>
      </c>
      <c r="Z1146" s="4">
        <v>92</v>
      </c>
      <c r="AA1146" s="4">
        <f>=ROUNDDOWN(11.5,0)</f>
      </c>
      <c r="AB1146" s="5">
        <v>8</v>
      </c>
      <c r="AC1146" s="2" t="s">
        <v>323</v>
      </c>
      <c r="AD1146" s="4">
        <v>130</v>
      </c>
      <c r="AE1146" s="4">
        <v>150</v>
      </c>
      <c r="AF1146" s="6">
        <v>65</v>
      </c>
      <c r="AG1146" s="6"/>
      <c r="AH1146" s="7">
        <v>1</v>
      </c>
      <c r="AI1146" s="4"/>
      <c r="AJ1146" s="4">
        <f>=ROUNDDOWN({0},0)</f>
      </c>
      <c r="AK1146" s="5"/>
      <c r="AL1146" s="2" t="s">
        <v>98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/>
      <c r="AW1146" s="8"/>
      <c r="AX1146" s="4"/>
      <c r="AY1146" s="8"/>
      <c r="AZ1146" s="7"/>
      <c r="BA1146" s="7"/>
      <c r="BB1146" s="7"/>
      <c r="BC1146" s="4" t="s">
        <v>98</v>
      </c>
      <c r="BD1146" s="8" t="s">
        <v>98</v>
      </c>
      <c r="BE1146" s="4" t="s">
        <v>98</v>
      </c>
      <c r="BF1146" s="8" t="s">
        <v>98</v>
      </c>
      <c r="BG1146" s="7" t="s">
        <v>98</v>
      </c>
      <c r="BH1146" s="7" t="s">
        <v>98</v>
      </c>
      <c r="BI1146" s="7"/>
      <c r="BJ1146" s="4">
        <v>3</v>
      </c>
      <c r="BK1146" s="8">
        <v>180.56</v>
      </c>
      <c r="BL1146" s="2" t="s">
        <v>5140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107</v>
      </c>
      <c r="BV1146" s="2" t="s">
        <v>95</v>
      </c>
      <c r="BW1146" s="2" t="s">
        <v>4723</v>
      </c>
      <c r="BX1146" s="2" t="s">
        <v>5141</v>
      </c>
      <c r="BY1146" s="2" t="s">
        <v>110</v>
      </c>
      <c r="BZ1146" s="2" t="s">
        <v>98</v>
      </c>
    </row>
    <row r="1147">
      <c r="A1147" s="2" t="s">
        <v>5142</v>
      </c>
      <c r="B1147" s="2" t="s">
        <v>4584</v>
      </c>
      <c r="C1147" s="2" t="s">
        <v>1315</v>
      </c>
      <c r="D1147" s="2" t="s">
        <v>4585</v>
      </c>
      <c r="E1147" s="2" t="s">
        <v>4586</v>
      </c>
      <c r="F1147" s="2" t="s">
        <v>5137</v>
      </c>
      <c r="G1147" s="2" t="s">
        <v>5137</v>
      </c>
      <c r="H1147" s="2" t="s">
        <v>5137</v>
      </c>
      <c r="I1147" s="2" t="s">
        <v>5138</v>
      </c>
      <c r="J1147" s="2" t="s">
        <v>93</v>
      </c>
      <c r="K1147" s="2" t="s">
        <v>1450</v>
      </c>
      <c r="L1147" s="3">
        <v>54.94</v>
      </c>
      <c r="M1147" s="3">
        <v>57.69</v>
      </c>
      <c r="N1147" s="3">
        <v>119.99</v>
      </c>
      <c r="O1147" s="2" t="s">
        <v>95</v>
      </c>
      <c r="P1147" s="2" t="s">
        <v>96</v>
      </c>
      <c r="Q1147" s="2" t="s">
        <v>97</v>
      </c>
      <c r="R1147" s="2" t="s">
        <v>98</v>
      </c>
      <c r="S1147" s="2" t="s">
        <v>98</v>
      </c>
      <c r="T1147" s="2" t="s">
        <v>98</v>
      </c>
      <c r="U1147" s="2" t="s">
        <v>117</v>
      </c>
      <c r="V1147" s="2" t="s">
        <v>296</v>
      </c>
      <c r="W1147" s="2" t="s">
        <v>103</v>
      </c>
      <c r="X1147" s="2" t="s">
        <v>98</v>
      </c>
      <c r="Y1147" s="2" t="s">
        <v>4627</v>
      </c>
      <c r="Z1147" s="4">
        <v>170</v>
      </c>
      <c r="AA1147" s="4">
        <f>=ROUNDDOWN(18.8888888888889,0)</f>
      </c>
      <c r="AB1147" s="5">
        <v>9</v>
      </c>
      <c r="AC1147" s="2" t="s">
        <v>1457</v>
      </c>
      <c r="AD1147" s="4">
        <v>100</v>
      </c>
      <c r="AE1147" s="4">
        <v>100</v>
      </c>
      <c r="AF1147" s="6">
        <v>65</v>
      </c>
      <c r="AG1147" s="6"/>
      <c r="AH1147" s="7">
        <v>1</v>
      </c>
      <c r="AI1147" s="4"/>
      <c r="AJ1147" s="4">
        <f>=ROUNDDOWN({0},0)</f>
      </c>
      <c r="AK1147" s="5"/>
      <c r="AL1147" s="2" t="s">
        <v>98</v>
      </c>
      <c r="AM1147" s="4"/>
      <c r="AN1147" s="4"/>
      <c r="AO1147" s="7">
        <v>0</v>
      </c>
      <c r="AP1147" s="4"/>
      <c r="AQ1147" s="8"/>
      <c r="AR1147" s="4"/>
      <c r="AS1147" s="8"/>
      <c r="AT1147" s="7"/>
      <c r="AU1147" s="7"/>
      <c r="AV1147" s="4"/>
      <c r="AW1147" s="8"/>
      <c r="AX1147" s="4"/>
      <c r="AY1147" s="8"/>
      <c r="AZ1147" s="7"/>
      <c r="BA1147" s="7"/>
      <c r="BB1147" s="7"/>
      <c r="BC1147" s="4" t="s">
        <v>98</v>
      </c>
      <c r="BD1147" s="8" t="s">
        <v>98</v>
      </c>
      <c r="BE1147" s="4" t="s">
        <v>98</v>
      </c>
      <c r="BF1147" s="8" t="s">
        <v>98</v>
      </c>
      <c r="BG1147" s="7" t="s">
        <v>98</v>
      </c>
      <c r="BH1147" s="7" t="s">
        <v>98</v>
      </c>
      <c r="BI1147" s="7"/>
      <c r="BJ1147" s="4">
        <v>13</v>
      </c>
      <c r="BK1147" s="8">
        <v>835.98</v>
      </c>
      <c r="BL1147" s="2" t="s">
        <v>5143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107</v>
      </c>
      <c r="BV1147" s="2" t="s">
        <v>95</v>
      </c>
      <c r="BW1147" s="2" t="s">
        <v>243</v>
      </c>
      <c r="BX1147" s="2" t="s">
        <v>401</v>
      </c>
      <c r="BY1147" s="2" t="s">
        <v>110</v>
      </c>
      <c r="BZ1147" s="2" t="s">
        <v>98</v>
      </c>
    </row>
    <row r="1148">
      <c r="A1148" s="16" t="s">
        <v>5144</v>
      </c>
      <c r="B1148" s="9" t="s">
        <v>98</v>
      </c>
      <c r="C1148" s="9" t="s">
        <v>98</v>
      </c>
      <c r="D1148" s="9" t="s">
        <v>98</v>
      </c>
      <c r="E1148" s="9" t="s">
        <v>98</v>
      </c>
      <c r="F1148" s="9" t="s">
        <v>98</v>
      </c>
      <c r="G1148" s="9" t="s">
        <v>98</v>
      </c>
      <c r="H1148" s="9" t="s">
        <v>98</v>
      </c>
      <c r="I1148" s="9" t="s">
        <v>98</v>
      </c>
      <c r="J1148" s="9" t="s">
        <v>98</v>
      </c>
      <c r="K1148" s="9" t="s">
        <v>98</v>
      </c>
      <c r="L1148" s="10"/>
      <c r="M1148" s="10"/>
      <c r="N1148" s="10"/>
      <c r="O1148" s="9" t="s">
        <v>98</v>
      </c>
      <c r="P1148" s="9" t="s">
        <v>98</v>
      </c>
      <c r="Q1148" s="9" t="s">
        <v>98</v>
      </c>
      <c r="R1148" s="9" t="s">
        <v>98</v>
      </c>
      <c r="S1148" s="9" t="s">
        <v>98</v>
      </c>
      <c r="T1148" s="9" t="s">
        <v>98</v>
      </c>
      <c r="U1148" s="9" t="s">
        <v>98</v>
      </c>
      <c r="V1148" s="9" t="s">
        <v>98</v>
      </c>
      <c r="W1148" s="9" t="s">
        <v>98</v>
      </c>
      <c r="X1148" s="9" t="s">
        <v>98</v>
      </c>
      <c r="Y1148" s="9" t="s">
        <v>98</v>
      </c>
      <c r="Z1148" s="11">
        <v>129045</v>
      </c>
      <c r="AA1148" s="11">
        <f>=ROUNDDOWN({0},0)</f>
      </c>
      <c r="AB1148" s="12">
        <v>7406.1</v>
      </c>
      <c r="AC1148" s="9" t="s">
        <v>98</v>
      </c>
      <c r="AD1148" s="11"/>
      <c r="AE1148" s="11">
        <v>154412</v>
      </c>
      <c r="AF1148" s="13"/>
      <c r="AG1148" s="13"/>
      <c r="AH1148" s="14"/>
      <c r="AI1148" s="11"/>
      <c r="AJ1148" s="11">
        <f>=ROUNDDOWN({0},0)</f>
      </c>
      <c r="AK1148" s="12"/>
      <c r="AL1148" s="9" t="s">
        <v>98</v>
      </c>
      <c r="AM1148" s="11"/>
      <c r="AN1148" s="11">
        <v>8115</v>
      </c>
      <c r="AO1148" s="14"/>
      <c r="AP1148" s="11">
        <v>164</v>
      </c>
      <c r="AQ1148" s="15">
        <v>25326.17</v>
      </c>
      <c r="AR1148" s="11">
        <v>275</v>
      </c>
      <c r="AS1148" s="15">
        <v>44277.84</v>
      </c>
      <c r="AT1148" s="14">
        <v>-0.4036</v>
      </c>
      <c r="AU1148" s="14">
        <v>-0.428</v>
      </c>
      <c r="AV1148" s="11">
        <v>164</v>
      </c>
      <c r="AW1148" s="15">
        <v>25326.17</v>
      </c>
      <c r="AX1148" s="11">
        <v>275</v>
      </c>
      <c r="AY1148" s="15">
        <v>44277.84</v>
      </c>
      <c r="AZ1148" s="14">
        <v>-0.4036</v>
      </c>
      <c r="BA1148" s="14">
        <v>-0.428</v>
      </c>
      <c r="BB1148" s="14"/>
      <c r="BC1148" s="11">
        <v>164</v>
      </c>
      <c r="BD1148" s="15">
        <v>25326.17</v>
      </c>
      <c r="BE1148" s="11">
        <v>275</v>
      </c>
      <c r="BF1148" s="15">
        <v>44277.84</v>
      </c>
      <c r="BG1148" s="14">
        <v>-0.4036</v>
      </c>
      <c r="BH1148" s="14">
        <v>-0.428</v>
      </c>
      <c r="BI1148" s="14"/>
      <c r="BJ1148" s="11"/>
      <c r="BK1148" s="15"/>
      <c r="BL1148" s="9" t="s">
        <v>98</v>
      </c>
      <c r="BM1148" s="14"/>
      <c r="BN1148" s="14"/>
      <c r="BO1148" s="11">
        <v>164</v>
      </c>
      <c r="BP1148" s="15">
        <v>25326.17</v>
      </c>
      <c r="BQ1148" s="11">
        <v>275</v>
      </c>
      <c r="BR1148" s="15">
        <v>44277.84</v>
      </c>
      <c r="BS1148" s="14">
        <v>-0.4036</v>
      </c>
      <c r="BT1148" s="14">
        <v>-0.428</v>
      </c>
      <c r="BU1148" s="9" t="s">
        <v>98</v>
      </c>
      <c r="BV1148" s="9" t="s">
        <v>98</v>
      </c>
      <c r="BW1148" s="9" t="s">
        <v>98</v>
      </c>
      <c r="BX1148" s="9" t="s">
        <v>98</v>
      </c>
      <c r="BY1148" s="9" t="s">
        <v>98</v>
      </c>
      <c r="BZ1148" s="9" t="s">
        <v>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8:BC9"/>
    <mergeCell ref="BD8:BD9"/>
    <mergeCell ref="BE8:BE9"/>
    <mergeCell ref="BF8:BF9"/>
    <mergeCell ref="BG8:BG9"/>
    <mergeCell ref="BH8:BH9"/>
    <mergeCell ref="BC14:BC16"/>
    <mergeCell ref="BD14:BD16"/>
    <mergeCell ref="BE14:BE16"/>
    <mergeCell ref="BF14:BF16"/>
    <mergeCell ref="BG14:BG16"/>
    <mergeCell ref="BH14:BH16"/>
    <mergeCell ref="BC27:BC29"/>
    <mergeCell ref="BD27:BD29"/>
    <mergeCell ref="BE27:BE29"/>
    <mergeCell ref="BF27:BF29"/>
    <mergeCell ref="BG27:BG29"/>
    <mergeCell ref="BH27:BH29"/>
    <mergeCell ref="BC37:BC38"/>
    <mergeCell ref="BD37:BD38"/>
    <mergeCell ref="BE37:BE38"/>
    <mergeCell ref="BF37:BF38"/>
    <mergeCell ref="BG37:BG38"/>
    <mergeCell ref="BH37:BH38"/>
    <mergeCell ref="BC47:BC49"/>
    <mergeCell ref="BD47:BD49"/>
    <mergeCell ref="BE47:BE49"/>
    <mergeCell ref="BF47:BF49"/>
    <mergeCell ref="BG47:BG49"/>
    <mergeCell ref="BH47:BH49"/>
    <mergeCell ref="BC51:BC52"/>
    <mergeCell ref="BD51:BD52"/>
    <mergeCell ref="BE51:BE52"/>
    <mergeCell ref="BF51:BF52"/>
    <mergeCell ref="BG51:BG52"/>
    <mergeCell ref="BH51:BH52"/>
    <mergeCell ref="BC64:BC69"/>
    <mergeCell ref="BD64:BD69"/>
    <mergeCell ref="BE64:BE69"/>
    <mergeCell ref="BF64:BF69"/>
    <mergeCell ref="BG64:BG69"/>
    <mergeCell ref="BH64:BH69"/>
    <mergeCell ref="BC72:BC77"/>
    <mergeCell ref="BD72:BD77"/>
    <mergeCell ref="BE72:BE77"/>
    <mergeCell ref="BF72:BF77"/>
    <mergeCell ref="BG72:BG77"/>
    <mergeCell ref="BH72:BH77"/>
    <mergeCell ref="BC81:BC83"/>
    <mergeCell ref="BD81:BD83"/>
    <mergeCell ref="BE81:BE83"/>
    <mergeCell ref="BF81:BF83"/>
    <mergeCell ref="BG81:BG83"/>
    <mergeCell ref="BH81:BH83"/>
    <mergeCell ref="BC85:BC86"/>
    <mergeCell ref="BD85:BD86"/>
    <mergeCell ref="BE85:BE86"/>
    <mergeCell ref="BF85:BF86"/>
    <mergeCell ref="BG85:BG86"/>
    <mergeCell ref="BH85:BH86"/>
    <mergeCell ref="BC88:BC94"/>
    <mergeCell ref="BD88:BD94"/>
    <mergeCell ref="BE88:BE94"/>
    <mergeCell ref="BF88:BF94"/>
    <mergeCell ref="BG88:BG94"/>
    <mergeCell ref="BH88:BH94"/>
    <mergeCell ref="BC95:BC97"/>
    <mergeCell ref="BD95:BD97"/>
    <mergeCell ref="BE95:BE97"/>
    <mergeCell ref="BF95:BF97"/>
    <mergeCell ref="BG95:BG97"/>
    <mergeCell ref="BH95:BH97"/>
    <mergeCell ref="BC99:BC101"/>
    <mergeCell ref="BD99:BD101"/>
    <mergeCell ref="BE99:BE101"/>
    <mergeCell ref="BF99:BF101"/>
    <mergeCell ref="BG99:BG101"/>
    <mergeCell ref="BH99:BH101"/>
    <mergeCell ref="BC126:BC132"/>
    <mergeCell ref="BD126:BD132"/>
    <mergeCell ref="BE126:BE132"/>
    <mergeCell ref="BF126:BF132"/>
    <mergeCell ref="BG126:BG132"/>
    <mergeCell ref="BH126:BH132"/>
    <mergeCell ref="BC140:BC142"/>
    <mergeCell ref="BD140:BD142"/>
    <mergeCell ref="BE140:BE142"/>
    <mergeCell ref="BF140:BF142"/>
    <mergeCell ref="BG140:BG142"/>
    <mergeCell ref="BH140:BH142"/>
    <mergeCell ref="BC165:BC166"/>
    <mergeCell ref="BD165:BD166"/>
    <mergeCell ref="BE165:BE166"/>
    <mergeCell ref="BF165:BF166"/>
    <mergeCell ref="BG165:BG166"/>
    <mergeCell ref="BH165:BH166"/>
    <mergeCell ref="BC168:BC170"/>
    <mergeCell ref="BD168:BD170"/>
    <mergeCell ref="BE168:BE170"/>
    <mergeCell ref="BF168:BF170"/>
    <mergeCell ref="BG168:BG170"/>
    <mergeCell ref="BH168:BH170"/>
    <mergeCell ref="BC171:BC173"/>
    <mergeCell ref="BD171:BD173"/>
    <mergeCell ref="BE171:BE173"/>
    <mergeCell ref="BF171:BF173"/>
    <mergeCell ref="BG171:BG173"/>
    <mergeCell ref="BH171:BH173"/>
    <mergeCell ref="BC177:BC184"/>
    <mergeCell ref="BD177:BD184"/>
    <mergeCell ref="BE177:BE184"/>
    <mergeCell ref="BF177:BF184"/>
    <mergeCell ref="BG177:BG184"/>
    <mergeCell ref="BH177:BH184"/>
    <mergeCell ref="BC194:BC195"/>
    <mergeCell ref="BD194:BD195"/>
    <mergeCell ref="BE194:BE195"/>
    <mergeCell ref="BF194:BF195"/>
    <mergeCell ref="BG194:BG195"/>
    <mergeCell ref="BH194:BH195"/>
    <mergeCell ref="BC205:BC206"/>
    <mergeCell ref="BD205:BD206"/>
    <mergeCell ref="BE205:BE206"/>
    <mergeCell ref="BF205:BF206"/>
    <mergeCell ref="BG205:BG206"/>
    <mergeCell ref="BH205:BH206"/>
    <mergeCell ref="BC223:BC227"/>
    <mergeCell ref="BD223:BD227"/>
    <mergeCell ref="BE223:BE227"/>
    <mergeCell ref="BF223:BF227"/>
    <mergeCell ref="BG223:BG227"/>
    <mergeCell ref="BH223:BH227"/>
    <mergeCell ref="BC230:BC234"/>
    <mergeCell ref="BD230:BD234"/>
    <mergeCell ref="BE230:BE234"/>
    <mergeCell ref="BF230:BF234"/>
    <mergeCell ref="BG230:BG234"/>
    <mergeCell ref="BH230:BH234"/>
    <mergeCell ref="BC235:BC236"/>
    <mergeCell ref="BD235:BD236"/>
    <mergeCell ref="BE235:BE236"/>
    <mergeCell ref="BF235:BF236"/>
    <mergeCell ref="BG235:BG236"/>
    <mergeCell ref="BH235:BH236"/>
    <mergeCell ref="BC238:BC240"/>
    <mergeCell ref="BD238:BD240"/>
    <mergeCell ref="BE238:BE240"/>
    <mergeCell ref="BF238:BF240"/>
    <mergeCell ref="BG238:BG240"/>
    <mergeCell ref="BH238:BH240"/>
    <mergeCell ref="BC241:BC242"/>
    <mergeCell ref="BD241:BD242"/>
    <mergeCell ref="BE241:BE242"/>
    <mergeCell ref="BF241:BF242"/>
    <mergeCell ref="BG241:BG242"/>
    <mergeCell ref="BH241:BH242"/>
    <mergeCell ref="BC243:BC248"/>
    <mergeCell ref="BD243:BD248"/>
    <mergeCell ref="BE243:BE248"/>
    <mergeCell ref="BF243:BF248"/>
    <mergeCell ref="BG243:BG248"/>
    <mergeCell ref="BH243:BH248"/>
    <mergeCell ref="BC249:BC250"/>
    <mergeCell ref="BD249:BD250"/>
    <mergeCell ref="BE249:BE250"/>
    <mergeCell ref="BF249:BF250"/>
    <mergeCell ref="BG249:BG250"/>
    <mergeCell ref="BH249:BH250"/>
    <mergeCell ref="BC255:BC256"/>
    <mergeCell ref="BD255:BD256"/>
    <mergeCell ref="BE255:BE256"/>
    <mergeCell ref="BF255:BF256"/>
    <mergeCell ref="BG255:BG256"/>
    <mergeCell ref="BH255:BH256"/>
    <mergeCell ref="BC257:BC259"/>
    <mergeCell ref="BD257:BD259"/>
    <mergeCell ref="BE257:BE259"/>
    <mergeCell ref="BF257:BF259"/>
    <mergeCell ref="BG257:BG259"/>
    <mergeCell ref="BH257:BH259"/>
    <mergeCell ref="BC264:BC266"/>
    <mergeCell ref="BD264:BD266"/>
    <mergeCell ref="BE264:BE266"/>
    <mergeCell ref="BF264:BF266"/>
    <mergeCell ref="BG264:BG266"/>
    <mergeCell ref="BH264:BH266"/>
    <mergeCell ref="BC267:BC270"/>
    <mergeCell ref="BD267:BD270"/>
    <mergeCell ref="BE267:BE270"/>
    <mergeCell ref="BF267:BF270"/>
    <mergeCell ref="BG267:BG270"/>
    <mergeCell ref="BH267:BH270"/>
    <mergeCell ref="BC271:BC272"/>
    <mergeCell ref="BD271:BD272"/>
    <mergeCell ref="BE271:BE272"/>
    <mergeCell ref="BF271:BF272"/>
    <mergeCell ref="BG271:BG272"/>
    <mergeCell ref="BH271:BH272"/>
    <mergeCell ref="BC274:BC276"/>
    <mergeCell ref="BD274:BD276"/>
    <mergeCell ref="BE274:BE276"/>
    <mergeCell ref="BF274:BF276"/>
    <mergeCell ref="BG274:BG276"/>
    <mergeCell ref="BH274:BH276"/>
    <mergeCell ref="BC278:BC281"/>
    <mergeCell ref="BD278:BD281"/>
    <mergeCell ref="BE278:BE281"/>
    <mergeCell ref="BF278:BF281"/>
    <mergeCell ref="BG278:BG281"/>
    <mergeCell ref="BH278:BH281"/>
    <mergeCell ref="BC283:BC287"/>
    <mergeCell ref="BD283:BD287"/>
    <mergeCell ref="BE283:BE287"/>
    <mergeCell ref="BF283:BF287"/>
    <mergeCell ref="BG283:BG287"/>
    <mergeCell ref="BH283:BH287"/>
    <mergeCell ref="BC290:BC291"/>
    <mergeCell ref="BD290:BD291"/>
    <mergeCell ref="BE290:BE291"/>
    <mergeCell ref="BF290:BF291"/>
    <mergeCell ref="BG290:BG291"/>
    <mergeCell ref="BH290:BH291"/>
    <mergeCell ref="BC293:BC294"/>
    <mergeCell ref="BD293:BD294"/>
    <mergeCell ref="BE293:BE294"/>
    <mergeCell ref="BF293:BF294"/>
    <mergeCell ref="BG293:BG294"/>
    <mergeCell ref="BH293:BH294"/>
    <mergeCell ref="BC296:BC297"/>
    <mergeCell ref="BD296:BD297"/>
    <mergeCell ref="BE296:BE297"/>
    <mergeCell ref="BF296:BF297"/>
    <mergeCell ref="BG296:BG297"/>
    <mergeCell ref="BH296:BH297"/>
    <mergeCell ref="BC299:BC302"/>
    <mergeCell ref="BD299:BD302"/>
    <mergeCell ref="BE299:BE302"/>
    <mergeCell ref="BF299:BF302"/>
    <mergeCell ref="BG299:BG302"/>
    <mergeCell ref="BH299:BH302"/>
    <mergeCell ref="BC304:BC309"/>
    <mergeCell ref="BD304:BD309"/>
    <mergeCell ref="BE304:BE309"/>
    <mergeCell ref="BF304:BF309"/>
    <mergeCell ref="BG304:BG309"/>
    <mergeCell ref="BH304:BH309"/>
    <mergeCell ref="BC311:BC312"/>
    <mergeCell ref="BD311:BD312"/>
    <mergeCell ref="BE311:BE312"/>
    <mergeCell ref="BF311:BF312"/>
    <mergeCell ref="BG311:BG312"/>
    <mergeCell ref="BH311:BH312"/>
    <mergeCell ref="BC325:BC328"/>
    <mergeCell ref="BD325:BD328"/>
    <mergeCell ref="BE325:BE328"/>
    <mergeCell ref="BF325:BF328"/>
    <mergeCell ref="BG325:BG328"/>
    <mergeCell ref="BH325:BH328"/>
    <mergeCell ref="BC329:BC332"/>
    <mergeCell ref="BD329:BD332"/>
    <mergeCell ref="BE329:BE332"/>
    <mergeCell ref="BF329:BF332"/>
    <mergeCell ref="BG329:BG332"/>
    <mergeCell ref="BH329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39:BC340"/>
    <mergeCell ref="BD339:BD340"/>
    <mergeCell ref="BE339:BE340"/>
    <mergeCell ref="BF339:BF340"/>
    <mergeCell ref="BG339:BG340"/>
    <mergeCell ref="BH339:BH340"/>
    <mergeCell ref="BC342:BC344"/>
    <mergeCell ref="BD342:BD344"/>
    <mergeCell ref="BE342:BE344"/>
    <mergeCell ref="BF342:BF344"/>
    <mergeCell ref="BG342:BG344"/>
    <mergeCell ref="BH342:BH344"/>
    <mergeCell ref="BC352:BC356"/>
    <mergeCell ref="BD352:BD356"/>
    <mergeCell ref="BE352:BE356"/>
    <mergeCell ref="BF352:BF356"/>
    <mergeCell ref="BG352:BG356"/>
    <mergeCell ref="BH352:BH356"/>
    <mergeCell ref="BC359:BC361"/>
    <mergeCell ref="BD359:BD361"/>
    <mergeCell ref="BE359:BE361"/>
    <mergeCell ref="BF359:BF361"/>
    <mergeCell ref="BG359:BG361"/>
    <mergeCell ref="BH359:BH361"/>
    <mergeCell ref="BC363:BC365"/>
    <mergeCell ref="BD363:BD365"/>
    <mergeCell ref="BE363:BE365"/>
    <mergeCell ref="BF363:BF365"/>
    <mergeCell ref="BG363:BG365"/>
    <mergeCell ref="BH363:BH365"/>
    <mergeCell ref="BC370:BC372"/>
    <mergeCell ref="BD370:BD372"/>
    <mergeCell ref="BE370:BE372"/>
    <mergeCell ref="BF370:BF372"/>
    <mergeCell ref="BG370:BG372"/>
    <mergeCell ref="BH370:BH372"/>
    <mergeCell ref="BC375:BC376"/>
    <mergeCell ref="BD375:BD376"/>
    <mergeCell ref="BE375:BE376"/>
    <mergeCell ref="BF375:BF376"/>
    <mergeCell ref="BG375:BG376"/>
    <mergeCell ref="BH375:BH376"/>
    <mergeCell ref="BC379:BC380"/>
    <mergeCell ref="BD379:BD380"/>
    <mergeCell ref="BE379:BE380"/>
    <mergeCell ref="BF379:BF380"/>
    <mergeCell ref="BG379:BG380"/>
    <mergeCell ref="BH379:BH380"/>
    <mergeCell ref="BC381:BC385"/>
    <mergeCell ref="BD381:BD385"/>
    <mergeCell ref="BE381:BE385"/>
    <mergeCell ref="BF381:BF385"/>
    <mergeCell ref="BG381:BG385"/>
    <mergeCell ref="BH381:BH385"/>
    <mergeCell ref="BC388:BC390"/>
    <mergeCell ref="BD388:BD390"/>
    <mergeCell ref="BE388:BE390"/>
    <mergeCell ref="BF388:BF390"/>
    <mergeCell ref="BG388:BG390"/>
    <mergeCell ref="BH388:BH390"/>
    <mergeCell ref="BC392:BC393"/>
    <mergeCell ref="BD392:BD393"/>
    <mergeCell ref="BE392:BE393"/>
    <mergeCell ref="BF392:BF393"/>
    <mergeCell ref="BG392:BG393"/>
    <mergeCell ref="BH392:BH393"/>
    <mergeCell ref="BC396:BC398"/>
    <mergeCell ref="BD396:BD398"/>
    <mergeCell ref="BE396:BE398"/>
    <mergeCell ref="BF396:BF398"/>
    <mergeCell ref="BG396:BG398"/>
    <mergeCell ref="BH396:BH398"/>
    <mergeCell ref="BC399:BC400"/>
    <mergeCell ref="BD399:BD400"/>
    <mergeCell ref="BE399:BE400"/>
    <mergeCell ref="BF399:BF400"/>
    <mergeCell ref="BG399:BG400"/>
    <mergeCell ref="BH399:BH400"/>
    <mergeCell ref="BC402:BC404"/>
    <mergeCell ref="BD402:BD404"/>
    <mergeCell ref="BE402:BE404"/>
    <mergeCell ref="BF402:BF404"/>
    <mergeCell ref="BG402:BG404"/>
    <mergeCell ref="BH402:BH404"/>
    <mergeCell ref="BC410:BC412"/>
    <mergeCell ref="BD410:BD412"/>
    <mergeCell ref="BE410:BE412"/>
    <mergeCell ref="BF410:BF412"/>
    <mergeCell ref="BG410:BG412"/>
    <mergeCell ref="BH410:BH412"/>
    <mergeCell ref="BC415:BC417"/>
    <mergeCell ref="BD415:BD417"/>
    <mergeCell ref="BE415:BE417"/>
    <mergeCell ref="BF415:BF417"/>
    <mergeCell ref="BG415:BG417"/>
    <mergeCell ref="BH415:BH417"/>
    <mergeCell ref="BC418:BC420"/>
    <mergeCell ref="BD418:BD420"/>
    <mergeCell ref="BE418:BE420"/>
    <mergeCell ref="BF418:BF420"/>
    <mergeCell ref="BG418:BG420"/>
    <mergeCell ref="BH418:BH420"/>
    <mergeCell ref="BC421:BC424"/>
    <mergeCell ref="BD421:BD424"/>
    <mergeCell ref="BE421:BE424"/>
    <mergeCell ref="BF421:BF424"/>
    <mergeCell ref="BG421:BG424"/>
    <mergeCell ref="BH421:BH424"/>
    <mergeCell ref="BC425:BC428"/>
    <mergeCell ref="BD425:BD428"/>
    <mergeCell ref="BE425:BE428"/>
    <mergeCell ref="BF425:BF428"/>
    <mergeCell ref="BG425:BG428"/>
    <mergeCell ref="BH425:BH428"/>
    <mergeCell ref="BC429:BC431"/>
    <mergeCell ref="BD429:BD431"/>
    <mergeCell ref="BE429:BE431"/>
    <mergeCell ref="BF429:BF431"/>
    <mergeCell ref="BG429:BG431"/>
    <mergeCell ref="BH429:BH431"/>
    <mergeCell ref="BC435:BC438"/>
    <mergeCell ref="BD435:BD438"/>
    <mergeCell ref="BE435:BE438"/>
    <mergeCell ref="BF435:BF438"/>
    <mergeCell ref="BG435:BG438"/>
    <mergeCell ref="BH435:BH438"/>
    <mergeCell ref="BC442:BC443"/>
    <mergeCell ref="BD442:BD443"/>
    <mergeCell ref="BE442:BE443"/>
    <mergeCell ref="BF442:BF443"/>
    <mergeCell ref="BG442:BG443"/>
    <mergeCell ref="BH442:BH443"/>
    <mergeCell ref="BC444:BC446"/>
    <mergeCell ref="BD444:BD446"/>
    <mergeCell ref="BE444:BE446"/>
    <mergeCell ref="BF444:BF446"/>
    <mergeCell ref="BG444:BG446"/>
    <mergeCell ref="BH444:BH446"/>
    <mergeCell ref="BC447:BC448"/>
    <mergeCell ref="BD447:BD448"/>
    <mergeCell ref="BE447:BE448"/>
    <mergeCell ref="BF447:BF448"/>
    <mergeCell ref="BG447:BG448"/>
    <mergeCell ref="BH447:BH448"/>
    <mergeCell ref="BC450:BC451"/>
    <mergeCell ref="BD450:BD451"/>
    <mergeCell ref="BE450:BE451"/>
    <mergeCell ref="BF450:BF451"/>
    <mergeCell ref="BG450:BG451"/>
    <mergeCell ref="BH450:BH451"/>
    <mergeCell ref="BC454:BC455"/>
    <mergeCell ref="BD454:BD455"/>
    <mergeCell ref="BE454:BE455"/>
    <mergeCell ref="BF454:BF455"/>
    <mergeCell ref="BG454:BG455"/>
    <mergeCell ref="BH454:BH455"/>
    <mergeCell ref="BC457:BC459"/>
    <mergeCell ref="BD457:BD459"/>
    <mergeCell ref="BE457:BE459"/>
    <mergeCell ref="BF457:BF459"/>
    <mergeCell ref="BG457:BG459"/>
    <mergeCell ref="BH457:BH459"/>
    <mergeCell ref="BC460:BC461"/>
    <mergeCell ref="BD460:BD461"/>
    <mergeCell ref="BE460:BE461"/>
    <mergeCell ref="BF460:BF461"/>
    <mergeCell ref="BG460:BG461"/>
    <mergeCell ref="BH460:BH461"/>
    <mergeCell ref="BC462:BC464"/>
    <mergeCell ref="BD462:BD464"/>
    <mergeCell ref="BE462:BE464"/>
    <mergeCell ref="BF462:BF464"/>
    <mergeCell ref="BG462:BG464"/>
    <mergeCell ref="BH462:BH464"/>
    <mergeCell ref="BC465:BC468"/>
    <mergeCell ref="BD465:BD468"/>
    <mergeCell ref="BE465:BE468"/>
    <mergeCell ref="BF465:BF468"/>
    <mergeCell ref="BG465:BG468"/>
    <mergeCell ref="BH465:BH468"/>
    <mergeCell ref="BC476:BC479"/>
    <mergeCell ref="BD476:BD479"/>
    <mergeCell ref="BE476:BE479"/>
    <mergeCell ref="BF476:BF479"/>
    <mergeCell ref="BG476:BG479"/>
    <mergeCell ref="BH476:BH479"/>
    <mergeCell ref="BC481:BC482"/>
    <mergeCell ref="BD481:BD482"/>
    <mergeCell ref="BE481:BE482"/>
    <mergeCell ref="BF481:BF482"/>
    <mergeCell ref="BG481:BG482"/>
    <mergeCell ref="BH481:BH482"/>
    <mergeCell ref="BC483:BC484"/>
    <mergeCell ref="BD483:BD484"/>
    <mergeCell ref="BE483:BE484"/>
    <mergeCell ref="BF483:BF484"/>
    <mergeCell ref="BG483:BG484"/>
    <mergeCell ref="BH483:BH484"/>
    <mergeCell ref="BC486:BC487"/>
    <mergeCell ref="BD486:BD487"/>
    <mergeCell ref="BE486:BE487"/>
    <mergeCell ref="BF486:BF487"/>
    <mergeCell ref="BG486:BG487"/>
    <mergeCell ref="BH486:BH487"/>
    <mergeCell ref="BC488:BC491"/>
    <mergeCell ref="BD488:BD491"/>
    <mergeCell ref="BE488:BE491"/>
    <mergeCell ref="BF488:BF491"/>
    <mergeCell ref="BG488:BG491"/>
    <mergeCell ref="BH488:BH491"/>
    <mergeCell ref="BC492:BC493"/>
    <mergeCell ref="BD492:BD493"/>
    <mergeCell ref="BE492:BE493"/>
    <mergeCell ref="BF492:BF493"/>
    <mergeCell ref="BG492:BG493"/>
    <mergeCell ref="BH492:BH493"/>
    <mergeCell ref="BC500:BC502"/>
    <mergeCell ref="BD500:BD502"/>
    <mergeCell ref="BE500:BE502"/>
    <mergeCell ref="BF500:BF502"/>
    <mergeCell ref="BG500:BG502"/>
    <mergeCell ref="BH500:BH502"/>
    <mergeCell ref="BC507:BC508"/>
    <mergeCell ref="BD507:BD508"/>
    <mergeCell ref="BE507:BE508"/>
    <mergeCell ref="BF507:BF508"/>
    <mergeCell ref="BG507:BG508"/>
    <mergeCell ref="BH507:BH508"/>
    <mergeCell ref="BC513:BC514"/>
    <mergeCell ref="BD513:BD514"/>
    <mergeCell ref="BE513:BE514"/>
    <mergeCell ref="BF513:BF514"/>
    <mergeCell ref="BG513:BG514"/>
    <mergeCell ref="BH513:BH514"/>
    <mergeCell ref="BC516:BC518"/>
    <mergeCell ref="BD516:BD518"/>
    <mergeCell ref="BE516:BE518"/>
    <mergeCell ref="BF516:BF518"/>
    <mergeCell ref="BG516:BG518"/>
    <mergeCell ref="BH516:BH518"/>
    <mergeCell ref="BC519:BC524"/>
    <mergeCell ref="BD519:BD524"/>
    <mergeCell ref="BE519:BE524"/>
    <mergeCell ref="BF519:BF524"/>
    <mergeCell ref="BG519:BG524"/>
    <mergeCell ref="BH519:BH524"/>
    <mergeCell ref="BC528:BC529"/>
    <mergeCell ref="BD528:BD529"/>
    <mergeCell ref="BE528:BE529"/>
    <mergeCell ref="BF528:BF529"/>
    <mergeCell ref="BG528:BG529"/>
    <mergeCell ref="BH528:BH529"/>
    <mergeCell ref="BC549:BC550"/>
    <mergeCell ref="BD549:BD550"/>
    <mergeCell ref="BE549:BE550"/>
    <mergeCell ref="BF549:BF550"/>
    <mergeCell ref="BG549:BG550"/>
    <mergeCell ref="BH549:BH550"/>
    <mergeCell ref="BC552:BC554"/>
    <mergeCell ref="BD552:BD554"/>
    <mergeCell ref="BE552:BE554"/>
    <mergeCell ref="BF552:BF554"/>
    <mergeCell ref="BG552:BG554"/>
    <mergeCell ref="BH552:BH554"/>
    <mergeCell ref="BC558:BC563"/>
    <mergeCell ref="BD558:BD563"/>
    <mergeCell ref="BE558:BE563"/>
    <mergeCell ref="BF558:BF563"/>
    <mergeCell ref="BG558:BG563"/>
    <mergeCell ref="BH558:BH563"/>
    <mergeCell ref="BC564:BC568"/>
    <mergeCell ref="BD564:BD568"/>
    <mergeCell ref="BE564:BE568"/>
    <mergeCell ref="BF564:BF568"/>
    <mergeCell ref="BG564:BG568"/>
    <mergeCell ref="BH564:BH568"/>
    <mergeCell ref="BC570:BC571"/>
    <mergeCell ref="BD570:BD571"/>
    <mergeCell ref="BE570:BE571"/>
    <mergeCell ref="BF570:BF571"/>
    <mergeCell ref="BG570:BG571"/>
    <mergeCell ref="BH570:BH571"/>
    <mergeCell ref="BC577:BC581"/>
    <mergeCell ref="BD577:BD581"/>
    <mergeCell ref="BE577:BE581"/>
    <mergeCell ref="BF577:BF581"/>
    <mergeCell ref="BG577:BG581"/>
    <mergeCell ref="BH577:BH581"/>
    <mergeCell ref="BC587:BC589"/>
    <mergeCell ref="BD587:BD589"/>
    <mergeCell ref="BE587:BE589"/>
    <mergeCell ref="BF587:BF589"/>
    <mergeCell ref="BG587:BG589"/>
    <mergeCell ref="BH587:BH589"/>
    <mergeCell ref="BC590:BC592"/>
    <mergeCell ref="BD590:BD592"/>
    <mergeCell ref="BE590:BE592"/>
    <mergeCell ref="BF590:BF592"/>
    <mergeCell ref="BG590:BG592"/>
    <mergeCell ref="BH590:BH592"/>
    <mergeCell ref="BC595:BC596"/>
    <mergeCell ref="BD595:BD596"/>
    <mergeCell ref="BE595:BE596"/>
    <mergeCell ref="BF595:BF596"/>
    <mergeCell ref="BG595:BG596"/>
    <mergeCell ref="BH595:BH596"/>
    <mergeCell ref="BC598:BC602"/>
    <mergeCell ref="BD598:BD602"/>
    <mergeCell ref="BE598:BE602"/>
    <mergeCell ref="BF598:BF602"/>
    <mergeCell ref="BG598:BG602"/>
    <mergeCell ref="BH598:BH602"/>
    <mergeCell ref="BC604:BC607"/>
    <mergeCell ref="BD604:BD607"/>
    <mergeCell ref="BE604:BE607"/>
    <mergeCell ref="BF604:BF607"/>
    <mergeCell ref="BG604:BG607"/>
    <mergeCell ref="BH604:BH607"/>
    <mergeCell ref="BC608:BC610"/>
    <mergeCell ref="BD608:BD610"/>
    <mergeCell ref="BE608:BE610"/>
    <mergeCell ref="BF608:BF610"/>
    <mergeCell ref="BG608:BG610"/>
    <mergeCell ref="BH608:BH610"/>
    <mergeCell ref="BC615:BC616"/>
    <mergeCell ref="BD615:BD616"/>
    <mergeCell ref="BE615:BE616"/>
    <mergeCell ref="BF615:BF616"/>
    <mergeCell ref="BG615:BG616"/>
    <mergeCell ref="BH615:BH616"/>
    <mergeCell ref="BC628:BC629"/>
    <mergeCell ref="BD628:BD629"/>
    <mergeCell ref="BE628:BE629"/>
    <mergeCell ref="BF628:BF629"/>
    <mergeCell ref="BG628:BG629"/>
    <mergeCell ref="BH628:BH629"/>
    <mergeCell ref="BC631:BC632"/>
    <mergeCell ref="BD631:BD632"/>
    <mergeCell ref="BE631:BE632"/>
    <mergeCell ref="BF631:BF632"/>
    <mergeCell ref="BG631:BG632"/>
    <mergeCell ref="BH631:BH632"/>
    <mergeCell ref="BC636:BC641"/>
    <mergeCell ref="BD636:BD641"/>
    <mergeCell ref="BE636:BE641"/>
    <mergeCell ref="BF636:BF641"/>
    <mergeCell ref="BG636:BG641"/>
    <mergeCell ref="BH636:BH641"/>
    <mergeCell ref="BC642:BC646"/>
    <mergeCell ref="BD642:BD646"/>
    <mergeCell ref="BE642:BE646"/>
    <mergeCell ref="BF642:BF646"/>
    <mergeCell ref="BG642:BG646"/>
    <mergeCell ref="BH642:BH646"/>
    <mergeCell ref="BC648:BC649"/>
    <mergeCell ref="BD648:BD649"/>
    <mergeCell ref="BE648:BE649"/>
    <mergeCell ref="BF648:BF649"/>
    <mergeCell ref="BG648:BG649"/>
    <mergeCell ref="BH648:BH649"/>
    <mergeCell ref="BC650:BC651"/>
    <mergeCell ref="BD650:BD651"/>
    <mergeCell ref="BE650:BE651"/>
    <mergeCell ref="BF650:BF651"/>
    <mergeCell ref="BG650:BG651"/>
    <mergeCell ref="BH650:BH651"/>
    <mergeCell ref="BC652:BC654"/>
    <mergeCell ref="BD652:BD654"/>
    <mergeCell ref="BE652:BE654"/>
    <mergeCell ref="BF652:BF654"/>
    <mergeCell ref="BG652:BG654"/>
    <mergeCell ref="BH652:BH654"/>
    <mergeCell ref="BC655:BC656"/>
    <mergeCell ref="BD655:BD656"/>
    <mergeCell ref="BE655:BE656"/>
    <mergeCell ref="BF655:BF656"/>
    <mergeCell ref="BG655:BG656"/>
    <mergeCell ref="BH655:BH656"/>
    <mergeCell ref="BC657:BC658"/>
    <mergeCell ref="BD657:BD658"/>
    <mergeCell ref="BE657:BE658"/>
    <mergeCell ref="BF657:BF658"/>
    <mergeCell ref="BG657:BG658"/>
    <mergeCell ref="BH657:BH658"/>
    <mergeCell ref="BC659:BC661"/>
    <mergeCell ref="BD659:BD661"/>
    <mergeCell ref="BE659:BE661"/>
    <mergeCell ref="BF659:BF661"/>
    <mergeCell ref="BG659:BG661"/>
    <mergeCell ref="BH659:BH661"/>
    <mergeCell ref="BC662:BC663"/>
    <mergeCell ref="BD662:BD663"/>
    <mergeCell ref="BE662:BE663"/>
    <mergeCell ref="BF662:BF663"/>
    <mergeCell ref="BG662:BG663"/>
    <mergeCell ref="BH662:BH663"/>
    <mergeCell ref="BC664:BC670"/>
    <mergeCell ref="BD664:BD670"/>
    <mergeCell ref="BE664:BE670"/>
    <mergeCell ref="BF664:BF670"/>
    <mergeCell ref="BG664:BG670"/>
    <mergeCell ref="BH664:BH670"/>
    <mergeCell ref="BC674:BC675"/>
    <mergeCell ref="BD674:BD675"/>
    <mergeCell ref="BE674:BE675"/>
    <mergeCell ref="BF674:BF675"/>
    <mergeCell ref="BG674:BG675"/>
    <mergeCell ref="BH674:BH675"/>
    <mergeCell ref="BC683:BC684"/>
    <mergeCell ref="BD683:BD684"/>
    <mergeCell ref="BE683:BE684"/>
    <mergeCell ref="BF683:BF684"/>
    <mergeCell ref="BG683:BG684"/>
    <mergeCell ref="BH683:BH684"/>
    <mergeCell ref="BC686:BC687"/>
    <mergeCell ref="BD686:BD687"/>
    <mergeCell ref="BE686:BE687"/>
    <mergeCell ref="BF686:BF687"/>
    <mergeCell ref="BG686:BG687"/>
    <mergeCell ref="BH686:BH687"/>
    <mergeCell ref="BC689:BC690"/>
    <mergeCell ref="BD689:BD690"/>
    <mergeCell ref="BE689:BE690"/>
    <mergeCell ref="BF689:BF690"/>
    <mergeCell ref="BG689:BG690"/>
    <mergeCell ref="BH689:BH690"/>
    <mergeCell ref="BC697:BC698"/>
    <mergeCell ref="BD697:BD698"/>
    <mergeCell ref="BE697:BE698"/>
    <mergeCell ref="BF697:BF698"/>
    <mergeCell ref="BG697:BG698"/>
    <mergeCell ref="BH697:BH698"/>
    <mergeCell ref="BC705:BC706"/>
    <mergeCell ref="BD705:BD706"/>
    <mergeCell ref="BE705:BE706"/>
    <mergeCell ref="BF705:BF706"/>
    <mergeCell ref="BG705:BG706"/>
    <mergeCell ref="BH705:BH706"/>
    <mergeCell ref="BC708:BC709"/>
    <mergeCell ref="BD708:BD709"/>
    <mergeCell ref="BE708:BE709"/>
    <mergeCell ref="BF708:BF709"/>
    <mergeCell ref="BG708:BG709"/>
    <mergeCell ref="BH708:BH709"/>
    <mergeCell ref="BC716:BC717"/>
    <mergeCell ref="BD716:BD717"/>
    <mergeCell ref="BE716:BE717"/>
    <mergeCell ref="BF716:BF717"/>
    <mergeCell ref="BG716:BG717"/>
    <mergeCell ref="BH716:BH717"/>
    <mergeCell ref="BC720:BC723"/>
    <mergeCell ref="BD720:BD723"/>
    <mergeCell ref="BE720:BE723"/>
    <mergeCell ref="BF720:BF723"/>
    <mergeCell ref="BG720:BG723"/>
    <mergeCell ref="BH720:BH723"/>
    <mergeCell ref="BC729:BC732"/>
    <mergeCell ref="BD729:BD732"/>
    <mergeCell ref="BE729:BE732"/>
    <mergeCell ref="BF729:BF732"/>
    <mergeCell ref="BG729:BG732"/>
    <mergeCell ref="BH729:BH732"/>
    <mergeCell ref="BC742:BC743"/>
    <mergeCell ref="BD742:BD743"/>
    <mergeCell ref="BE742:BE743"/>
    <mergeCell ref="BF742:BF743"/>
    <mergeCell ref="BG742:BG743"/>
    <mergeCell ref="BH742:BH743"/>
    <mergeCell ref="BC745:BC746"/>
    <mergeCell ref="BD745:BD746"/>
    <mergeCell ref="BE745:BE746"/>
    <mergeCell ref="BF745:BF746"/>
    <mergeCell ref="BG745:BG746"/>
    <mergeCell ref="BH745:BH746"/>
    <mergeCell ref="BC749:BC750"/>
    <mergeCell ref="BD749:BD750"/>
    <mergeCell ref="BE749:BE750"/>
    <mergeCell ref="BF749:BF750"/>
    <mergeCell ref="BG749:BG750"/>
    <mergeCell ref="BH749:BH750"/>
    <mergeCell ref="BC752:BC753"/>
    <mergeCell ref="BD752:BD753"/>
    <mergeCell ref="BE752:BE753"/>
    <mergeCell ref="BF752:BF753"/>
    <mergeCell ref="BG752:BG753"/>
    <mergeCell ref="BH752:BH753"/>
    <mergeCell ref="BC760:BC761"/>
    <mergeCell ref="BD760:BD761"/>
    <mergeCell ref="BE760:BE761"/>
    <mergeCell ref="BF760:BF761"/>
    <mergeCell ref="BG760:BG761"/>
    <mergeCell ref="BH760:BH761"/>
    <mergeCell ref="BC763:BC764"/>
    <mergeCell ref="BD763:BD764"/>
    <mergeCell ref="BE763:BE764"/>
    <mergeCell ref="BF763:BF764"/>
    <mergeCell ref="BG763:BG764"/>
    <mergeCell ref="BH763:BH764"/>
    <mergeCell ref="BC767:BC768"/>
    <mergeCell ref="BD767:BD768"/>
    <mergeCell ref="BE767:BE768"/>
    <mergeCell ref="BF767:BF768"/>
    <mergeCell ref="BG767:BG768"/>
    <mergeCell ref="BH767:BH768"/>
    <mergeCell ref="BC769:BC770"/>
    <mergeCell ref="BD769:BD770"/>
    <mergeCell ref="BE769:BE770"/>
    <mergeCell ref="BF769:BF770"/>
    <mergeCell ref="BG769:BG770"/>
    <mergeCell ref="BH769:BH770"/>
    <mergeCell ref="BC772:BC774"/>
    <mergeCell ref="BD772:BD774"/>
    <mergeCell ref="BE772:BE774"/>
    <mergeCell ref="BF772:BF774"/>
    <mergeCell ref="BG772:BG774"/>
    <mergeCell ref="BH772:BH774"/>
    <mergeCell ref="BC779:BC781"/>
    <mergeCell ref="BD779:BD781"/>
    <mergeCell ref="BE779:BE781"/>
    <mergeCell ref="BF779:BF781"/>
    <mergeCell ref="BG779:BG781"/>
    <mergeCell ref="BH779:BH781"/>
    <mergeCell ref="BC785:BC787"/>
    <mergeCell ref="BD785:BD787"/>
    <mergeCell ref="BE785:BE787"/>
    <mergeCell ref="BF785:BF787"/>
    <mergeCell ref="BG785:BG787"/>
    <mergeCell ref="BH785:BH787"/>
    <mergeCell ref="BC792:BC793"/>
    <mergeCell ref="BD792:BD793"/>
    <mergeCell ref="BE792:BE793"/>
    <mergeCell ref="BF792:BF793"/>
    <mergeCell ref="BG792:BG793"/>
    <mergeCell ref="BH792:BH793"/>
    <mergeCell ref="BC794:BC795"/>
    <mergeCell ref="BD794:BD795"/>
    <mergeCell ref="BE794:BE795"/>
    <mergeCell ref="BF794:BF795"/>
    <mergeCell ref="BG794:BG795"/>
    <mergeCell ref="BH794:BH795"/>
    <mergeCell ref="BC796:BC798"/>
    <mergeCell ref="BD796:BD798"/>
    <mergeCell ref="BE796:BE798"/>
    <mergeCell ref="BF796:BF798"/>
    <mergeCell ref="BG796:BG798"/>
    <mergeCell ref="BH796:BH798"/>
    <mergeCell ref="BC801:BC802"/>
    <mergeCell ref="BD801:BD802"/>
    <mergeCell ref="BE801:BE802"/>
    <mergeCell ref="BF801:BF802"/>
    <mergeCell ref="BG801:BG802"/>
    <mergeCell ref="BH801:BH802"/>
    <mergeCell ref="BC805:BC806"/>
    <mergeCell ref="BD805:BD806"/>
    <mergeCell ref="BE805:BE806"/>
    <mergeCell ref="BF805:BF806"/>
    <mergeCell ref="BG805:BG806"/>
    <mergeCell ref="BH805:BH806"/>
    <mergeCell ref="BC814:BC817"/>
    <mergeCell ref="BD814:BD817"/>
    <mergeCell ref="BE814:BE817"/>
    <mergeCell ref="BF814:BF817"/>
    <mergeCell ref="BG814:BG817"/>
    <mergeCell ref="BH814:BH817"/>
    <mergeCell ref="BC818:BC819"/>
    <mergeCell ref="BD818:BD819"/>
    <mergeCell ref="BE818:BE819"/>
    <mergeCell ref="BF818:BF819"/>
    <mergeCell ref="BG818:BG819"/>
    <mergeCell ref="BH818:BH819"/>
    <mergeCell ref="BC820:BC823"/>
    <mergeCell ref="BD820:BD823"/>
    <mergeCell ref="BE820:BE823"/>
    <mergeCell ref="BF820:BF823"/>
    <mergeCell ref="BG820:BG823"/>
    <mergeCell ref="BH820:BH823"/>
    <mergeCell ref="BC828:BC829"/>
    <mergeCell ref="BD828:BD829"/>
    <mergeCell ref="BE828:BE829"/>
    <mergeCell ref="BF828:BF829"/>
    <mergeCell ref="BG828:BG829"/>
    <mergeCell ref="BH828:BH829"/>
    <mergeCell ref="BC830:BC831"/>
    <mergeCell ref="BD830:BD831"/>
    <mergeCell ref="BE830:BE831"/>
    <mergeCell ref="BF830:BF831"/>
    <mergeCell ref="BG830:BG831"/>
    <mergeCell ref="BH830:BH831"/>
    <mergeCell ref="BC836:BC837"/>
    <mergeCell ref="BD836:BD837"/>
    <mergeCell ref="BE836:BE837"/>
    <mergeCell ref="BF836:BF837"/>
    <mergeCell ref="BG836:BG837"/>
    <mergeCell ref="BH836:BH837"/>
    <mergeCell ref="BC841:BC842"/>
    <mergeCell ref="BD841:BD842"/>
    <mergeCell ref="BE841:BE842"/>
    <mergeCell ref="BF841:BF842"/>
    <mergeCell ref="BG841:BG842"/>
    <mergeCell ref="BH841:BH842"/>
    <mergeCell ref="BC854:BC856"/>
    <mergeCell ref="BD854:BD856"/>
    <mergeCell ref="BE854:BE856"/>
    <mergeCell ref="BF854:BF856"/>
    <mergeCell ref="BG854:BG856"/>
    <mergeCell ref="BH854:BH856"/>
    <mergeCell ref="BC857:BC858"/>
    <mergeCell ref="BD857:BD858"/>
    <mergeCell ref="BE857:BE858"/>
    <mergeCell ref="BF857:BF858"/>
    <mergeCell ref="BG857:BG858"/>
    <mergeCell ref="BH857:BH858"/>
    <mergeCell ref="BC859:BC860"/>
    <mergeCell ref="BD859:BD860"/>
    <mergeCell ref="BE859:BE860"/>
    <mergeCell ref="BF859:BF860"/>
    <mergeCell ref="BG859:BG860"/>
    <mergeCell ref="BH859:BH860"/>
    <mergeCell ref="BC863:BC864"/>
    <mergeCell ref="BD863:BD864"/>
    <mergeCell ref="BE863:BE864"/>
    <mergeCell ref="BF863:BF864"/>
    <mergeCell ref="BG863:BG864"/>
    <mergeCell ref="BH863:BH864"/>
    <mergeCell ref="BC876:BC880"/>
    <mergeCell ref="BD876:BD880"/>
    <mergeCell ref="BE876:BE880"/>
    <mergeCell ref="BF876:BF880"/>
    <mergeCell ref="BG876:BG880"/>
    <mergeCell ref="BH876:BH880"/>
    <mergeCell ref="BC881:BC882"/>
    <mergeCell ref="BD881:BD882"/>
    <mergeCell ref="BE881:BE882"/>
    <mergeCell ref="BF881:BF882"/>
    <mergeCell ref="BG881:BG882"/>
    <mergeCell ref="BH881:BH882"/>
    <mergeCell ref="BC883:BC884"/>
    <mergeCell ref="BD883:BD884"/>
    <mergeCell ref="BE883:BE884"/>
    <mergeCell ref="BF883:BF884"/>
    <mergeCell ref="BG883:BG884"/>
    <mergeCell ref="BH883:BH884"/>
    <mergeCell ref="BC903:BC904"/>
    <mergeCell ref="BD903:BD904"/>
    <mergeCell ref="BE903:BE904"/>
    <mergeCell ref="BF903:BF904"/>
    <mergeCell ref="BG903:BG904"/>
    <mergeCell ref="BH903:BH904"/>
    <mergeCell ref="BC910:BC912"/>
    <mergeCell ref="BD910:BD912"/>
    <mergeCell ref="BE910:BE912"/>
    <mergeCell ref="BF910:BF912"/>
    <mergeCell ref="BG910:BG912"/>
    <mergeCell ref="BH910:BH912"/>
    <mergeCell ref="BC915:BC917"/>
    <mergeCell ref="BD915:BD917"/>
    <mergeCell ref="BE915:BE917"/>
    <mergeCell ref="BF915:BF917"/>
    <mergeCell ref="BG915:BG917"/>
    <mergeCell ref="BH915:BH917"/>
    <mergeCell ref="BC921:BC922"/>
    <mergeCell ref="BD921:BD922"/>
    <mergeCell ref="BE921:BE922"/>
    <mergeCell ref="BF921:BF922"/>
    <mergeCell ref="BG921:BG922"/>
    <mergeCell ref="BH921:BH922"/>
    <mergeCell ref="BC935:BC936"/>
    <mergeCell ref="BD935:BD936"/>
    <mergeCell ref="BE935:BE936"/>
    <mergeCell ref="BF935:BF936"/>
    <mergeCell ref="BG935:BG936"/>
    <mergeCell ref="BH935:BH936"/>
    <mergeCell ref="BC937:BC938"/>
    <mergeCell ref="BD937:BD938"/>
    <mergeCell ref="BE937:BE938"/>
    <mergeCell ref="BF937:BF938"/>
    <mergeCell ref="BG937:BG938"/>
    <mergeCell ref="BH937:BH938"/>
    <mergeCell ref="BC940:BC941"/>
    <mergeCell ref="BD940:BD941"/>
    <mergeCell ref="BE940:BE941"/>
    <mergeCell ref="BF940:BF941"/>
    <mergeCell ref="BG940:BG941"/>
    <mergeCell ref="BH940:BH941"/>
    <mergeCell ref="BC944:BC945"/>
    <mergeCell ref="BD944:BD945"/>
    <mergeCell ref="BE944:BE945"/>
    <mergeCell ref="BF944:BF945"/>
    <mergeCell ref="BG944:BG945"/>
    <mergeCell ref="BH944:BH945"/>
    <mergeCell ref="BC947:BC949"/>
    <mergeCell ref="BD947:BD949"/>
    <mergeCell ref="BE947:BE949"/>
    <mergeCell ref="BF947:BF949"/>
    <mergeCell ref="BG947:BG949"/>
    <mergeCell ref="BH947:BH949"/>
    <mergeCell ref="BC950:BC954"/>
    <mergeCell ref="BD950:BD954"/>
    <mergeCell ref="BE950:BE954"/>
    <mergeCell ref="BF950:BF954"/>
    <mergeCell ref="BG950:BG954"/>
    <mergeCell ref="BH950:BH954"/>
    <mergeCell ref="BC957:BC962"/>
    <mergeCell ref="BD957:BD962"/>
    <mergeCell ref="BE957:BE962"/>
    <mergeCell ref="BF957:BF962"/>
    <mergeCell ref="BG957:BG962"/>
    <mergeCell ref="BH957:BH962"/>
    <mergeCell ref="BC963:BC964"/>
    <mergeCell ref="BD963:BD964"/>
    <mergeCell ref="BE963:BE964"/>
    <mergeCell ref="BF963:BF964"/>
    <mergeCell ref="BG963:BG964"/>
    <mergeCell ref="BH963:BH964"/>
    <mergeCell ref="BC965:BC968"/>
    <mergeCell ref="BD965:BD968"/>
    <mergeCell ref="BE965:BE968"/>
    <mergeCell ref="BF965:BF968"/>
    <mergeCell ref="BG965:BG968"/>
    <mergeCell ref="BH965:BH968"/>
    <mergeCell ref="BC969:BC973"/>
    <mergeCell ref="BD969:BD973"/>
    <mergeCell ref="BE969:BE973"/>
    <mergeCell ref="BF969:BF973"/>
    <mergeCell ref="BG969:BG973"/>
    <mergeCell ref="BH969:BH973"/>
    <mergeCell ref="BC974:BC975"/>
    <mergeCell ref="BD974:BD975"/>
    <mergeCell ref="BE974:BE975"/>
    <mergeCell ref="BF974:BF975"/>
    <mergeCell ref="BG974:BG975"/>
    <mergeCell ref="BH974:BH975"/>
    <mergeCell ref="BC976:BC978"/>
    <mergeCell ref="BD976:BD978"/>
    <mergeCell ref="BE976:BE978"/>
    <mergeCell ref="BF976:BF978"/>
    <mergeCell ref="BG976:BG978"/>
    <mergeCell ref="BH976:BH978"/>
    <mergeCell ref="BC983:BC985"/>
    <mergeCell ref="BD983:BD985"/>
    <mergeCell ref="BE983:BE985"/>
    <mergeCell ref="BF983:BF985"/>
    <mergeCell ref="BG983:BG985"/>
    <mergeCell ref="BH983:BH985"/>
    <mergeCell ref="BC988:BC989"/>
    <mergeCell ref="BD988:BD989"/>
    <mergeCell ref="BE988:BE989"/>
    <mergeCell ref="BF988:BF989"/>
    <mergeCell ref="BG988:BG989"/>
    <mergeCell ref="BH988:BH989"/>
    <mergeCell ref="BC990:BC993"/>
    <mergeCell ref="BD990:BD993"/>
    <mergeCell ref="BE990:BE993"/>
    <mergeCell ref="BF990:BF993"/>
    <mergeCell ref="BG990:BG993"/>
    <mergeCell ref="BH990:BH993"/>
    <mergeCell ref="BC994:BC995"/>
    <mergeCell ref="BD994:BD995"/>
    <mergeCell ref="BE994:BE995"/>
    <mergeCell ref="BF994:BF995"/>
    <mergeCell ref="BG994:BG995"/>
    <mergeCell ref="BH994:BH995"/>
    <mergeCell ref="BC997:BC1000"/>
    <mergeCell ref="BD997:BD1000"/>
    <mergeCell ref="BE997:BE1000"/>
    <mergeCell ref="BF997:BF1000"/>
    <mergeCell ref="BG997:BG1000"/>
    <mergeCell ref="BH997:BH1000"/>
    <mergeCell ref="BC1001:BC1002"/>
    <mergeCell ref="BD1001:BD1002"/>
    <mergeCell ref="BE1001:BE1002"/>
    <mergeCell ref="BF1001:BF1002"/>
    <mergeCell ref="BG1001:BG1002"/>
    <mergeCell ref="BH1001:BH1002"/>
    <mergeCell ref="BC1005:BC1006"/>
    <mergeCell ref="BD1005:BD1006"/>
    <mergeCell ref="BE1005:BE1006"/>
    <mergeCell ref="BF1005:BF1006"/>
    <mergeCell ref="BG1005:BG1006"/>
    <mergeCell ref="BH1005:BH1006"/>
    <mergeCell ref="BC1012:BC1014"/>
    <mergeCell ref="BD1012:BD1014"/>
    <mergeCell ref="BE1012:BE1014"/>
    <mergeCell ref="BF1012:BF1014"/>
    <mergeCell ref="BG1012:BG1014"/>
    <mergeCell ref="BH1012:BH1014"/>
    <mergeCell ref="BC1016:BC1017"/>
    <mergeCell ref="BD1016:BD1017"/>
    <mergeCell ref="BE1016:BE1017"/>
    <mergeCell ref="BF1016:BF1017"/>
    <mergeCell ref="BG1016:BG1017"/>
    <mergeCell ref="BH1016:BH1017"/>
    <mergeCell ref="BC1028:BC1029"/>
    <mergeCell ref="BD1028:BD1029"/>
    <mergeCell ref="BE1028:BE1029"/>
    <mergeCell ref="BF1028:BF1029"/>
    <mergeCell ref="BG1028:BG1029"/>
    <mergeCell ref="BH1028:BH1029"/>
    <mergeCell ref="BC1031:BC1032"/>
    <mergeCell ref="BD1031:BD1032"/>
    <mergeCell ref="BE1031:BE1032"/>
    <mergeCell ref="BF1031:BF1032"/>
    <mergeCell ref="BG1031:BG1032"/>
    <mergeCell ref="BH1031:BH1032"/>
    <mergeCell ref="BC1037:BC1039"/>
    <mergeCell ref="BD1037:BD1039"/>
    <mergeCell ref="BE1037:BE1039"/>
    <mergeCell ref="BF1037:BF1039"/>
    <mergeCell ref="BG1037:BG1039"/>
    <mergeCell ref="BH1037:BH1039"/>
    <mergeCell ref="BC1040:BC1042"/>
    <mergeCell ref="BD1040:BD1042"/>
    <mergeCell ref="BE1040:BE1042"/>
    <mergeCell ref="BF1040:BF1042"/>
    <mergeCell ref="BG1040:BG1042"/>
    <mergeCell ref="BH1040:BH1042"/>
    <mergeCell ref="BC1049:BC1051"/>
    <mergeCell ref="BD1049:BD1051"/>
    <mergeCell ref="BE1049:BE1051"/>
    <mergeCell ref="BF1049:BF1051"/>
    <mergeCell ref="BG1049:BG1051"/>
    <mergeCell ref="BH1049:BH1051"/>
    <mergeCell ref="BC1053:BC1054"/>
    <mergeCell ref="BD1053:BD1054"/>
    <mergeCell ref="BE1053:BE1054"/>
    <mergeCell ref="BF1053:BF1054"/>
    <mergeCell ref="BG1053:BG1054"/>
    <mergeCell ref="BH1053:BH1054"/>
    <mergeCell ref="BC1059:BC1064"/>
    <mergeCell ref="BD1059:BD1064"/>
    <mergeCell ref="BE1059:BE1064"/>
    <mergeCell ref="BF1059:BF1064"/>
    <mergeCell ref="BG1059:BG1064"/>
    <mergeCell ref="BH1059:BH1064"/>
    <mergeCell ref="BC1092:BC1093"/>
    <mergeCell ref="BD1092:BD1093"/>
    <mergeCell ref="BE1092:BE1093"/>
    <mergeCell ref="BF1092:BF1093"/>
    <mergeCell ref="BG1092:BG1093"/>
    <mergeCell ref="BH1092:BH1093"/>
    <mergeCell ref="BC1096:BC1097"/>
    <mergeCell ref="BD1096:BD1097"/>
    <mergeCell ref="BE1096:BE1097"/>
    <mergeCell ref="BF1096:BF1097"/>
    <mergeCell ref="BG1096:BG1097"/>
    <mergeCell ref="BH1096:BH1097"/>
    <mergeCell ref="BC1103:BC1105"/>
    <mergeCell ref="BD1103:BD1105"/>
    <mergeCell ref="BE1103:BE1105"/>
    <mergeCell ref="BF1103:BF1105"/>
    <mergeCell ref="BG1103:BG1105"/>
    <mergeCell ref="BH1103:BH1105"/>
    <mergeCell ref="BC1113:BC1114"/>
    <mergeCell ref="BD1113:BD1114"/>
    <mergeCell ref="BE1113:BE1114"/>
    <mergeCell ref="BF1113:BF1114"/>
    <mergeCell ref="BG1113:BG1114"/>
    <mergeCell ref="BH1113:BH1114"/>
    <mergeCell ref="BC1146:BC1147"/>
    <mergeCell ref="BD1146:BD1147"/>
    <mergeCell ref="BE1146:BE1147"/>
    <mergeCell ref="BF1146:BF1147"/>
    <mergeCell ref="BG1146:BG1147"/>
    <mergeCell ref="BH1146:BH1147"/>
    <mergeCell ref="AV48:AV49"/>
    <mergeCell ref="AW48:AW49"/>
    <mergeCell ref="AX48:AX49"/>
    <mergeCell ref="AY48:AY49"/>
    <mergeCell ref="AZ48:AZ49"/>
    <mergeCell ref="BA48:BA49"/>
    <mergeCell ref="BI48:BI49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AV183:AV184"/>
    <mergeCell ref="AW183:AW184"/>
    <mergeCell ref="AX183:AX184"/>
    <mergeCell ref="AY183:AY184"/>
    <mergeCell ref="AZ183:AZ184"/>
    <mergeCell ref="BA183:BA184"/>
    <mergeCell ref="AV435:AV436"/>
    <mergeCell ref="AW435:AW436"/>
    <mergeCell ref="AX435:AX436"/>
    <mergeCell ref="AY435:AY436"/>
    <mergeCell ref="AZ435:AZ436"/>
    <mergeCell ref="BA435:BA436"/>
    <mergeCell ref="AV476:AV477"/>
    <mergeCell ref="AW476:AW477"/>
    <mergeCell ref="AX476:AX477"/>
    <mergeCell ref="AY476:AY477"/>
    <mergeCell ref="AZ476:AZ477"/>
    <mergeCell ref="BA476:BA477"/>
    <mergeCell ref="AV516:AV517"/>
    <mergeCell ref="AW516:AW517"/>
    <mergeCell ref="AX516:AX517"/>
    <mergeCell ref="AY516:AY517"/>
    <mergeCell ref="AZ516:AZ517"/>
    <mergeCell ref="BA516:BA517"/>
    <mergeCell ref="BI516:BI517"/>
    <mergeCell ref="AV519:AV520"/>
    <mergeCell ref="AW519:AW520"/>
    <mergeCell ref="AX519:AX520"/>
    <mergeCell ref="AY519:AY520"/>
    <mergeCell ref="AZ519:AZ520"/>
    <mergeCell ref="BA519:BA520"/>
    <mergeCell ref="BI519:BI520"/>
    <mergeCell ref="AV521:AV522"/>
    <mergeCell ref="AW521:AW522"/>
    <mergeCell ref="AX521:AX522"/>
    <mergeCell ref="AY521:AY522"/>
    <mergeCell ref="AZ521:AZ522"/>
    <mergeCell ref="BA521:BA522"/>
    <mergeCell ref="BI521:BI522"/>
    <mergeCell ref="AV523:AV524"/>
    <mergeCell ref="AW523:AW524"/>
    <mergeCell ref="AX523:AX524"/>
    <mergeCell ref="AY523:AY524"/>
    <mergeCell ref="AZ523:AZ524"/>
    <mergeCell ref="BA523:BA524"/>
    <mergeCell ref="BI523:BI524"/>
    <mergeCell ref="AV697:AV698"/>
    <mergeCell ref="AW697:AW698"/>
    <mergeCell ref="AX697:AX698"/>
    <mergeCell ref="AY697:AY698"/>
    <mergeCell ref="AZ697:AZ698"/>
    <mergeCell ref="BA697:BA698"/>
    <mergeCell ref="AV720:AV721"/>
    <mergeCell ref="AW720:AW721"/>
    <mergeCell ref="AX720:AX721"/>
    <mergeCell ref="AY720:AY721"/>
    <mergeCell ref="AZ720:AZ721"/>
    <mergeCell ref="BA720:BA721"/>
    <mergeCell ref="AV722:AV723"/>
    <mergeCell ref="AW722:AW723"/>
    <mergeCell ref="AX722:AX723"/>
    <mergeCell ref="AY722:AY723"/>
    <mergeCell ref="AZ722:AZ723"/>
    <mergeCell ref="BA722:BA723"/>
    <mergeCell ref="AV729:AV730"/>
    <mergeCell ref="AW729:AW730"/>
    <mergeCell ref="AX729:AX730"/>
    <mergeCell ref="AY729:AY730"/>
    <mergeCell ref="AZ729:AZ730"/>
    <mergeCell ref="BA729:BA730"/>
    <mergeCell ref="AV731:AV732"/>
    <mergeCell ref="AW731:AW732"/>
    <mergeCell ref="AX731:AX732"/>
    <mergeCell ref="AY731:AY732"/>
    <mergeCell ref="AZ731:AZ732"/>
    <mergeCell ref="BA731:BA732"/>
    <mergeCell ref="AV742:AV743"/>
    <mergeCell ref="AW742:AW743"/>
    <mergeCell ref="AX742:AX743"/>
    <mergeCell ref="AY742:AY743"/>
    <mergeCell ref="AZ742:AZ743"/>
    <mergeCell ref="BA742:BA743"/>
    <mergeCell ref="AV745:AV746"/>
    <mergeCell ref="AW745:AW746"/>
    <mergeCell ref="AX745:AX746"/>
    <mergeCell ref="AY745:AY746"/>
    <mergeCell ref="AZ745:AZ746"/>
    <mergeCell ref="BA745:BA746"/>
    <mergeCell ref="AV792:AV793"/>
    <mergeCell ref="AW792:AW793"/>
    <mergeCell ref="AX792:AX793"/>
    <mergeCell ref="AY792:AY793"/>
    <mergeCell ref="AZ792:AZ793"/>
    <mergeCell ref="BA792:BA793"/>
    <mergeCell ref="AV814:AV815"/>
    <mergeCell ref="AW814:AW815"/>
    <mergeCell ref="AX814:AX815"/>
    <mergeCell ref="AY814:AY815"/>
    <mergeCell ref="AZ814:AZ815"/>
    <mergeCell ref="BA814:BA815"/>
    <mergeCell ref="AV816:AV817"/>
    <mergeCell ref="AW816:AW817"/>
    <mergeCell ref="AX816:AX817"/>
    <mergeCell ref="AY816:AY817"/>
    <mergeCell ref="AZ816:AZ817"/>
    <mergeCell ref="BA816:BA817"/>
    <mergeCell ref="AV830:AV831"/>
    <mergeCell ref="AW830:AW831"/>
    <mergeCell ref="AX830:AX831"/>
    <mergeCell ref="AY830:AY831"/>
    <mergeCell ref="AZ830:AZ831"/>
    <mergeCell ref="BA830:BA831"/>
    <mergeCell ref="AV921:AV922"/>
    <mergeCell ref="AW921:AW922"/>
    <mergeCell ref="AX921:AX922"/>
    <mergeCell ref="AY921:AY922"/>
    <mergeCell ref="AZ921:AZ922"/>
    <mergeCell ref="BA921:BA922"/>
    <mergeCell ref="AV935:AV936"/>
    <mergeCell ref="AW935:AW936"/>
    <mergeCell ref="AX935:AX936"/>
    <mergeCell ref="AY935:AY936"/>
    <mergeCell ref="AZ935:AZ936"/>
    <mergeCell ref="BA935:BA936"/>
    <mergeCell ref="AV937:AV938"/>
    <mergeCell ref="AW937:AW938"/>
    <mergeCell ref="AX937:AX938"/>
    <mergeCell ref="AY937:AY938"/>
    <mergeCell ref="AZ937:AZ938"/>
    <mergeCell ref="BA937:BA938"/>
    <mergeCell ref="AV944:AV945"/>
    <mergeCell ref="AW944:AW945"/>
    <mergeCell ref="AX944:AX945"/>
    <mergeCell ref="AY944:AY945"/>
    <mergeCell ref="AZ944:AZ945"/>
    <mergeCell ref="BA944:BA945"/>
    <mergeCell ref="AV974:AV975"/>
    <mergeCell ref="AW974:AW975"/>
    <mergeCell ref="AX974:AX975"/>
    <mergeCell ref="AY974:AY975"/>
    <mergeCell ref="AZ974:AZ975"/>
    <mergeCell ref="BA974:BA975"/>
    <mergeCell ref="AV976:AV978"/>
    <mergeCell ref="AW976:AW978"/>
    <mergeCell ref="AX976:AX978"/>
    <mergeCell ref="AY976:AY978"/>
    <mergeCell ref="AZ976:AZ978"/>
    <mergeCell ref="BA976:BA978"/>
    <mergeCell ref="AV988:AV989"/>
    <mergeCell ref="AW988:AW989"/>
    <mergeCell ref="AX988:AX989"/>
    <mergeCell ref="AY988:AY989"/>
    <mergeCell ref="AZ988:AZ989"/>
    <mergeCell ref="BA988:BA989"/>
    <mergeCell ref="AV1062:AV1063"/>
    <mergeCell ref="AW1062:AW1063"/>
    <mergeCell ref="AX1062:AX1063"/>
    <mergeCell ref="AY1062:AY1063"/>
    <mergeCell ref="AZ1062:AZ1063"/>
    <mergeCell ref="BA1062:BA1063"/>
    <mergeCell ref="AV1092:AV1093"/>
    <mergeCell ref="AW1092:AW1093"/>
    <mergeCell ref="AX1092:AX1093"/>
    <mergeCell ref="AY1092:AY1093"/>
    <mergeCell ref="AZ1092:AZ1093"/>
    <mergeCell ref="BA1092:BA1093"/>
    <mergeCell ref="BB435:BB436"/>
    <mergeCell ref="BB476:BB477"/>
    <mergeCell ref="BB697:BB698"/>
    <mergeCell ref="BB792:BB793"/>
    <mergeCell ref="BB830:BB831"/>
    <mergeCell ref="BB937:BB938"/>
    <mergeCell ref="BB944:BB945"/>
    <mergeCell ref="BB988:BB98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8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5145</v>
      </c>
      <c r="D2" s="0" t="s">
        <v>5146</v>
      </c>
      <c r="E2" s="0" t="s">
        <v>5147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5148</v>
      </c>
      <c r="J4" s="1" t="s">
        <v>5149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5150</v>
      </c>
      <c r="P4" s="1" t="s">
        <v>5151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5152</v>
      </c>
      <c r="F5" s="1" t="s">
        <v>5153</v>
      </c>
      <c r="G5" s="1" t="s">
        <v>5152</v>
      </c>
      <c r="H5" s="1" t="s">
        <v>5153</v>
      </c>
      <c r="I5" s="1" t="s">
        <v>5148</v>
      </c>
      <c r="J5" s="1" t="s">
        <v>5149</v>
      </c>
      <c r="K5" s="1" t="s">
        <v>5154</v>
      </c>
      <c r="L5" s="1" t="s">
        <v>5155</v>
      </c>
      <c r="M5" s="1" t="s">
        <v>5154</v>
      </c>
      <c r="N5" s="1" t="s">
        <v>5155</v>
      </c>
      <c r="O5" s="1" t="s">
        <v>5150</v>
      </c>
      <c r="P5" s="1" t="s">
        <v>5151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6</v>
      </c>
      <c r="F6" s="8">
        <v>235.68</v>
      </c>
      <c r="G6" s="4" t="s">
        <v>98</v>
      </c>
      <c r="H6" s="8" t="s">
        <v>98</v>
      </c>
      <c r="I6" s="7" t="s">
        <v>98</v>
      </c>
      <c r="J6" s="7" t="s">
        <v>98</v>
      </c>
      <c r="K6" s="4">
        <v>4</v>
      </c>
      <c r="L6" s="8">
        <v>164.28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89</v>
      </c>
      <c r="E7" s="4" t="s">
        <v>98</v>
      </c>
      <c r="F7" s="8" t="s">
        <v>98</v>
      </c>
      <c r="G7" s="4" t="s">
        <v>98</v>
      </c>
      <c r="H7" s="8" t="s">
        <v>98</v>
      </c>
      <c r="I7" s="7" t="s">
        <v>98</v>
      </c>
      <c r="J7" s="7" t="s">
        <v>98</v>
      </c>
      <c r="K7" s="4">
        <v>2</v>
      </c>
      <c r="L7" s="8">
        <v>71.4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326</v>
      </c>
      <c r="E8" s="4" t="s">
        <v>98</v>
      </c>
      <c r="F8" s="8" t="s">
        <v>98</v>
      </c>
      <c r="G8" s="4" t="s">
        <v>98</v>
      </c>
      <c r="H8" s="8" t="s">
        <v>98</v>
      </c>
      <c r="I8" s="7" t="s">
        <v>98</v>
      </c>
      <c r="J8" s="7" t="s">
        <v>98</v>
      </c>
      <c r="K8" s="4"/>
      <c r="L8" s="8"/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392</v>
      </c>
      <c r="D9" s="2" t="s">
        <v>393</v>
      </c>
      <c r="E9" s="4">
        <v>2</v>
      </c>
      <c r="F9" s="8">
        <v>150.19</v>
      </c>
      <c r="G9" s="4" t="s">
        <v>98</v>
      </c>
      <c r="H9" s="8" t="s">
        <v>98</v>
      </c>
      <c r="I9" s="7" t="s">
        <v>98</v>
      </c>
      <c r="J9" s="7" t="s">
        <v>98</v>
      </c>
      <c r="K9" s="4">
        <v>1</v>
      </c>
      <c r="L9" s="8">
        <v>84.78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392</v>
      </c>
      <c r="D10" s="2" t="s">
        <v>417</v>
      </c>
      <c r="E10" s="4" t="s">
        <v>98</v>
      </c>
      <c r="F10" s="8" t="s">
        <v>98</v>
      </c>
      <c r="G10" s="4" t="s">
        <v>98</v>
      </c>
      <c r="H10" s="8" t="s">
        <v>98</v>
      </c>
      <c r="I10" s="7" t="s">
        <v>98</v>
      </c>
      <c r="J10" s="7" t="s">
        <v>98</v>
      </c>
      <c r="K10" s="4">
        <v>1</v>
      </c>
      <c r="L10" s="8">
        <v>65.41</v>
      </c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326</v>
      </c>
      <c r="D11" s="2" t="s">
        <v>326</v>
      </c>
      <c r="E11" s="4">
        <v>3</v>
      </c>
      <c r="F11" s="8">
        <v>108.8</v>
      </c>
      <c r="G11" s="4">
        <v>1</v>
      </c>
      <c r="H11" s="8">
        <v>32</v>
      </c>
      <c r="I11" s="7">
        <v>2</v>
      </c>
      <c r="J11" s="7">
        <v>2.4</v>
      </c>
      <c r="K11" s="4">
        <v>2</v>
      </c>
      <c r="L11" s="8">
        <v>84.24</v>
      </c>
      <c r="M11" s="4">
        <v>1</v>
      </c>
      <c r="N11" s="8">
        <v>32</v>
      </c>
      <c r="O11" s="7">
        <v>1</v>
      </c>
      <c r="P11" s="7">
        <v>1.6325</v>
      </c>
    </row>
    <row r="12">
      <c r="A12" s="2" t="s">
        <v>87</v>
      </c>
      <c r="B12" s="2" t="s">
        <v>88</v>
      </c>
      <c r="C12" s="2" t="s">
        <v>326</v>
      </c>
      <c r="D12" s="2" t="s">
        <v>90</v>
      </c>
      <c r="E12" s="4" t="s">
        <v>98</v>
      </c>
      <c r="F12" s="8" t="s">
        <v>98</v>
      </c>
      <c r="G12" s="4" t="s">
        <v>98</v>
      </c>
      <c r="H12" s="8" t="s">
        <v>98</v>
      </c>
      <c r="I12" s="7" t="s">
        <v>98</v>
      </c>
      <c r="J12" s="7" t="s">
        <v>98</v>
      </c>
      <c r="K12" s="4">
        <v>1</v>
      </c>
      <c r="L12" s="8">
        <v>24.56</v>
      </c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525</v>
      </c>
      <c r="D13" s="2" t="s">
        <v>525</v>
      </c>
      <c r="E13" s="4">
        <v>2</v>
      </c>
      <c r="F13" s="8">
        <v>14.68</v>
      </c>
      <c r="G13" s="4">
        <v>4</v>
      </c>
      <c r="H13" s="8">
        <v>181.55</v>
      </c>
      <c r="I13" s="7">
        <v>-0.5</v>
      </c>
      <c r="J13" s="7">
        <v>-0.9191</v>
      </c>
      <c r="K13" s="4">
        <v>2</v>
      </c>
      <c r="L13" s="8">
        <v>14.68</v>
      </c>
      <c r="M13" s="4">
        <v>2</v>
      </c>
      <c r="N13" s="8">
        <v>104.9</v>
      </c>
      <c r="O13" s="7"/>
      <c r="P13" s="7">
        <v>-0.8601</v>
      </c>
    </row>
    <row r="14">
      <c r="A14" s="2" t="s">
        <v>87</v>
      </c>
      <c r="B14" s="2" t="s">
        <v>88</v>
      </c>
      <c r="C14" s="2" t="s">
        <v>525</v>
      </c>
      <c r="D14" s="2" t="s">
        <v>326</v>
      </c>
      <c r="E14" s="4" t="s">
        <v>98</v>
      </c>
      <c r="F14" s="8" t="s">
        <v>98</v>
      </c>
      <c r="G14" s="4" t="s">
        <v>98</v>
      </c>
      <c r="H14" s="8" t="s">
        <v>98</v>
      </c>
      <c r="I14" s="7" t="s">
        <v>98</v>
      </c>
      <c r="J14" s="7" t="s">
        <v>98</v>
      </c>
      <c r="K14" s="4"/>
      <c r="L14" s="8"/>
      <c r="M14" s="4">
        <v>1</v>
      </c>
      <c r="N14" s="8">
        <v>31.77</v>
      </c>
      <c r="O14" s="7"/>
      <c r="P14" s="7"/>
    </row>
    <row r="15">
      <c r="A15" s="2" t="s">
        <v>87</v>
      </c>
      <c r="B15" s="2" t="s">
        <v>88</v>
      </c>
      <c r="C15" s="2" t="s">
        <v>525</v>
      </c>
      <c r="D15" s="2" t="s">
        <v>90</v>
      </c>
      <c r="E15" s="4" t="s">
        <v>98</v>
      </c>
      <c r="F15" s="8" t="s">
        <v>98</v>
      </c>
      <c r="G15" s="4" t="s">
        <v>98</v>
      </c>
      <c r="H15" s="8" t="s">
        <v>98</v>
      </c>
      <c r="I15" s="7" t="s">
        <v>98</v>
      </c>
      <c r="J15" s="7" t="s">
        <v>98</v>
      </c>
      <c r="K15" s="4"/>
      <c r="L15" s="8"/>
      <c r="M15" s="4">
        <v>1</v>
      </c>
      <c r="N15" s="8">
        <v>44.88</v>
      </c>
      <c r="O15" s="7"/>
      <c r="P15" s="7"/>
    </row>
    <row r="16">
      <c r="A16" s="2" t="s">
        <v>87</v>
      </c>
      <c r="B16" s="2" t="s">
        <v>88</v>
      </c>
      <c r="C16" s="2" t="s">
        <v>910</v>
      </c>
      <c r="D16" s="2" t="s">
        <v>910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924</v>
      </c>
      <c r="D17" s="2" t="s">
        <v>925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87</v>
      </c>
      <c r="B18" s="2" t="s">
        <v>88</v>
      </c>
      <c r="C18" s="2" t="s">
        <v>943</v>
      </c>
      <c r="D18" s="2" t="s">
        <v>944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952</v>
      </c>
      <c r="C19" s="2" t="s">
        <v>89</v>
      </c>
      <c r="D19" s="2" t="s">
        <v>89</v>
      </c>
      <c r="E19" s="4">
        <v>1</v>
      </c>
      <c r="F19" s="8">
        <v>68.24</v>
      </c>
      <c r="G19" s="4" t="s">
        <v>98</v>
      </c>
      <c r="H19" s="8" t="s">
        <v>98</v>
      </c>
      <c r="I19" s="7" t="s">
        <v>98</v>
      </c>
      <c r="J19" s="7" t="s">
        <v>98</v>
      </c>
      <c r="K19" s="4">
        <v>1</v>
      </c>
      <c r="L19" s="8">
        <v>68.24</v>
      </c>
      <c r="M19" s="4"/>
      <c r="N19" s="8"/>
      <c r="O19" s="7"/>
      <c r="P19" s="7"/>
    </row>
    <row r="20">
      <c r="A20" s="2" t="s">
        <v>87</v>
      </c>
      <c r="B20" s="2" t="s">
        <v>952</v>
      </c>
      <c r="C20" s="2" t="s">
        <v>89</v>
      </c>
      <c r="D20" s="2" t="s">
        <v>90</v>
      </c>
      <c r="E20" s="4" t="s">
        <v>98</v>
      </c>
      <c r="F20" s="8" t="s">
        <v>98</v>
      </c>
      <c r="G20" s="4" t="s">
        <v>98</v>
      </c>
      <c r="H20" s="8" t="s">
        <v>98</v>
      </c>
      <c r="I20" s="7" t="s">
        <v>98</v>
      </c>
      <c r="J20" s="7" t="s">
        <v>98</v>
      </c>
      <c r="K20" s="4"/>
      <c r="L20" s="8"/>
      <c r="M20" s="4"/>
      <c r="N20" s="8"/>
      <c r="O20" s="7"/>
      <c r="P20" s="7"/>
    </row>
    <row r="21">
      <c r="A21" s="2" t="s">
        <v>87</v>
      </c>
      <c r="B21" s="2" t="s">
        <v>952</v>
      </c>
      <c r="C21" s="2" t="s">
        <v>525</v>
      </c>
      <c r="D21" s="2" t="s">
        <v>326</v>
      </c>
      <c r="E21" s="4">
        <v>1</v>
      </c>
      <c r="F21" s="8">
        <v>52.49</v>
      </c>
      <c r="G21" s="4" t="s">
        <v>98</v>
      </c>
      <c r="H21" s="8" t="s">
        <v>98</v>
      </c>
      <c r="I21" s="7" t="s">
        <v>98</v>
      </c>
      <c r="J21" s="7" t="s">
        <v>98</v>
      </c>
      <c r="K21" s="4">
        <v>1</v>
      </c>
      <c r="L21" s="8">
        <v>52.49</v>
      </c>
      <c r="M21" s="4"/>
      <c r="N21" s="8"/>
      <c r="O21" s="7"/>
      <c r="P21" s="7"/>
    </row>
    <row r="22">
      <c r="A22" s="2" t="s">
        <v>87</v>
      </c>
      <c r="B22" s="2" t="s">
        <v>952</v>
      </c>
      <c r="C22" s="2" t="s">
        <v>525</v>
      </c>
      <c r="D22" s="2" t="s">
        <v>525</v>
      </c>
      <c r="E22" s="4" t="s">
        <v>98</v>
      </c>
      <c r="F22" s="8" t="s">
        <v>98</v>
      </c>
      <c r="G22" s="4" t="s">
        <v>98</v>
      </c>
      <c r="H22" s="8" t="s">
        <v>98</v>
      </c>
      <c r="I22" s="7" t="s">
        <v>98</v>
      </c>
      <c r="J22" s="7" t="s">
        <v>98</v>
      </c>
      <c r="K22" s="4"/>
      <c r="L22" s="8"/>
      <c r="M22" s="4"/>
      <c r="N22" s="8"/>
      <c r="O22" s="7"/>
      <c r="P22" s="7"/>
    </row>
    <row r="23">
      <c r="A23" s="2" t="s">
        <v>87</v>
      </c>
      <c r="B23" s="2" t="s">
        <v>952</v>
      </c>
      <c r="C23" s="2" t="s">
        <v>392</v>
      </c>
      <c r="D23" s="2" t="s">
        <v>393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87</v>
      </c>
      <c r="B24" s="2" t="s">
        <v>952</v>
      </c>
      <c r="C24" s="2" t="s">
        <v>326</v>
      </c>
      <c r="D24" s="2" t="s">
        <v>326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87</v>
      </c>
      <c r="B25" s="2" t="s">
        <v>1069</v>
      </c>
      <c r="C25" s="2" t="s">
        <v>1070</v>
      </c>
      <c r="D25" s="2" t="s">
        <v>1071</v>
      </c>
      <c r="E25" s="4">
        <v>1</v>
      </c>
      <c r="F25" s="8">
        <v>35.69</v>
      </c>
      <c r="G25" s="4"/>
      <c r="H25" s="8"/>
      <c r="I25" s="7"/>
      <c r="J25" s="7"/>
      <c r="K25" s="4">
        <v>1</v>
      </c>
      <c r="L25" s="8">
        <v>35.69</v>
      </c>
      <c r="M25" s="4"/>
      <c r="N25" s="8"/>
      <c r="O25" s="7"/>
      <c r="P25" s="7"/>
    </row>
    <row r="26">
      <c r="A26" s="2" t="s">
        <v>87</v>
      </c>
      <c r="B26" s="2" t="s">
        <v>1069</v>
      </c>
      <c r="C26" s="2" t="s">
        <v>89</v>
      </c>
      <c r="D26" s="2" t="s">
        <v>910</v>
      </c>
      <c r="E26" s="4" t="s">
        <v>98</v>
      </c>
      <c r="F26" s="8" t="s">
        <v>98</v>
      </c>
      <c r="G26" s="4">
        <v>1</v>
      </c>
      <c r="H26" s="8">
        <v>120.96</v>
      </c>
      <c r="I26" s="7" t="s">
        <v>98</v>
      </c>
      <c r="J26" s="7" t="s">
        <v>98</v>
      </c>
      <c r="K26" s="4"/>
      <c r="L26" s="8"/>
      <c r="M26" s="4"/>
      <c r="N26" s="8"/>
      <c r="O26" s="7"/>
      <c r="P26" s="7"/>
    </row>
    <row r="27">
      <c r="A27" s="2" t="s">
        <v>87</v>
      </c>
      <c r="B27" s="2" t="s">
        <v>1069</v>
      </c>
      <c r="C27" s="2" t="s">
        <v>89</v>
      </c>
      <c r="D27" s="2" t="s">
        <v>89</v>
      </c>
      <c r="E27" s="4" t="s">
        <v>98</v>
      </c>
      <c r="F27" s="8" t="s">
        <v>98</v>
      </c>
      <c r="G27" s="4" t="s">
        <v>98</v>
      </c>
      <c r="H27" s="8" t="s">
        <v>98</v>
      </c>
      <c r="I27" s="7" t="s">
        <v>98</v>
      </c>
      <c r="J27" s="7" t="s">
        <v>98</v>
      </c>
      <c r="K27" s="4"/>
      <c r="L27" s="8"/>
      <c r="M27" s="4">
        <v>1</v>
      </c>
      <c r="N27" s="8">
        <v>120.96</v>
      </c>
      <c r="O27" s="7"/>
      <c r="P27" s="7"/>
    </row>
    <row r="28">
      <c r="A28" s="2" t="s">
        <v>87</v>
      </c>
      <c r="B28" s="2" t="s">
        <v>1069</v>
      </c>
      <c r="C28" s="2" t="s">
        <v>525</v>
      </c>
      <c r="D28" s="2" t="s">
        <v>326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87</v>
      </c>
      <c r="B29" s="2" t="s">
        <v>1069</v>
      </c>
      <c r="C29" s="2" t="s">
        <v>392</v>
      </c>
      <c r="D29" s="2" t="s">
        <v>393</v>
      </c>
      <c r="E29" s="4" t="s">
        <v>98</v>
      </c>
      <c r="F29" s="8" t="s">
        <v>98</v>
      </c>
      <c r="G29" s="4" t="s">
        <v>98</v>
      </c>
      <c r="H29" s="8" t="s">
        <v>98</v>
      </c>
      <c r="I29" s="7" t="s">
        <v>98</v>
      </c>
      <c r="J29" s="7" t="s">
        <v>98</v>
      </c>
      <c r="K29" s="4"/>
      <c r="L29" s="8"/>
      <c r="M29" s="4"/>
      <c r="N29" s="8"/>
      <c r="O29" s="7"/>
      <c r="P29" s="7"/>
    </row>
    <row r="30">
      <c r="A30" s="2" t="s">
        <v>87</v>
      </c>
      <c r="B30" s="2" t="s">
        <v>1069</v>
      </c>
      <c r="C30" s="2" t="s">
        <v>392</v>
      </c>
      <c r="D30" s="2" t="s">
        <v>417</v>
      </c>
      <c r="E30" s="4" t="s">
        <v>98</v>
      </c>
      <c r="F30" s="8" t="s">
        <v>98</v>
      </c>
      <c r="G30" s="4" t="s">
        <v>98</v>
      </c>
      <c r="H30" s="8" t="s">
        <v>98</v>
      </c>
      <c r="I30" s="7" t="s">
        <v>98</v>
      </c>
      <c r="J30" s="7" t="s">
        <v>98</v>
      </c>
      <c r="K30" s="4"/>
      <c r="L30" s="8"/>
      <c r="M30" s="4"/>
      <c r="N30" s="8"/>
      <c r="O30" s="7"/>
      <c r="P30" s="7"/>
    </row>
    <row r="31">
      <c r="A31" s="2" t="s">
        <v>87</v>
      </c>
      <c r="B31" s="2" t="s">
        <v>1155</v>
      </c>
      <c r="C31" s="2" t="s">
        <v>910</v>
      </c>
      <c r="D31" s="2" t="s">
        <v>910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87</v>
      </c>
      <c r="B32" s="2" t="s">
        <v>1155</v>
      </c>
      <c r="C32" s="2" t="s">
        <v>89</v>
      </c>
      <c r="D32" s="2" t="s">
        <v>89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87</v>
      </c>
      <c r="B33" s="2" t="s">
        <v>1155</v>
      </c>
      <c r="C33" s="2" t="s">
        <v>525</v>
      </c>
      <c r="D33" s="2" t="s">
        <v>525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87</v>
      </c>
      <c r="B34" s="2" t="s">
        <v>1178</v>
      </c>
      <c r="C34" s="2" t="s">
        <v>89</v>
      </c>
      <c r="D34" s="2" t="s">
        <v>89</v>
      </c>
      <c r="E34" s="4" t="s">
        <v>98</v>
      </c>
      <c r="F34" s="8" t="s">
        <v>98</v>
      </c>
      <c r="G34" s="4" t="s">
        <v>98</v>
      </c>
      <c r="H34" s="8" t="s">
        <v>98</v>
      </c>
      <c r="I34" s="7" t="s">
        <v>98</v>
      </c>
      <c r="J34" s="7" t="s">
        <v>98</v>
      </c>
      <c r="K34" s="4"/>
      <c r="L34" s="8"/>
      <c r="M34" s="4"/>
      <c r="N34" s="8"/>
      <c r="O34" s="7"/>
      <c r="P34" s="7"/>
    </row>
    <row r="35">
      <c r="A35" s="2" t="s">
        <v>87</v>
      </c>
      <c r="B35" s="2" t="s">
        <v>1178</v>
      </c>
      <c r="C35" s="2" t="s">
        <v>89</v>
      </c>
      <c r="D35" s="2" t="s">
        <v>326</v>
      </c>
      <c r="E35" s="4" t="s">
        <v>98</v>
      </c>
      <c r="F35" s="8" t="s">
        <v>98</v>
      </c>
      <c r="G35" s="4" t="s">
        <v>98</v>
      </c>
      <c r="H35" s="8" t="s">
        <v>98</v>
      </c>
      <c r="I35" s="7" t="s">
        <v>98</v>
      </c>
      <c r="J35" s="7" t="s">
        <v>98</v>
      </c>
      <c r="K35" s="4"/>
      <c r="L35" s="8"/>
      <c r="M35" s="4"/>
      <c r="N35" s="8"/>
      <c r="O35" s="7"/>
      <c r="P35" s="7"/>
    </row>
    <row r="36">
      <c r="A36" s="2" t="s">
        <v>87</v>
      </c>
      <c r="B36" s="2" t="s">
        <v>1178</v>
      </c>
      <c r="C36" s="2" t="s">
        <v>89</v>
      </c>
      <c r="D36" s="2" t="s">
        <v>90</v>
      </c>
      <c r="E36" s="4" t="s">
        <v>98</v>
      </c>
      <c r="F36" s="8" t="s">
        <v>98</v>
      </c>
      <c r="G36" s="4" t="s">
        <v>98</v>
      </c>
      <c r="H36" s="8" t="s">
        <v>98</v>
      </c>
      <c r="I36" s="7" t="s">
        <v>98</v>
      </c>
      <c r="J36" s="7" t="s">
        <v>98</v>
      </c>
      <c r="K36" s="4"/>
      <c r="L36" s="8"/>
      <c r="M36" s="4"/>
      <c r="N36" s="8"/>
      <c r="O36" s="7"/>
      <c r="P36" s="7"/>
    </row>
    <row r="37">
      <c r="A37" s="2" t="s">
        <v>87</v>
      </c>
      <c r="B37" s="2" t="s">
        <v>1178</v>
      </c>
      <c r="C37" s="2" t="s">
        <v>525</v>
      </c>
      <c r="D37" s="2" t="s">
        <v>525</v>
      </c>
      <c r="E37" s="4" t="s">
        <v>98</v>
      </c>
      <c r="F37" s="8" t="s">
        <v>98</v>
      </c>
      <c r="G37" s="4" t="s">
        <v>98</v>
      </c>
      <c r="H37" s="8" t="s">
        <v>98</v>
      </c>
      <c r="I37" s="7" t="s">
        <v>98</v>
      </c>
      <c r="J37" s="7" t="s">
        <v>98</v>
      </c>
      <c r="K37" s="4"/>
      <c r="L37" s="8"/>
      <c r="M37" s="4"/>
      <c r="N37" s="8"/>
      <c r="O37" s="7"/>
      <c r="P37" s="7"/>
    </row>
    <row r="38">
      <c r="A38" s="2" t="s">
        <v>87</v>
      </c>
      <c r="B38" s="2" t="s">
        <v>1178</v>
      </c>
      <c r="C38" s="2" t="s">
        <v>525</v>
      </c>
      <c r="D38" s="2" t="s">
        <v>326</v>
      </c>
      <c r="E38" s="4" t="s">
        <v>98</v>
      </c>
      <c r="F38" s="8" t="s">
        <v>98</v>
      </c>
      <c r="G38" s="4" t="s">
        <v>98</v>
      </c>
      <c r="H38" s="8" t="s">
        <v>98</v>
      </c>
      <c r="I38" s="7" t="s">
        <v>98</v>
      </c>
      <c r="J38" s="7" t="s">
        <v>98</v>
      </c>
      <c r="K38" s="4"/>
      <c r="L38" s="8"/>
      <c r="M38" s="4"/>
      <c r="N38" s="8"/>
      <c r="O38" s="7"/>
      <c r="P38" s="7"/>
    </row>
    <row r="39">
      <c r="A39" s="2" t="s">
        <v>87</v>
      </c>
      <c r="B39" s="2" t="s">
        <v>1178</v>
      </c>
      <c r="C39" s="2" t="s">
        <v>392</v>
      </c>
      <c r="D39" s="2" t="s">
        <v>393</v>
      </c>
      <c r="E39" s="4" t="s">
        <v>98</v>
      </c>
      <c r="F39" s="8" t="s">
        <v>98</v>
      </c>
      <c r="G39" s="4" t="s">
        <v>98</v>
      </c>
      <c r="H39" s="8" t="s">
        <v>98</v>
      </c>
      <c r="I39" s="7" t="s">
        <v>98</v>
      </c>
      <c r="J39" s="7" t="s">
        <v>98</v>
      </c>
      <c r="K39" s="4"/>
      <c r="L39" s="8"/>
      <c r="M39" s="4"/>
      <c r="N39" s="8"/>
      <c r="O39" s="7"/>
      <c r="P39" s="7"/>
    </row>
    <row r="40">
      <c r="A40" s="2" t="s">
        <v>87</v>
      </c>
      <c r="B40" s="2" t="s">
        <v>1178</v>
      </c>
      <c r="C40" s="2" t="s">
        <v>392</v>
      </c>
      <c r="D40" s="2" t="s">
        <v>417</v>
      </c>
      <c r="E40" s="4" t="s">
        <v>98</v>
      </c>
      <c r="F40" s="8" t="s">
        <v>98</v>
      </c>
      <c r="G40" s="4" t="s">
        <v>98</v>
      </c>
      <c r="H40" s="8" t="s">
        <v>98</v>
      </c>
      <c r="I40" s="7" t="s">
        <v>98</v>
      </c>
      <c r="J40" s="7" t="s">
        <v>98</v>
      </c>
      <c r="K40" s="4"/>
      <c r="L40" s="8"/>
      <c r="M40" s="4"/>
      <c r="N40" s="8"/>
      <c r="O40" s="7"/>
      <c r="P40" s="7"/>
    </row>
    <row r="41">
      <c r="A41" s="2" t="s">
        <v>87</v>
      </c>
      <c r="B41" s="2" t="s">
        <v>1178</v>
      </c>
      <c r="C41" s="2" t="s">
        <v>326</v>
      </c>
      <c r="D41" s="2" t="s">
        <v>326</v>
      </c>
      <c r="E41" s="4" t="s">
        <v>98</v>
      </c>
      <c r="F41" s="8" t="s">
        <v>98</v>
      </c>
      <c r="G41" s="4">
        <v>1</v>
      </c>
      <c r="H41" s="8">
        <v>22.08</v>
      </c>
      <c r="I41" s="7" t="s">
        <v>98</v>
      </c>
      <c r="J41" s="7" t="s">
        <v>98</v>
      </c>
      <c r="K41" s="4"/>
      <c r="L41" s="8"/>
      <c r="M41" s="4">
        <v>1</v>
      </c>
      <c r="N41" s="8">
        <v>22.08</v>
      </c>
      <c r="O41" s="7"/>
      <c r="P41" s="7"/>
    </row>
    <row r="42">
      <c r="A42" s="2" t="s">
        <v>87</v>
      </c>
      <c r="B42" s="2" t="s">
        <v>1178</v>
      </c>
      <c r="C42" s="2" t="s">
        <v>326</v>
      </c>
      <c r="D42" s="2" t="s">
        <v>90</v>
      </c>
      <c r="E42" s="4" t="s">
        <v>98</v>
      </c>
      <c r="F42" s="8" t="s">
        <v>98</v>
      </c>
      <c r="G42" s="4" t="s">
        <v>98</v>
      </c>
      <c r="H42" s="8" t="s">
        <v>98</v>
      </c>
      <c r="I42" s="7" t="s">
        <v>98</v>
      </c>
      <c r="J42" s="7" t="s">
        <v>98</v>
      </c>
      <c r="K42" s="4"/>
      <c r="L42" s="8"/>
      <c r="M42" s="4"/>
      <c r="N42" s="8"/>
      <c r="O42" s="7"/>
      <c r="P42" s="7"/>
    </row>
    <row r="43">
      <c r="A43" s="2" t="s">
        <v>87</v>
      </c>
      <c r="B43" s="2" t="s">
        <v>1315</v>
      </c>
      <c r="C43" s="2" t="s">
        <v>525</v>
      </c>
      <c r="D43" s="2" t="s">
        <v>525</v>
      </c>
      <c r="E43" s="4" t="s">
        <v>98</v>
      </c>
      <c r="F43" s="8" t="s">
        <v>98</v>
      </c>
      <c r="G43" s="4" t="s">
        <v>98</v>
      </c>
      <c r="H43" s="8" t="s">
        <v>98</v>
      </c>
      <c r="I43" s="7" t="s">
        <v>98</v>
      </c>
      <c r="J43" s="7" t="s">
        <v>98</v>
      </c>
      <c r="K43" s="4"/>
      <c r="L43" s="8"/>
      <c r="M43" s="4"/>
      <c r="N43" s="8"/>
      <c r="O43" s="7"/>
      <c r="P43" s="7"/>
    </row>
    <row r="44">
      <c r="A44" s="2" t="s">
        <v>87</v>
      </c>
      <c r="B44" s="2" t="s">
        <v>1315</v>
      </c>
      <c r="C44" s="2" t="s">
        <v>525</v>
      </c>
      <c r="D44" s="2" t="s">
        <v>326</v>
      </c>
      <c r="E44" s="4" t="s">
        <v>98</v>
      </c>
      <c r="F44" s="8" t="s">
        <v>98</v>
      </c>
      <c r="G44" s="4" t="s">
        <v>98</v>
      </c>
      <c r="H44" s="8" t="s">
        <v>98</v>
      </c>
      <c r="I44" s="7" t="s">
        <v>98</v>
      </c>
      <c r="J44" s="7" t="s">
        <v>98</v>
      </c>
      <c r="K44" s="4"/>
      <c r="L44" s="8"/>
      <c r="M44" s="4"/>
      <c r="N44" s="8"/>
      <c r="O44" s="7"/>
      <c r="P44" s="7"/>
    </row>
    <row r="45">
      <c r="A45" s="2" t="s">
        <v>87</v>
      </c>
      <c r="B45" s="2" t="s">
        <v>1315</v>
      </c>
      <c r="C45" s="2" t="s">
        <v>326</v>
      </c>
      <c r="D45" s="2" t="s">
        <v>326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1345</v>
      </c>
      <c r="B46" s="2" t="s">
        <v>88</v>
      </c>
      <c r="C46" s="2" t="s">
        <v>1346</v>
      </c>
      <c r="D46" s="2" t="s">
        <v>1347</v>
      </c>
      <c r="E46" s="4">
        <v>27</v>
      </c>
      <c r="F46" s="8">
        <v>5333.56</v>
      </c>
      <c r="G46" s="4">
        <v>60</v>
      </c>
      <c r="H46" s="8">
        <v>10792.19</v>
      </c>
      <c r="I46" s="7">
        <v>-0.55</v>
      </c>
      <c r="J46" s="7">
        <v>-0.5058</v>
      </c>
      <c r="K46" s="4">
        <v>27</v>
      </c>
      <c r="L46" s="8">
        <v>5333.56</v>
      </c>
      <c r="M46" s="4">
        <v>60</v>
      </c>
      <c r="N46" s="8">
        <v>10792.19</v>
      </c>
      <c r="O46" s="7">
        <v>-0.55</v>
      </c>
      <c r="P46" s="7">
        <v>-0.5058</v>
      </c>
    </row>
    <row r="47">
      <c r="A47" s="2" t="s">
        <v>1345</v>
      </c>
      <c r="B47" s="2" t="s">
        <v>88</v>
      </c>
      <c r="C47" s="2" t="s">
        <v>1346</v>
      </c>
      <c r="D47" s="2" t="s">
        <v>1876</v>
      </c>
      <c r="E47" s="4" t="s">
        <v>98</v>
      </c>
      <c r="F47" s="8" t="s">
        <v>98</v>
      </c>
      <c r="G47" s="4" t="s">
        <v>98</v>
      </c>
      <c r="H47" s="8" t="s">
        <v>98</v>
      </c>
      <c r="I47" s="7" t="s">
        <v>98</v>
      </c>
      <c r="J47" s="7" t="s">
        <v>98</v>
      </c>
      <c r="K47" s="4"/>
      <c r="L47" s="8"/>
      <c r="M47" s="4"/>
      <c r="N47" s="8"/>
      <c r="O47" s="7"/>
      <c r="P47" s="7"/>
    </row>
    <row r="48">
      <c r="A48" s="2" t="s">
        <v>1345</v>
      </c>
      <c r="B48" s="2" t="s">
        <v>88</v>
      </c>
      <c r="C48" s="2" t="s">
        <v>1346</v>
      </c>
      <c r="D48" s="2" t="s">
        <v>1893</v>
      </c>
      <c r="E48" s="4" t="s">
        <v>98</v>
      </c>
      <c r="F48" s="8" t="s">
        <v>98</v>
      </c>
      <c r="G48" s="4" t="s">
        <v>98</v>
      </c>
      <c r="H48" s="8" t="s">
        <v>98</v>
      </c>
      <c r="I48" s="7" t="s">
        <v>98</v>
      </c>
      <c r="J48" s="7" t="s">
        <v>98</v>
      </c>
      <c r="K48" s="4"/>
      <c r="L48" s="8"/>
      <c r="M48" s="4"/>
      <c r="N48" s="8"/>
      <c r="O48" s="7"/>
      <c r="P48" s="7"/>
    </row>
    <row r="49">
      <c r="A49" s="2" t="s">
        <v>1345</v>
      </c>
      <c r="B49" s="2" t="s">
        <v>88</v>
      </c>
      <c r="C49" s="2" t="s">
        <v>1346</v>
      </c>
      <c r="D49" s="2" t="s">
        <v>1934</v>
      </c>
      <c r="E49" s="4" t="s">
        <v>98</v>
      </c>
      <c r="F49" s="8" t="s">
        <v>98</v>
      </c>
      <c r="G49" s="4" t="s">
        <v>98</v>
      </c>
      <c r="H49" s="8" t="s">
        <v>98</v>
      </c>
      <c r="I49" s="7" t="s">
        <v>98</v>
      </c>
      <c r="J49" s="7" t="s">
        <v>98</v>
      </c>
      <c r="K49" s="4"/>
      <c r="L49" s="8"/>
      <c r="M49" s="4"/>
      <c r="N49" s="8"/>
      <c r="O49" s="7"/>
      <c r="P49" s="7"/>
    </row>
    <row r="50">
      <c r="A50" s="2" t="s">
        <v>1345</v>
      </c>
      <c r="B50" s="2" t="s">
        <v>88</v>
      </c>
      <c r="C50" s="2" t="s">
        <v>1946</v>
      </c>
      <c r="D50" s="2" t="s">
        <v>1947</v>
      </c>
      <c r="E50" s="4">
        <v>13</v>
      </c>
      <c r="F50" s="8">
        <v>2846.2</v>
      </c>
      <c r="G50" s="4">
        <v>11</v>
      </c>
      <c r="H50" s="8">
        <v>2574.53</v>
      </c>
      <c r="I50" s="7">
        <v>0.1818</v>
      </c>
      <c r="J50" s="7">
        <v>0.1055</v>
      </c>
      <c r="K50" s="4">
        <v>6</v>
      </c>
      <c r="L50" s="8">
        <v>1243.5</v>
      </c>
      <c r="M50" s="4">
        <v>8</v>
      </c>
      <c r="N50" s="8">
        <v>1846.08</v>
      </c>
      <c r="O50" s="7">
        <v>-0.25</v>
      </c>
      <c r="P50" s="7">
        <v>-0.3264</v>
      </c>
    </row>
    <row r="51">
      <c r="A51" s="2" t="s">
        <v>1345</v>
      </c>
      <c r="B51" s="2" t="s">
        <v>88</v>
      </c>
      <c r="C51" s="2" t="s">
        <v>1946</v>
      </c>
      <c r="D51" s="2" t="s">
        <v>2089</v>
      </c>
      <c r="E51" s="4" t="s">
        <v>98</v>
      </c>
      <c r="F51" s="8" t="s">
        <v>98</v>
      </c>
      <c r="G51" s="4" t="s">
        <v>98</v>
      </c>
      <c r="H51" s="8" t="s">
        <v>98</v>
      </c>
      <c r="I51" s="7" t="s">
        <v>98</v>
      </c>
      <c r="J51" s="7" t="s">
        <v>98</v>
      </c>
      <c r="K51" s="4">
        <v>5</v>
      </c>
      <c r="L51" s="8">
        <v>1121.35</v>
      </c>
      <c r="M51" s="4"/>
      <c r="N51" s="8"/>
      <c r="O51" s="7"/>
      <c r="P51" s="7"/>
    </row>
    <row r="52">
      <c r="A52" s="2" t="s">
        <v>1345</v>
      </c>
      <c r="B52" s="2" t="s">
        <v>88</v>
      </c>
      <c r="C52" s="2" t="s">
        <v>1946</v>
      </c>
      <c r="D52" s="2" t="s">
        <v>2142</v>
      </c>
      <c r="E52" s="4" t="s">
        <v>98</v>
      </c>
      <c r="F52" s="8" t="s">
        <v>98</v>
      </c>
      <c r="G52" s="4" t="s">
        <v>98</v>
      </c>
      <c r="H52" s="8" t="s">
        <v>98</v>
      </c>
      <c r="I52" s="7" t="s">
        <v>98</v>
      </c>
      <c r="J52" s="7" t="s">
        <v>98</v>
      </c>
      <c r="K52" s="4">
        <v>2</v>
      </c>
      <c r="L52" s="8">
        <v>481.35</v>
      </c>
      <c r="M52" s="4">
        <v>3</v>
      </c>
      <c r="N52" s="8">
        <v>728.45</v>
      </c>
      <c r="O52" s="7">
        <v>-0.3333</v>
      </c>
      <c r="P52" s="7">
        <v>-0.3392</v>
      </c>
    </row>
    <row r="53">
      <c r="A53" s="2" t="s">
        <v>1345</v>
      </c>
      <c r="B53" s="2" t="s">
        <v>88</v>
      </c>
      <c r="C53" s="2" t="s">
        <v>2205</v>
      </c>
      <c r="D53" s="2" t="s">
        <v>1876</v>
      </c>
      <c r="E53" s="4">
        <v>8</v>
      </c>
      <c r="F53" s="8">
        <v>1757.48</v>
      </c>
      <c r="G53" s="4">
        <v>5</v>
      </c>
      <c r="H53" s="8">
        <v>1259.07</v>
      </c>
      <c r="I53" s="7">
        <v>0.6</v>
      </c>
      <c r="J53" s="7">
        <v>0.3959</v>
      </c>
      <c r="K53" s="4">
        <v>8</v>
      </c>
      <c r="L53" s="8">
        <v>1757.48</v>
      </c>
      <c r="M53" s="4">
        <v>5</v>
      </c>
      <c r="N53" s="8">
        <v>1259.07</v>
      </c>
      <c r="O53" s="7">
        <v>0.6</v>
      </c>
      <c r="P53" s="7">
        <v>0.3959</v>
      </c>
    </row>
    <row r="54">
      <c r="A54" s="2" t="s">
        <v>1345</v>
      </c>
      <c r="B54" s="2" t="s">
        <v>88</v>
      </c>
      <c r="C54" s="2" t="s">
        <v>2205</v>
      </c>
      <c r="D54" s="2" t="s">
        <v>2205</v>
      </c>
      <c r="E54" s="4" t="s">
        <v>98</v>
      </c>
      <c r="F54" s="8" t="s">
        <v>98</v>
      </c>
      <c r="G54" s="4" t="s">
        <v>98</v>
      </c>
      <c r="H54" s="8" t="s">
        <v>98</v>
      </c>
      <c r="I54" s="7" t="s">
        <v>98</v>
      </c>
      <c r="J54" s="7" t="s">
        <v>98</v>
      </c>
      <c r="K54" s="4"/>
      <c r="L54" s="8"/>
      <c r="M54" s="4"/>
      <c r="N54" s="8"/>
      <c r="O54" s="7"/>
      <c r="P54" s="7"/>
    </row>
    <row r="55">
      <c r="A55" s="2" t="s">
        <v>1345</v>
      </c>
      <c r="B55" s="2" t="s">
        <v>88</v>
      </c>
      <c r="C55" s="2" t="s">
        <v>2390</v>
      </c>
      <c r="D55" s="2" t="s">
        <v>2391</v>
      </c>
      <c r="E55" s="4">
        <v>11</v>
      </c>
      <c r="F55" s="8">
        <v>1515.39</v>
      </c>
      <c r="G55" s="4">
        <v>25</v>
      </c>
      <c r="H55" s="8">
        <v>2762.33</v>
      </c>
      <c r="I55" s="7">
        <v>-0.56</v>
      </c>
      <c r="J55" s="7">
        <v>-0.4514</v>
      </c>
      <c r="K55" s="4">
        <v>11</v>
      </c>
      <c r="L55" s="8">
        <v>1515.39</v>
      </c>
      <c r="M55" s="4">
        <v>12</v>
      </c>
      <c r="N55" s="8">
        <v>1338.57</v>
      </c>
      <c r="O55" s="7">
        <v>-0.0833</v>
      </c>
      <c r="P55" s="7">
        <v>0.1321</v>
      </c>
    </row>
    <row r="56">
      <c r="A56" s="2" t="s">
        <v>1345</v>
      </c>
      <c r="B56" s="2" t="s">
        <v>88</v>
      </c>
      <c r="C56" s="2" t="s">
        <v>2390</v>
      </c>
      <c r="D56" s="2" t="s">
        <v>2390</v>
      </c>
      <c r="E56" s="4" t="s">
        <v>98</v>
      </c>
      <c r="F56" s="8" t="s">
        <v>98</v>
      </c>
      <c r="G56" s="4" t="s">
        <v>98</v>
      </c>
      <c r="H56" s="8" t="s">
        <v>98</v>
      </c>
      <c r="I56" s="7" t="s">
        <v>98</v>
      </c>
      <c r="J56" s="7" t="s">
        <v>98</v>
      </c>
      <c r="K56" s="4"/>
      <c r="L56" s="8"/>
      <c r="M56" s="4">
        <v>13</v>
      </c>
      <c r="N56" s="8">
        <v>1423.76</v>
      </c>
      <c r="O56" s="7"/>
      <c r="P56" s="7"/>
    </row>
    <row r="57">
      <c r="A57" s="2" t="s">
        <v>1345</v>
      </c>
      <c r="B57" s="2" t="s">
        <v>88</v>
      </c>
      <c r="C57" s="2" t="s">
        <v>2700</v>
      </c>
      <c r="D57" s="2" t="s">
        <v>2700</v>
      </c>
      <c r="E57" s="4">
        <v>5</v>
      </c>
      <c r="F57" s="8">
        <v>1486.95</v>
      </c>
      <c r="G57" s="4">
        <v>3</v>
      </c>
      <c r="H57" s="8">
        <v>986.91</v>
      </c>
      <c r="I57" s="7">
        <v>0.6667</v>
      </c>
      <c r="J57" s="7">
        <v>0.5067</v>
      </c>
      <c r="K57" s="4">
        <v>5</v>
      </c>
      <c r="L57" s="8">
        <v>1486.95</v>
      </c>
      <c r="M57" s="4">
        <v>3</v>
      </c>
      <c r="N57" s="8">
        <v>986.91</v>
      </c>
      <c r="O57" s="7">
        <v>0.6667</v>
      </c>
      <c r="P57" s="7">
        <v>0.5067</v>
      </c>
    </row>
    <row r="58">
      <c r="A58" s="2" t="s">
        <v>1345</v>
      </c>
      <c r="B58" s="2" t="s">
        <v>88</v>
      </c>
      <c r="C58" s="2" t="s">
        <v>2728</v>
      </c>
      <c r="D58" s="2" t="s">
        <v>2729</v>
      </c>
      <c r="E58" s="4">
        <v>10</v>
      </c>
      <c r="F58" s="8">
        <v>1417.42</v>
      </c>
      <c r="G58" s="4">
        <v>19</v>
      </c>
      <c r="H58" s="8">
        <v>2202.44</v>
      </c>
      <c r="I58" s="7">
        <v>-0.4737</v>
      </c>
      <c r="J58" s="7">
        <v>-0.3564</v>
      </c>
      <c r="K58" s="4">
        <v>5</v>
      </c>
      <c r="L58" s="8">
        <v>900.88</v>
      </c>
      <c r="M58" s="4">
        <v>7</v>
      </c>
      <c r="N58" s="8">
        <v>1119.07</v>
      </c>
      <c r="O58" s="7">
        <v>-0.2857</v>
      </c>
      <c r="P58" s="7">
        <v>-0.195</v>
      </c>
    </row>
    <row r="59">
      <c r="A59" s="2" t="s">
        <v>1345</v>
      </c>
      <c r="B59" s="2" t="s">
        <v>88</v>
      </c>
      <c r="C59" s="2" t="s">
        <v>2728</v>
      </c>
      <c r="D59" s="2" t="s">
        <v>2775</v>
      </c>
      <c r="E59" s="4" t="s">
        <v>98</v>
      </c>
      <c r="F59" s="8" t="s">
        <v>98</v>
      </c>
      <c r="G59" s="4" t="s">
        <v>98</v>
      </c>
      <c r="H59" s="8" t="s">
        <v>98</v>
      </c>
      <c r="I59" s="7" t="s">
        <v>98</v>
      </c>
      <c r="J59" s="7" t="s">
        <v>98</v>
      </c>
      <c r="K59" s="4">
        <v>3</v>
      </c>
      <c r="L59" s="8">
        <v>289.18</v>
      </c>
      <c r="M59" s="4">
        <v>9</v>
      </c>
      <c r="N59" s="8">
        <v>744.2</v>
      </c>
      <c r="O59" s="7">
        <v>-0.6667</v>
      </c>
      <c r="P59" s="7">
        <v>-0.6114</v>
      </c>
    </row>
    <row r="60">
      <c r="A60" s="2" t="s">
        <v>1345</v>
      </c>
      <c r="B60" s="2" t="s">
        <v>88</v>
      </c>
      <c r="C60" s="2" t="s">
        <v>2728</v>
      </c>
      <c r="D60" s="2" t="s">
        <v>2789</v>
      </c>
      <c r="E60" s="4" t="s">
        <v>98</v>
      </c>
      <c r="F60" s="8" t="s">
        <v>98</v>
      </c>
      <c r="G60" s="4" t="s">
        <v>98</v>
      </c>
      <c r="H60" s="8" t="s">
        <v>98</v>
      </c>
      <c r="I60" s="7" t="s">
        <v>98</v>
      </c>
      <c r="J60" s="7" t="s">
        <v>98</v>
      </c>
      <c r="K60" s="4">
        <v>2</v>
      </c>
      <c r="L60" s="8">
        <v>227.36</v>
      </c>
      <c r="M60" s="4">
        <v>1</v>
      </c>
      <c r="N60" s="8">
        <v>109.17</v>
      </c>
      <c r="O60" s="7">
        <v>1</v>
      </c>
      <c r="P60" s="7">
        <v>1.0826</v>
      </c>
    </row>
    <row r="61">
      <c r="A61" s="2" t="s">
        <v>1345</v>
      </c>
      <c r="B61" s="2" t="s">
        <v>88</v>
      </c>
      <c r="C61" s="2" t="s">
        <v>2728</v>
      </c>
      <c r="D61" s="2" t="s">
        <v>2799</v>
      </c>
      <c r="E61" s="4" t="s">
        <v>98</v>
      </c>
      <c r="F61" s="8" t="s">
        <v>98</v>
      </c>
      <c r="G61" s="4" t="s">
        <v>98</v>
      </c>
      <c r="H61" s="8" t="s">
        <v>98</v>
      </c>
      <c r="I61" s="7" t="s">
        <v>98</v>
      </c>
      <c r="J61" s="7" t="s">
        <v>98</v>
      </c>
      <c r="K61" s="4"/>
      <c r="L61" s="8"/>
      <c r="M61" s="4">
        <v>2</v>
      </c>
      <c r="N61" s="8">
        <v>230</v>
      </c>
      <c r="O61" s="7"/>
      <c r="P61" s="7"/>
    </row>
    <row r="62">
      <c r="A62" s="2" t="s">
        <v>1345</v>
      </c>
      <c r="B62" s="2" t="s">
        <v>88</v>
      </c>
      <c r="C62" s="2" t="s">
        <v>2728</v>
      </c>
      <c r="D62" s="2" t="s">
        <v>2816</v>
      </c>
      <c r="E62" s="4" t="s">
        <v>98</v>
      </c>
      <c r="F62" s="8" t="s">
        <v>98</v>
      </c>
      <c r="G62" s="4" t="s">
        <v>98</v>
      </c>
      <c r="H62" s="8" t="s">
        <v>98</v>
      </c>
      <c r="I62" s="7" t="s">
        <v>98</v>
      </c>
      <c r="J62" s="7" t="s">
        <v>98</v>
      </c>
      <c r="K62" s="4"/>
      <c r="L62" s="8"/>
      <c r="M62" s="4"/>
      <c r="N62" s="8"/>
      <c r="O62" s="7"/>
      <c r="P62" s="7"/>
    </row>
    <row r="63">
      <c r="A63" s="2" t="s">
        <v>1345</v>
      </c>
      <c r="B63" s="2" t="s">
        <v>88</v>
      </c>
      <c r="C63" s="2" t="s">
        <v>2821</v>
      </c>
      <c r="D63" s="2" t="s">
        <v>2821</v>
      </c>
      <c r="E63" s="4">
        <v>8</v>
      </c>
      <c r="F63" s="8">
        <v>1012.98</v>
      </c>
      <c r="G63" s="4">
        <v>12</v>
      </c>
      <c r="H63" s="8">
        <v>1861.93</v>
      </c>
      <c r="I63" s="7">
        <v>-0.3333</v>
      </c>
      <c r="J63" s="7">
        <v>-0.456</v>
      </c>
      <c r="K63" s="4">
        <v>8</v>
      </c>
      <c r="L63" s="8">
        <v>1012.98</v>
      </c>
      <c r="M63" s="4">
        <v>12</v>
      </c>
      <c r="N63" s="8">
        <v>1861.93</v>
      </c>
      <c r="O63" s="7">
        <v>-0.3333</v>
      </c>
      <c r="P63" s="7">
        <v>-0.456</v>
      </c>
    </row>
    <row r="64">
      <c r="A64" s="2" t="s">
        <v>1345</v>
      </c>
      <c r="B64" s="2" t="s">
        <v>88</v>
      </c>
      <c r="C64" s="2" t="s">
        <v>2872</v>
      </c>
      <c r="D64" s="2" t="s">
        <v>2873</v>
      </c>
      <c r="E64" s="4">
        <v>3</v>
      </c>
      <c r="F64" s="8">
        <v>763.05</v>
      </c>
      <c r="G64" s="4" t="s">
        <v>98</v>
      </c>
      <c r="H64" s="8" t="s">
        <v>98</v>
      </c>
      <c r="I64" s="7" t="s">
        <v>98</v>
      </c>
      <c r="J64" s="7" t="s">
        <v>98</v>
      </c>
      <c r="K64" s="4">
        <v>2</v>
      </c>
      <c r="L64" s="8">
        <v>527.39</v>
      </c>
      <c r="M64" s="4"/>
      <c r="N64" s="8"/>
      <c r="O64" s="7"/>
      <c r="P64" s="7"/>
    </row>
    <row r="65">
      <c r="A65" s="2" t="s">
        <v>1345</v>
      </c>
      <c r="B65" s="2" t="s">
        <v>88</v>
      </c>
      <c r="C65" s="2" t="s">
        <v>2872</v>
      </c>
      <c r="D65" s="2" t="s">
        <v>1934</v>
      </c>
      <c r="E65" s="4" t="s">
        <v>98</v>
      </c>
      <c r="F65" s="8" t="s">
        <v>98</v>
      </c>
      <c r="G65" s="4" t="s">
        <v>98</v>
      </c>
      <c r="H65" s="8" t="s">
        <v>98</v>
      </c>
      <c r="I65" s="7" t="s">
        <v>98</v>
      </c>
      <c r="J65" s="7" t="s">
        <v>98</v>
      </c>
      <c r="K65" s="4">
        <v>1</v>
      </c>
      <c r="L65" s="8">
        <v>235.66</v>
      </c>
      <c r="M65" s="4"/>
      <c r="N65" s="8"/>
      <c r="O65" s="7"/>
      <c r="P65" s="7"/>
    </row>
    <row r="66">
      <c r="A66" s="2" t="s">
        <v>1345</v>
      </c>
      <c r="B66" s="2" t="s">
        <v>88</v>
      </c>
      <c r="C66" s="2" t="s">
        <v>2872</v>
      </c>
      <c r="D66" s="2" t="s">
        <v>2872</v>
      </c>
      <c r="E66" s="4" t="s">
        <v>98</v>
      </c>
      <c r="F66" s="8" t="s">
        <v>98</v>
      </c>
      <c r="G66" s="4" t="s">
        <v>98</v>
      </c>
      <c r="H66" s="8" t="s">
        <v>98</v>
      </c>
      <c r="I66" s="7" t="s">
        <v>98</v>
      </c>
      <c r="J66" s="7" t="s">
        <v>98</v>
      </c>
      <c r="K66" s="4"/>
      <c r="L66" s="8"/>
      <c r="M66" s="4"/>
      <c r="N66" s="8"/>
      <c r="O66" s="7"/>
      <c r="P66" s="7"/>
    </row>
    <row r="67">
      <c r="A67" s="2" t="s">
        <v>1345</v>
      </c>
      <c r="B67" s="2" t="s">
        <v>88</v>
      </c>
      <c r="C67" s="2" t="s">
        <v>2789</v>
      </c>
      <c r="D67" s="2" t="s">
        <v>2775</v>
      </c>
      <c r="E67" s="4">
        <v>9</v>
      </c>
      <c r="F67" s="8">
        <v>754.03</v>
      </c>
      <c r="G67" s="4">
        <v>4</v>
      </c>
      <c r="H67" s="8">
        <v>350.28</v>
      </c>
      <c r="I67" s="7">
        <v>1.25</v>
      </c>
      <c r="J67" s="7">
        <v>1.1526</v>
      </c>
      <c r="K67" s="4">
        <v>9</v>
      </c>
      <c r="L67" s="8">
        <v>754.03</v>
      </c>
      <c r="M67" s="4">
        <v>4</v>
      </c>
      <c r="N67" s="8">
        <v>350.28</v>
      </c>
      <c r="O67" s="7">
        <v>1.25</v>
      </c>
      <c r="P67" s="7">
        <v>1.1526</v>
      </c>
    </row>
    <row r="68">
      <c r="A68" s="2" t="s">
        <v>1345</v>
      </c>
      <c r="B68" s="2" t="s">
        <v>88</v>
      </c>
      <c r="C68" s="2" t="s">
        <v>2789</v>
      </c>
      <c r="D68" s="2" t="s">
        <v>2789</v>
      </c>
      <c r="E68" s="4" t="s">
        <v>98</v>
      </c>
      <c r="F68" s="8" t="s">
        <v>98</v>
      </c>
      <c r="G68" s="4" t="s">
        <v>98</v>
      </c>
      <c r="H68" s="8" t="s">
        <v>98</v>
      </c>
      <c r="I68" s="7" t="s">
        <v>98</v>
      </c>
      <c r="J68" s="7" t="s">
        <v>98</v>
      </c>
      <c r="K68" s="4"/>
      <c r="L68" s="8"/>
      <c r="M68" s="4"/>
      <c r="N68" s="8"/>
      <c r="O68" s="7"/>
      <c r="P68" s="7"/>
    </row>
    <row r="69">
      <c r="A69" s="2" t="s">
        <v>1345</v>
      </c>
      <c r="B69" s="2" t="s">
        <v>88</v>
      </c>
      <c r="C69" s="2" t="s">
        <v>3068</v>
      </c>
      <c r="D69" s="2" t="s">
        <v>3069</v>
      </c>
      <c r="E69" s="4">
        <v>6</v>
      </c>
      <c r="F69" s="8">
        <v>692.64</v>
      </c>
      <c r="G69" s="4">
        <v>44</v>
      </c>
      <c r="H69" s="8">
        <v>5170.9</v>
      </c>
      <c r="I69" s="7">
        <v>-0.8636</v>
      </c>
      <c r="J69" s="7">
        <v>-0.8661</v>
      </c>
      <c r="K69" s="4">
        <v>5</v>
      </c>
      <c r="L69" s="8">
        <v>561.66</v>
      </c>
      <c r="M69" s="4">
        <v>44</v>
      </c>
      <c r="N69" s="8">
        <v>5170.9</v>
      </c>
      <c r="O69" s="7">
        <v>-0.8864</v>
      </c>
      <c r="P69" s="7">
        <v>-0.8914</v>
      </c>
    </row>
    <row r="70">
      <c r="A70" s="2" t="s">
        <v>1345</v>
      </c>
      <c r="B70" s="2" t="s">
        <v>88</v>
      </c>
      <c r="C70" s="2" t="s">
        <v>3068</v>
      </c>
      <c r="D70" s="2" t="s">
        <v>3186</v>
      </c>
      <c r="E70" s="4" t="s">
        <v>98</v>
      </c>
      <c r="F70" s="8" t="s">
        <v>98</v>
      </c>
      <c r="G70" s="4" t="s">
        <v>98</v>
      </c>
      <c r="H70" s="8" t="s">
        <v>98</v>
      </c>
      <c r="I70" s="7" t="s">
        <v>98</v>
      </c>
      <c r="J70" s="7" t="s">
        <v>98</v>
      </c>
      <c r="K70" s="4">
        <v>1</v>
      </c>
      <c r="L70" s="8">
        <v>130.98</v>
      </c>
      <c r="M70" s="4"/>
      <c r="N70" s="8"/>
      <c r="O70" s="7"/>
      <c r="P70" s="7"/>
    </row>
    <row r="71">
      <c r="A71" s="2" t="s">
        <v>1345</v>
      </c>
      <c r="B71" s="2" t="s">
        <v>88</v>
      </c>
      <c r="C71" s="2" t="s">
        <v>3213</v>
      </c>
      <c r="D71" s="2" t="s">
        <v>3213</v>
      </c>
      <c r="E71" s="4">
        <v>2</v>
      </c>
      <c r="F71" s="8">
        <v>273.01</v>
      </c>
      <c r="G71" s="4">
        <v>11</v>
      </c>
      <c r="H71" s="8">
        <v>1578.21</v>
      </c>
      <c r="I71" s="7">
        <v>-0.8182</v>
      </c>
      <c r="J71" s="7">
        <v>-0.827</v>
      </c>
      <c r="K71" s="4">
        <v>2</v>
      </c>
      <c r="L71" s="8">
        <v>273.01</v>
      </c>
      <c r="M71" s="4">
        <v>11</v>
      </c>
      <c r="N71" s="8">
        <v>1578.21</v>
      </c>
      <c r="O71" s="7">
        <v>-0.8182</v>
      </c>
      <c r="P71" s="7">
        <v>-0.827</v>
      </c>
    </row>
    <row r="72">
      <c r="A72" s="2" t="s">
        <v>1345</v>
      </c>
      <c r="B72" s="2" t="s">
        <v>88</v>
      </c>
      <c r="C72" s="2" t="s">
        <v>3213</v>
      </c>
      <c r="D72" s="2" t="s">
        <v>2729</v>
      </c>
      <c r="E72" s="4" t="s">
        <v>98</v>
      </c>
      <c r="F72" s="8" t="s">
        <v>98</v>
      </c>
      <c r="G72" s="4" t="s">
        <v>98</v>
      </c>
      <c r="H72" s="8" t="s">
        <v>98</v>
      </c>
      <c r="I72" s="7" t="s">
        <v>98</v>
      </c>
      <c r="J72" s="7" t="s">
        <v>98</v>
      </c>
      <c r="K72" s="4"/>
      <c r="L72" s="8"/>
      <c r="M72" s="4"/>
      <c r="N72" s="8"/>
      <c r="O72" s="7"/>
      <c r="P72" s="7"/>
    </row>
    <row r="73">
      <c r="A73" s="2" t="s">
        <v>1345</v>
      </c>
      <c r="B73" s="2" t="s">
        <v>88</v>
      </c>
      <c r="C73" s="2" t="s">
        <v>3348</v>
      </c>
      <c r="D73" s="2" t="s">
        <v>3349</v>
      </c>
      <c r="E73" s="4">
        <v>1</v>
      </c>
      <c r="F73" s="8">
        <v>182.28</v>
      </c>
      <c r="G73" s="4"/>
      <c r="H73" s="8"/>
      <c r="I73" s="7"/>
      <c r="J73" s="7"/>
      <c r="K73" s="4">
        <v>1</v>
      </c>
      <c r="L73" s="8">
        <v>182.28</v>
      </c>
      <c r="M73" s="4"/>
      <c r="N73" s="8"/>
      <c r="O73" s="7"/>
      <c r="P73" s="7"/>
    </row>
    <row r="74">
      <c r="A74" s="2" t="s">
        <v>1345</v>
      </c>
      <c r="B74" s="2" t="s">
        <v>88</v>
      </c>
      <c r="C74" s="2" t="s">
        <v>3370</v>
      </c>
      <c r="D74" s="2" t="s">
        <v>3370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1345</v>
      </c>
      <c r="B75" s="2" t="s">
        <v>88</v>
      </c>
      <c r="C75" s="2" t="s">
        <v>3377</v>
      </c>
      <c r="D75" s="2" t="s">
        <v>3377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1345</v>
      </c>
      <c r="B76" s="2" t="s">
        <v>88</v>
      </c>
      <c r="C76" s="2" t="s">
        <v>3398</v>
      </c>
      <c r="D76" s="2" t="s">
        <v>3398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1345</v>
      </c>
      <c r="B77" s="2" t="s">
        <v>88</v>
      </c>
      <c r="C77" s="2" t="s">
        <v>3406</v>
      </c>
      <c r="D77" s="2" t="s">
        <v>3406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1345</v>
      </c>
      <c r="B78" s="2" t="s">
        <v>88</v>
      </c>
      <c r="C78" s="2" t="s">
        <v>3434</v>
      </c>
      <c r="D78" s="2" t="s">
        <v>3435</v>
      </c>
      <c r="E78" s="4"/>
      <c r="F78" s="8"/>
      <c r="G78" s="4">
        <v>2</v>
      </c>
      <c r="H78" s="8">
        <v>468.6</v>
      </c>
      <c r="I78" s="7"/>
      <c r="J78" s="7"/>
      <c r="K78" s="4"/>
      <c r="L78" s="8"/>
      <c r="M78" s="4">
        <v>2</v>
      </c>
      <c r="N78" s="8">
        <v>468.6</v>
      </c>
      <c r="O78" s="7"/>
      <c r="P78" s="7"/>
    </row>
    <row r="79">
      <c r="A79" s="2" t="s">
        <v>1345</v>
      </c>
      <c r="B79" s="2" t="s">
        <v>88</v>
      </c>
      <c r="C79" s="2" t="s">
        <v>3459</v>
      </c>
      <c r="D79" s="2" t="s">
        <v>3459</v>
      </c>
      <c r="E79" s="4"/>
      <c r="F79" s="8"/>
      <c r="G79" s="4">
        <v>1</v>
      </c>
      <c r="H79" s="8">
        <v>176.85</v>
      </c>
      <c r="I79" s="7"/>
      <c r="J79" s="7"/>
      <c r="K79" s="4"/>
      <c r="L79" s="8"/>
      <c r="M79" s="4">
        <v>1</v>
      </c>
      <c r="N79" s="8">
        <v>176.85</v>
      </c>
      <c r="O79" s="7"/>
      <c r="P79" s="7"/>
    </row>
    <row r="80">
      <c r="A80" s="2" t="s">
        <v>1345</v>
      </c>
      <c r="B80" s="2" t="s">
        <v>952</v>
      </c>
      <c r="C80" s="2" t="s">
        <v>1346</v>
      </c>
      <c r="D80" s="2" t="s">
        <v>1347</v>
      </c>
      <c r="E80" s="4">
        <v>15</v>
      </c>
      <c r="F80" s="8">
        <v>2691.32</v>
      </c>
      <c r="G80" s="4">
        <v>29</v>
      </c>
      <c r="H80" s="8">
        <v>5977.17</v>
      </c>
      <c r="I80" s="7">
        <v>-0.4828</v>
      </c>
      <c r="J80" s="7">
        <v>-0.5497</v>
      </c>
      <c r="K80" s="4">
        <v>15</v>
      </c>
      <c r="L80" s="8">
        <v>2691.32</v>
      </c>
      <c r="M80" s="4">
        <v>29</v>
      </c>
      <c r="N80" s="8">
        <v>5977.17</v>
      </c>
      <c r="O80" s="7">
        <v>-0.4828</v>
      </c>
      <c r="P80" s="7">
        <v>-0.5497</v>
      </c>
    </row>
    <row r="81">
      <c r="A81" s="2" t="s">
        <v>1345</v>
      </c>
      <c r="B81" s="2" t="s">
        <v>952</v>
      </c>
      <c r="C81" s="2" t="s">
        <v>1346</v>
      </c>
      <c r="D81" s="2" t="s">
        <v>1346</v>
      </c>
      <c r="E81" s="4" t="s">
        <v>98</v>
      </c>
      <c r="F81" s="8" t="s">
        <v>98</v>
      </c>
      <c r="G81" s="4" t="s">
        <v>98</v>
      </c>
      <c r="H81" s="8" t="s">
        <v>98</v>
      </c>
      <c r="I81" s="7" t="s">
        <v>98</v>
      </c>
      <c r="J81" s="7" t="s">
        <v>98</v>
      </c>
      <c r="K81" s="4"/>
      <c r="L81" s="8"/>
      <c r="M81" s="4"/>
      <c r="N81" s="8"/>
      <c r="O81" s="7"/>
      <c r="P81" s="7"/>
    </row>
    <row r="82">
      <c r="A82" s="2" t="s">
        <v>1345</v>
      </c>
      <c r="B82" s="2" t="s">
        <v>952</v>
      </c>
      <c r="C82" s="2" t="s">
        <v>1346</v>
      </c>
      <c r="D82" s="2" t="s">
        <v>1934</v>
      </c>
      <c r="E82" s="4" t="s">
        <v>98</v>
      </c>
      <c r="F82" s="8" t="s">
        <v>98</v>
      </c>
      <c r="G82" s="4" t="s">
        <v>98</v>
      </c>
      <c r="H82" s="8" t="s">
        <v>98</v>
      </c>
      <c r="I82" s="7" t="s">
        <v>98</v>
      </c>
      <c r="J82" s="7" t="s">
        <v>98</v>
      </c>
      <c r="K82" s="4"/>
      <c r="L82" s="8"/>
      <c r="M82" s="4"/>
      <c r="N82" s="8"/>
      <c r="O82" s="7"/>
      <c r="P82" s="7"/>
    </row>
    <row r="83">
      <c r="A83" s="2" t="s">
        <v>1345</v>
      </c>
      <c r="B83" s="2" t="s">
        <v>952</v>
      </c>
      <c r="C83" s="2" t="s">
        <v>2390</v>
      </c>
      <c r="D83" s="2" t="s">
        <v>2391</v>
      </c>
      <c r="E83" s="4">
        <v>6</v>
      </c>
      <c r="F83" s="8">
        <v>630.18</v>
      </c>
      <c r="G83" s="4" t="s">
        <v>98</v>
      </c>
      <c r="H83" s="8" t="s">
        <v>98</v>
      </c>
      <c r="I83" s="7" t="s">
        <v>98</v>
      </c>
      <c r="J83" s="7" t="s">
        <v>98</v>
      </c>
      <c r="K83" s="4">
        <v>6</v>
      </c>
      <c r="L83" s="8">
        <v>630.18</v>
      </c>
      <c r="M83" s="4"/>
      <c r="N83" s="8"/>
      <c r="O83" s="7"/>
      <c r="P83" s="7"/>
    </row>
    <row r="84">
      <c r="A84" s="2" t="s">
        <v>1345</v>
      </c>
      <c r="B84" s="2" t="s">
        <v>952</v>
      </c>
      <c r="C84" s="2" t="s">
        <v>2390</v>
      </c>
      <c r="D84" s="2" t="s">
        <v>2390</v>
      </c>
      <c r="E84" s="4" t="s">
        <v>98</v>
      </c>
      <c r="F84" s="8" t="s">
        <v>98</v>
      </c>
      <c r="G84" s="4" t="s">
        <v>98</v>
      </c>
      <c r="H84" s="8" t="s">
        <v>98</v>
      </c>
      <c r="I84" s="7" t="s">
        <v>98</v>
      </c>
      <c r="J84" s="7" t="s">
        <v>98</v>
      </c>
      <c r="K84" s="4"/>
      <c r="L84" s="8"/>
      <c r="M84" s="4"/>
      <c r="N84" s="8"/>
      <c r="O84" s="7"/>
      <c r="P84" s="7"/>
    </row>
    <row r="85">
      <c r="A85" s="2" t="s">
        <v>1345</v>
      </c>
      <c r="B85" s="2" t="s">
        <v>952</v>
      </c>
      <c r="C85" s="2" t="s">
        <v>2390</v>
      </c>
      <c r="D85" s="2" t="s">
        <v>3698</v>
      </c>
      <c r="E85" s="4" t="s">
        <v>98</v>
      </c>
      <c r="F85" s="8" t="s">
        <v>98</v>
      </c>
      <c r="G85" s="4" t="s">
        <v>98</v>
      </c>
      <c r="H85" s="8" t="s">
        <v>98</v>
      </c>
      <c r="I85" s="7" t="s">
        <v>98</v>
      </c>
      <c r="J85" s="7" t="s">
        <v>98</v>
      </c>
      <c r="K85" s="4"/>
      <c r="L85" s="8"/>
      <c r="M85" s="4"/>
      <c r="N85" s="8"/>
      <c r="O85" s="7"/>
      <c r="P85" s="7"/>
    </row>
    <row r="86">
      <c r="A86" s="2" t="s">
        <v>1345</v>
      </c>
      <c r="B86" s="2" t="s">
        <v>952</v>
      </c>
      <c r="C86" s="2" t="s">
        <v>2390</v>
      </c>
      <c r="D86" s="2" t="s">
        <v>3705</v>
      </c>
      <c r="E86" s="4" t="s">
        <v>98</v>
      </c>
      <c r="F86" s="8" t="s">
        <v>98</v>
      </c>
      <c r="G86" s="4" t="s">
        <v>98</v>
      </c>
      <c r="H86" s="8" t="s">
        <v>98</v>
      </c>
      <c r="I86" s="7" t="s">
        <v>98</v>
      </c>
      <c r="J86" s="7" t="s">
        <v>98</v>
      </c>
      <c r="K86" s="4"/>
      <c r="L86" s="8"/>
      <c r="M86" s="4"/>
      <c r="N86" s="8"/>
      <c r="O86" s="7"/>
      <c r="P86" s="7"/>
    </row>
    <row r="87">
      <c r="A87" s="2" t="s">
        <v>1345</v>
      </c>
      <c r="B87" s="2" t="s">
        <v>952</v>
      </c>
      <c r="C87" s="2" t="s">
        <v>2728</v>
      </c>
      <c r="D87" s="2" t="s">
        <v>2729</v>
      </c>
      <c r="E87" s="4">
        <v>3</v>
      </c>
      <c r="F87" s="8">
        <v>479.52</v>
      </c>
      <c r="G87" s="4">
        <v>3</v>
      </c>
      <c r="H87" s="8">
        <v>652.71</v>
      </c>
      <c r="I87" s="7" t="s">
        <v>98</v>
      </c>
      <c r="J87" s="7">
        <v>-0.2653</v>
      </c>
      <c r="K87" s="4">
        <v>3</v>
      </c>
      <c r="L87" s="8">
        <v>479.52</v>
      </c>
      <c r="M87" s="4">
        <v>3</v>
      </c>
      <c r="N87" s="8">
        <v>652.71</v>
      </c>
      <c r="O87" s="7"/>
      <c r="P87" s="7">
        <v>-0.2653</v>
      </c>
    </row>
    <row r="88">
      <c r="A88" s="2" t="s">
        <v>1345</v>
      </c>
      <c r="B88" s="2" t="s">
        <v>952</v>
      </c>
      <c r="C88" s="2" t="s">
        <v>2728</v>
      </c>
      <c r="D88" s="2" t="s">
        <v>2799</v>
      </c>
      <c r="E88" s="4" t="s">
        <v>98</v>
      </c>
      <c r="F88" s="8" t="s">
        <v>98</v>
      </c>
      <c r="G88" s="4" t="s">
        <v>98</v>
      </c>
      <c r="H88" s="8" t="s">
        <v>98</v>
      </c>
      <c r="I88" s="7" t="s">
        <v>98</v>
      </c>
      <c r="J88" s="7" t="s">
        <v>98</v>
      </c>
      <c r="K88" s="4"/>
      <c r="L88" s="8"/>
      <c r="M88" s="4"/>
      <c r="N88" s="8"/>
      <c r="O88" s="7"/>
      <c r="P88" s="7"/>
    </row>
    <row r="89">
      <c r="A89" s="2" t="s">
        <v>1345</v>
      </c>
      <c r="B89" s="2" t="s">
        <v>952</v>
      </c>
      <c r="C89" s="2" t="s">
        <v>2728</v>
      </c>
      <c r="D89" s="2" t="s">
        <v>2775</v>
      </c>
      <c r="E89" s="4" t="s">
        <v>98</v>
      </c>
      <c r="F89" s="8" t="s">
        <v>98</v>
      </c>
      <c r="G89" s="4" t="s">
        <v>98</v>
      </c>
      <c r="H89" s="8" t="s">
        <v>98</v>
      </c>
      <c r="I89" s="7" t="s">
        <v>98</v>
      </c>
      <c r="J89" s="7" t="s">
        <v>98</v>
      </c>
      <c r="K89" s="4"/>
      <c r="L89" s="8"/>
      <c r="M89" s="4"/>
      <c r="N89" s="8"/>
      <c r="O89" s="7"/>
      <c r="P89" s="7"/>
    </row>
    <row r="90">
      <c r="A90" s="2" t="s">
        <v>1345</v>
      </c>
      <c r="B90" s="2" t="s">
        <v>952</v>
      </c>
      <c r="C90" s="2" t="s">
        <v>2728</v>
      </c>
      <c r="D90" s="2" t="s">
        <v>2816</v>
      </c>
      <c r="E90" s="4" t="s">
        <v>98</v>
      </c>
      <c r="F90" s="8" t="s">
        <v>98</v>
      </c>
      <c r="G90" s="4" t="s">
        <v>98</v>
      </c>
      <c r="H90" s="8" t="s">
        <v>98</v>
      </c>
      <c r="I90" s="7" t="s">
        <v>98</v>
      </c>
      <c r="J90" s="7" t="s">
        <v>98</v>
      </c>
      <c r="K90" s="4"/>
      <c r="L90" s="8"/>
      <c r="M90" s="4"/>
      <c r="N90" s="8"/>
      <c r="O90" s="7"/>
      <c r="P90" s="7"/>
    </row>
    <row r="91">
      <c r="A91" s="2" t="s">
        <v>1345</v>
      </c>
      <c r="B91" s="2" t="s">
        <v>952</v>
      </c>
      <c r="C91" s="2" t="s">
        <v>3068</v>
      </c>
      <c r="D91" s="2" t="s">
        <v>3069</v>
      </c>
      <c r="E91" s="4">
        <v>1</v>
      </c>
      <c r="F91" s="8">
        <v>124.69</v>
      </c>
      <c r="G91" s="4">
        <v>2</v>
      </c>
      <c r="H91" s="8">
        <v>259.98</v>
      </c>
      <c r="I91" s="7">
        <v>-0.5</v>
      </c>
      <c r="J91" s="7">
        <v>-0.5204</v>
      </c>
      <c r="K91" s="4">
        <v>1</v>
      </c>
      <c r="L91" s="8">
        <v>124.69</v>
      </c>
      <c r="M91" s="4">
        <v>2</v>
      </c>
      <c r="N91" s="8">
        <v>259.98</v>
      </c>
      <c r="O91" s="7">
        <v>-0.5</v>
      </c>
      <c r="P91" s="7">
        <v>-0.5204</v>
      </c>
    </row>
    <row r="92">
      <c r="A92" s="2" t="s">
        <v>1345</v>
      </c>
      <c r="B92" s="2" t="s">
        <v>952</v>
      </c>
      <c r="C92" s="2" t="s">
        <v>3068</v>
      </c>
      <c r="D92" s="2" t="s">
        <v>3186</v>
      </c>
      <c r="E92" s="4" t="s">
        <v>98</v>
      </c>
      <c r="F92" s="8" t="s">
        <v>98</v>
      </c>
      <c r="G92" s="4" t="s">
        <v>98</v>
      </c>
      <c r="H92" s="8" t="s">
        <v>98</v>
      </c>
      <c r="I92" s="7" t="s">
        <v>98</v>
      </c>
      <c r="J92" s="7" t="s">
        <v>98</v>
      </c>
      <c r="K92" s="4"/>
      <c r="L92" s="8"/>
      <c r="M92" s="4"/>
      <c r="N92" s="8"/>
      <c r="O92" s="7"/>
      <c r="P92" s="7"/>
    </row>
    <row r="93">
      <c r="A93" s="2" t="s">
        <v>1345</v>
      </c>
      <c r="B93" s="2" t="s">
        <v>952</v>
      </c>
      <c r="C93" s="2" t="s">
        <v>2872</v>
      </c>
      <c r="D93" s="2" t="s">
        <v>2872</v>
      </c>
      <c r="E93" s="4" t="s">
        <v>98</v>
      </c>
      <c r="F93" s="8" t="s">
        <v>98</v>
      </c>
      <c r="G93" s="4" t="s">
        <v>98</v>
      </c>
      <c r="H93" s="8" t="s">
        <v>98</v>
      </c>
      <c r="I93" s="7" t="s">
        <v>98</v>
      </c>
      <c r="J93" s="7" t="s">
        <v>98</v>
      </c>
      <c r="K93" s="4"/>
      <c r="L93" s="8"/>
      <c r="M93" s="4"/>
      <c r="N93" s="8"/>
      <c r="O93" s="7"/>
      <c r="P93" s="7"/>
    </row>
    <row r="94">
      <c r="A94" s="2" t="s">
        <v>1345</v>
      </c>
      <c r="B94" s="2" t="s">
        <v>952</v>
      </c>
      <c r="C94" s="2" t="s">
        <v>2872</v>
      </c>
      <c r="D94" s="2" t="s">
        <v>2873</v>
      </c>
      <c r="E94" s="4" t="s">
        <v>98</v>
      </c>
      <c r="F94" s="8" t="s">
        <v>98</v>
      </c>
      <c r="G94" s="4" t="s">
        <v>98</v>
      </c>
      <c r="H94" s="8" t="s">
        <v>98</v>
      </c>
      <c r="I94" s="7" t="s">
        <v>98</v>
      </c>
      <c r="J94" s="7" t="s">
        <v>98</v>
      </c>
      <c r="K94" s="4"/>
      <c r="L94" s="8"/>
      <c r="M94" s="4"/>
      <c r="N94" s="8"/>
      <c r="O94" s="7"/>
      <c r="P94" s="7"/>
    </row>
    <row r="95">
      <c r="A95" s="2" t="s">
        <v>1345</v>
      </c>
      <c r="B95" s="2" t="s">
        <v>952</v>
      </c>
      <c r="C95" s="2" t="s">
        <v>2789</v>
      </c>
      <c r="D95" s="2" t="s">
        <v>2789</v>
      </c>
      <c r="E95" s="4" t="s">
        <v>98</v>
      </c>
      <c r="F95" s="8" t="s">
        <v>98</v>
      </c>
      <c r="G95" s="4" t="s">
        <v>98</v>
      </c>
      <c r="H95" s="8" t="s">
        <v>98</v>
      </c>
      <c r="I95" s="7" t="s">
        <v>98</v>
      </c>
      <c r="J95" s="7" t="s">
        <v>98</v>
      </c>
      <c r="K95" s="4"/>
      <c r="L95" s="8"/>
      <c r="M95" s="4"/>
      <c r="N95" s="8"/>
      <c r="O95" s="7"/>
      <c r="P95" s="7"/>
    </row>
    <row r="96">
      <c r="A96" s="2" t="s">
        <v>1345</v>
      </c>
      <c r="B96" s="2" t="s">
        <v>952</v>
      </c>
      <c r="C96" s="2" t="s">
        <v>2789</v>
      </c>
      <c r="D96" s="2" t="s">
        <v>2775</v>
      </c>
      <c r="E96" s="4" t="s">
        <v>98</v>
      </c>
      <c r="F96" s="8" t="s">
        <v>98</v>
      </c>
      <c r="G96" s="4" t="s">
        <v>98</v>
      </c>
      <c r="H96" s="8" t="s">
        <v>98</v>
      </c>
      <c r="I96" s="7" t="s">
        <v>98</v>
      </c>
      <c r="J96" s="7" t="s">
        <v>98</v>
      </c>
      <c r="K96" s="4"/>
      <c r="L96" s="8"/>
      <c r="M96" s="4"/>
      <c r="N96" s="8"/>
      <c r="O96" s="7"/>
      <c r="P96" s="7"/>
    </row>
    <row r="97">
      <c r="A97" s="2" t="s">
        <v>1345</v>
      </c>
      <c r="B97" s="2" t="s">
        <v>952</v>
      </c>
      <c r="C97" s="2" t="s">
        <v>2789</v>
      </c>
      <c r="D97" s="2" t="s">
        <v>3841</v>
      </c>
      <c r="E97" s="4" t="s">
        <v>98</v>
      </c>
      <c r="F97" s="8" t="s">
        <v>98</v>
      </c>
      <c r="G97" s="4" t="s">
        <v>98</v>
      </c>
      <c r="H97" s="8" t="s">
        <v>98</v>
      </c>
      <c r="I97" s="7" t="s">
        <v>98</v>
      </c>
      <c r="J97" s="7" t="s">
        <v>98</v>
      </c>
      <c r="K97" s="4"/>
      <c r="L97" s="8"/>
      <c r="M97" s="4"/>
      <c r="N97" s="8"/>
      <c r="O97" s="7"/>
      <c r="P97" s="7"/>
    </row>
    <row r="98">
      <c r="A98" s="2" t="s">
        <v>1345</v>
      </c>
      <c r="B98" s="2" t="s">
        <v>952</v>
      </c>
      <c r="C98" s="2" t="s">
        <v>3370</v>
      </c>
      <c r="D98" s="2" t="s">
        <v>3370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1345</v>
      </c>
      <c r="B99" s="2" t="s">
        <v>952</v>
      </c>
      <c r="C99" s="2" t="s">
        <v>3406</v>
      </c>
      <c r="D99" s="2" t="s">
        <v>3406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1345</v>
      </c>
      <c r="B100" s="2" t="s">
        <v>952</v>
      </c>
      <c r="C100" s="2" t="s">
        <v>3873</v>
      </c>
      <c r="D100" s="2" t="s">
        <v>3873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1345</v>
      </c>
      <c r="B101" s="2" t="s">
        <v>952</v>
      </c>
      <c r="C101" s="2" t="s">
        <v>2205</v>
      </c>
      <c r="D101" s="2" t="s">
        <v>1876</v>
      </c>
      <c r="E101" s="4" t="s">
        <v>98</v>
      </c>
      <c r="F101" s="8" t="s">
        <v>98</v>
      </c>
      <c r="G101" s="4">
        <v>9</v>
      </c>
      <c r="H101" s="8">
        <v>1779.74</v>
      </c>
      <c r="I101" s="7" t="s">
        <v>98</v>
      </c>
      <c r="J101" s="7" t="s">
        <v>98</v>
      </c>
      <c r="K101" s="4"/>
      <c r="L101" s="8"/>
      <c r="M101" s="4">
        <v>2</v>
      </c>
      <c r="N101" s="8">
        <v>386.84</v>
      </c>
      <c r="O101" s="7"/>
      <c r="P101" s="7"/>
    </row>
    <row r="102">
      <c r="A102" s="2" t="s">
        <v>1345</v>
      </c>
      <c r="B102" s="2" t="s">
        <v>952</v>
      </c>
      <c r="C102" s="2" t="s">
        <v>2205</v>
      </c>
      <c r="D102" s="2" t="s">
        <v>2205</v>
      </c>
      <c r="E102" s="4" t="s">
        <v>98</v>
      </c>
      <c r="F102" s="8" t="s">
        <v>98</v>
      </c>
      <c r="G102" s="4" t="s">
        <v>98</v>
      </c>
      <c r="H102" s="8" t="s">
        <v>98</v>
      </c>
      <c r="I102" s="7" t="s">
        <v>98</v>
      </c>
      <c r="J102" s="7" t="s">
        <v>98</v>
      </c>
      <c r="K102" s="4"/>
      <c r="L102" s="8"/>
      <c r="M102" s="4">
        <v>7</v>
      </c>
      <c r="N102" s="8">
        <v>1392.9</v>
      </c>
      <c r="O102" s="7"/>
      <c r="P102" s="7"/>
    </row>
    <row r="103">
      <c r="A103" s="2" t="s">
        <v>1345</v>
      </c>
      <c r="B103" s="2" t="s">
        <v>952</v>
      </c>
      <c r="C103" s="2" t="s">
        <v>2700</v>
      </c>
      <c r="D103" s="2" t="s">
        <v>2700</v>
      </c>
      <c r="E103" s="4"/>
      <c r="F103" s="8"/>
      <c r="G103" s="4">
        <v>1</v>
      </c>
      <c r="H103" s="8">
        <v>167.09</v>
      </c>
      <c r="I103" s="7"/>
      <c r="J103" s="7"/>
      <c r="K103" s="4"/>
      <c r="L103" s="8"/>
      <c r="M103" s="4">
        <v>1</v>
      </c>
      <c r="N103" s="8">
        <v>167.09</v>
      </c>
      <c r="O103" s="7"/>
      <c r="P103" s="7"/>
    </row>
    <row r="104">
      <c r="A104" s="2" t="s">
        <v>1345</v>
      </c>
      <c r="B104" s="2" t="s">
        <v>952</v>
      </c>
      <c r="C104" s="2" t="s">
        <v>3974</v>
      </c>
      <c r="D104" s="2" t="s">
        <v>3975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1345</v>
      </c>
      <c r="B105" s="2" t="s">
        <v>952</v>
      </c>
      <c r="C105" s="2" t="s">
        <v>2821</v>
      </c>
      <c r="D105" s="2" t="s">
        <v>2821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1345</v>
      </c>
      <c r="B106" s="2" t="s">
        <v>952</v>
      </c>
      <c r="C106" s="2" t="s">
        <v>3434</v>
      </c>
      <c r="D106" s="2" t="s">
        <v>3434</v>
      </c>
      <c r="E106" s="4" t="s">
        <v>98</v>
      </c>
      <c r="F106" s="8" t="s">
        <v>98</v>
      </c>
      <c r="G106" s="4" t="s">
        <v>98</v>
      </c>
      <c r="H106" s="8" t="s">
        <v>98</v>
      </c>
      <c r="I106" s="7" t="s">
        <v>98</v>
      </c>
      <c r="J106" s="7" t="s">
        <v>98</v>
      </c>
      <c r="K106" s="4"/>
      <c r="L106" s="8"/>
      <c r="M106" s="4"/>
      <c r="N106" s="8"/>
      <c r="O106" s="7"/>
      <c r="P106" s="7"/>
    </row>
    <row r="107">
      <c r="A107" s="2" t="s">
        <v>1345</v>
      </c>
      <c r="B107" s="2" t="s">
        <v>952</v>
      </c>
      <c r="C107" s="2" t="s">
        <v>3434</v>
      </c>
      <c r="D107" s="2" t="s">
        <v>3435</v>
      </c>
      <c r="E107" s="4" t="s">
        <v>98</v>
      </c>
      <c r="F107" s="8" t="s">
        <v>98</v>
      </c>
      <c r="G107" s="4" t="s">
        <v>98</v>
      </c>
      <c r="H107" s="8" t="s">
        <v>98</v>
      </c>
      <c r="I107" s="7" t="s">
        <v>98</v>
      </c>
      <c r="J107" s="7" t="s">
        <v>98</v>
      </c>
      <c r="K107" s="4"/>
      <c r="L107" s="8"/>
      <c r="M107" s="4"/>
      <c r="N107" s="8"/>
      <c r="O107" s="7"/>
      <c r="P107" s="7"/>
    </row>
    <row r="108">
      <c r="A108" s="2" t="s">
        <v>1345</v>
      </c>
      <c r="B108" s="2" t="s">
        <v>952</v>
      </c>
      <c r="C108" s="2" t="s">
        <v>1946</v>
      </c>
      <c r="D108" s="2" t="s">
        <v>1947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1345</v>
      </c>
      <c r="B109" s="2" t="s">
        <v>952</v>
      </c>
      <c r="C109" s="2" t="s">
        <v>4011</v>
      </c>
      <c r="D109" s="2" t="s">
        <v>4011</v>
      </c>
      <c r="E109" s="4"/>
      <c r="F109" s="8"/>
      <c r="G109" s="4">
        <v>1</v>
      </c>
      <c r="H109" s="8">
        <v>125.32</v>
      </c>
      <c r="I109" s="7"/>
      <c r="J109" s="7"/>
      <c r="K109" s="4"/>
      <c r="L109" s="8"/>
      <c r="M109" s="4">
        <v>1</v>
      </c>
      <c r="N109" s="8">
        <v>125.32</v>
      </c>
      <c r="O109" s="7"/>
      <c r="P109" s="7"/>
    </row>
    <row r="110">
      <c r="A110" s="2" t="s">
        <v>1345</v>
      </c>
      <c r="B110" s="2" t="s">
        <v>952</v>
      </c>
      <c r="C110" s="2" t="s">
        <v>3459</v>
      </c>
      <c r="D110" s="2" t="s">
        <v>3459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1345</v>
      </c>
      <c r="B111" s="2" t="s">
        <v>952</v>
      </c>
      <c r="C111" s="2" t="s">
        <v>3213</v>
      </c>
      <c r="D111" s="2" t="s">
        <v>3213</v>
      </c>
      <c r="E111" s="4"/>
      <c r="F111" s="8"/>
      <c r="G111" s="4">
        <v>1</v>
      </c>
      <c r="H111" s="8">
        <v>65.15</v>
      </c>
      <c r="I111" s="7"/>
      <c r="J111" s="7"/>
      <c r="K111" s="4"/>
      <c r="L111" s="8"/>
      <c r="M111" s="4">
        <v>1</v>
      </c>
      <c r="N111" s="8">
        <v>65.15</v>
      </c>
      <c r="O111" s="7"/>
      <c r="P111" s="7"/>
    </row>
    <row r="112">
      <c r="A112" s="2" t="s">
        <v>1345</v>
      </c>
      <c r="B112" s="2" t="s">
        <v>952</v>
      </c>
      <c r="C112" s="2" t="s">
        <v>4052</v>
      </c>
      <c r="D112" s="2" t="s">
        <v>1346</v>
      </c>
      <c r="E112" s="4" t="s">
        <v>98</v>
      </c>
      <c r="F112" s="8" t="s">
        <v>98</v>
      </c>
      <c r="G112" s="4" t="s">
        <v>98</v>
      </c>
      <c r="H112" s="8" t="s">
        <v>98</v>
      </c>
      <c r="I112" s="7" t="s">
        <v>98</v>
      </c>
      <c r="J112" s="7" t="s">
        <v>98</v>
      </c>
      <c r="K112" s="4"/>
      <c r="L112" s="8"/>
      <c r="M112" s="4"/>
      <c r="N112" s="8"/>
      <c r="O112" s="7"/>
      <c r="P112" s="7"/>
    </row>
    <row r="113">
      <c r="A113" s="2" t="s">
        <v>1345</v>
      </c>
      <c r="B113" s="2" t="s">
        <v>952</v>
      </c>
      <c r="C113" s="2" t="s">
        <v>4052</v>
      </c>
      <c r="D113" s="2" t="s">
        <v>3213</v>
      </c>
      <c r="E113" s="4" t="s">
        <v>98</v>
      </c>
      <c r="F113" s="8" t="s">
        <v>98</v>
      </c>
      <c r="G113" s="4" t="s">
        <v>98</v>
      </c>
      <c r="H113" s="8" t="s">
        <v>98</v>
      </c>
      <c r="I113" s="7" t="s">
        <v>98</v>
      </c>
      <c r="J113" s="7" t="s">
        <v>98</v>
      </c>
      <c r="K113" s="4"/>
      <c r="L113" s="8"/>
      <c r="M113" s="4"/>
      <c r="N113" s="8"/>
      <c r="O113" s="7"/>
      <c r="P113" s="7"/>
    </row>
    <row r="114">
      <c r="A114" s="2" t="s">
        <v>1345</v>
      </c>
      <c r="B114" s="2" t="s">
        <v>1069</v>
      </c>
      <c r="C114" s="2" t="s">
        <v>2205</v>
      </c>
      <c r="D114" s="2" t="s">
        <v>2205</v>
      </c>
      <c r="E114" s="4">
        <v>3</v>
      </c>
      <c r="F114" s="8">
        <v>648</v>
      </c>
      <c r="G114" s="4">
        <v>8</v>
      </c>
      <c r="H114" s="8">
        <v>1927.55</v>
      </c>
      <c r="I114" s="7">
        <v>-0.625</v>
      </c>
      <c r="J114" s="7">
        <v>-0.6638</v>
      </c>
      <c r="K114" s="4">
        <v>3</v>
      </c>
      <c r="L114" s="8">
        <v>648</v>
      </c>
      <c r="M114" s="4">
        <v>3</v>
      </c>
      <c r="N114" s="8">
        <v>720</v>
      </c>
      <c r="O114" s="7"/>
      <c r="P114" s="7">
        <v>-0.1</v>
      </c>
    </row>
    <row r="115">
      <c r="A115" s="2" t="s">
        <v>1345</v>
      </c>
      <c r="B115" s="2" t="s">
        <v>1069</v>
      </c>
      <c r="C115" s="2" t="s">
        <v>2205</v>
      </c>
      <c r="D115" s="2" t="s">
        <v>1876</v>
      </c>
      <c r="E115" s="4" t="s">
        <v>98</v>
      </c>
      <c r="F115" s="8" t="s">
        <v>98</v>
      </c>
      <c r="G115" s="4" t="s">
        <v>98</v>
      </c>
      <c r="H115" s="8" t="s">
        <v>98</v>
      </c>
      <c r="I115" s="7" t="s">
        <v>98</v>
      </c>
      <c r="J115" s="7" t="s">
        <v>98</v>
      </c>
      <c r="K115" s="4"/>
      <c r="L115" s="8"/>
      <c r="M115" s="4">
        <v>5</v>
      </c>
      <c r="N115" s="8">
        <v>1207.55</v>
      </c>
      <c r="O115" s="7"/>
      <c r="P115" s="7"/>
    </row>
    <row r="116">
      <c r="A116" s="2" t="s">
        <v>1345</v>
      </c>
      <c r="B116" s="2" t="s">
        <v>1069</v>
      </c>
      <c r="C116" s="2" t="s">
        <v>4011</v>
      </c>
      <c r="D116" s="2" t="s">
        <v>4011</v>
      </c>
      <c r="E116" s="4">
        <v>2</v>
      </c>
      <c r="F116" s="8">
        <v>200.5</v>
      </c>
      <c r="G116" s="4"/>
      <c r="H116" s="8"/>
      <c r="I116" s="7"/>
      <c r="J116" s="7"/>
      <c r="K116" s="4">
        <v>2</v>
      </c>
      <c r="L116" s="8">
        <v>200.5</v>
      </c>
      <c r="M116" s="4"/>
      <c r="N116" s="8"/>
      <c r="O116" s="7"/>
      <c r="P116" s="7"/>
    </row>
    <row r="117">
      <c r="A117" s="2" t="s">
        <v>1345</v>
      </c>
      <c r="B117" s="2" t="s">
        <v>1069</v>
      </c>
      <c r="C117" s="2" t="s">
        <v>1346</v>
      </c>
      <c r="D117" s="2" t="s">
        <v>1347</v>
      </c>
      <c r="E117" s="4">
        <v>1</v>
      </c>
      <c r="F117" s="8">
        <v>189.27</v>
      </c>
      <c r="G117" s="4">
        <v>1</v>
      </c>
      <c r="H117" s="8">
        <v>228.8</v>
      </c>
      <c r="I117" s="7" t="s">
        <v>98</v>
      </c>
      <c r="J117" s="7">
        <v>-0.1728</v>
      </c>
      <c r="K117" s="4">
        <v>1</v>
      </c>
      <c r="L117" s="8">
        <v>189.27</v>
      </c>
      <c r="M117" s="4">
        <v>1</v>
      </c>
      <c r="N117" s="8">
        <v>228.8</v>
      </c>
      <c r="O117" s="7"/>
      <c r="P117" s="7">
        <v>-0.1728</v>
      </c>
    </row>
    <row r="118">
      <c r="A118" s="2" t="s">
        <v>1345</v>
      </c>
      <c r="B118" s="2" t="s">
        <v>1069</v>
      </c>
      <c r="C118" s="2" t="s">
        <v>1346</v>
      </c>
      <c r="D118" s="2" t="s">
        <v>1893</v>
      </c>
      <c r="E118" s="4" t="s">
        <v>98</v>
      </c>
      <c r="F118" s="8" t="s">
        <v>98</v>
      </c>
      <c r="G118" s="4" t="s">
        <v>98</v>
      </c>
      <c r="H118" s="8" t="s">
        <v>98</v>
      </c>
      <c r="I118" s="7" t="s">
        <v>98</v>
      </c>
      <c r="J118" s="7" t="s">
        <v>98</v>
      </c>
      <c r="K118" s="4"/>
      <c r="L118" s="8"/>
      <c r="M118" s="4"/>
      <c r="N118" s="8"/>
      <c r="O118" s="7"/>
      <c r="P118" s="7"/>
    </row>
    <row r="119">
      <c r="A119" s="2" t="s">
        <v>1345</v>
      </c>
      <c r="B119" s="2" t="s">
        <v>1069</v>
      </c>
      <c r="C119" s="2" t="s">
        <v>3068</v>
      </c>
      <c r="D119" s="2" t="s">
        <v>3069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1345</v>
      </c>
      <c r="B120" s="2" t="s">
        <v>1069</v>
      </c>
      <c r="C120" s="2" t="s">
        <v>2872</v>
      </c>
      <c r="D120" s="2" t="s">
        <v>1934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1345</v>
      </c>
      <c r="B121" s="2" t="s">
        <v>1069</v>
      </c>
      <c r="C121" s="2" t="s">
        <v>4134</v>
      </c>
      <c r="D121" s="2" t="s">
        <v>4134</v>
      </c>
      <c r="E121" s="4"/>
      <c r="F121" s="8"/>
      <c r="G121" s="4">
        <v>2</v>
      </c>
      <c r="H121" s="8">
        <v>306.28</v>
      </c>
      <c r="I121" s="7"/>
      <c r="J121" s="7"/>
      <c r="K121" s="4"/>
      <c r="L121" s="8"/>
      <c r="M121" s="4">
        <v>2</v>
      </c>
      <c r="N121" s="8">
        <v>306.28</v>
      </c>
      <c r="O121" s="7"/>
      <c r="P121" s="7"/>
    </row>
    <row r="122">
      <c r="A122" s="2" t="s">
        <v>1345</v>
      </c>
      <c r="B122" s="2" t="s">
        <v>1069</v>
      </c>
      <c r="C122" s="2" t="s">
        <v>2390</v>
      </c>
      <c r="D122" s="2" t="s">
        <v>2390</v>
      </c>
      <c r="E122" s="4" t="s">
        <v>98</v>
      </c>
      <c r="F122" s="8" t="s">
        <v>98</v>
      </c>
      <c r="G122" s="4" t="s">
        <v>98</v>
      </c>
      <c r="H122" s="8" t="s">
        <v>98</v>
      </c>
      <c r="I122" s="7" t="s">
        <v>98</v>
      </c>
      <c r="J122" s="7" t="s">
        <v>98</v>
      </c>
      <c r="K122" s="4"/>
      <c r="L122" s="8"/>
      <c r="M122" s="4"/>
      <c r="N122" s="8"/>
      <c r="O122" s="7"/>
      <c r="P122" s="7"/>
    </row>
    <row r="123">
      <c r="A123" s="2" t="s">
        <v>1345</v>
      </c>
      <c r="B123" s="2" t="s">
        <v>1069</v>
      </c>
      <c r="C123" s="2" t="s">
        <v>2390</v>
      </c>
      <c r="D123" s="2" t="s">
        <v>2391</v>
      </c>
      <c r="E123" s="4" t="s">
        <v>98</v>
      </c>
      <c r="F123" s="8" t="s">
        <v>98</v>
      </c>
      <c r="G123" s="4" t="s">
        <v>98</v>
      </c>
      <c r="H123" s="8" t="s">
        <v>98</v>
      </c>
      <c r="I123" s="7" t="s">
        <v>98</v>
      </c>
      <c r="J123" s="7" t="s">
        <v>98</v>
      </c>
      <c r="K123" s="4"/>
      <c r="L123" s="8"/>
      <c r="M123" s="4"/>
      <c r="N123" s="8"/>
      <c r="O123" s="7"/>
      <c r="P123" s="7"/>
    </row>
    <row r="124">
      <c r="A124" s="2" t="s">
        <v>1345</v>
      </c>
      <c r="B124" s="2" t="s">
        <v>1069</v>
      </c>
      <c r="C124" s="2" t="s">
        <v>3370</v>
      </c>
      <c r="D124" s="2" t="s">
        <v>3370</v>
      </c>
      <c r="E124" s="4" t="s">
        <v>98</v>
      </c>
      <c r="F124" s="8" t="s">
        <v>98</v>
      </c>
      <c r="G124" s="4" t="s">
        <v>98</v>
      </c>
      <c r="H124" s="8" t="s">
        <v>98</v>
      </c>
      <c r="I124" s="7" t="s">
        <v>98</v>
      </c>
      <c r="J124" s="7" t="s">
        <v>98</v>
      </c>
      <c r="K124" s="4"/>
      <c r="L124" s="8"/>
      <c r="M124" s="4"/>
      <c r="N124" s="8"/>
      <c r="O124" s="7"/>
      <c r="P124" s="7"/>
    </row>
    <row r="125">
      <c r="A125" s="2" t="s">
        <v>1345</v>
      </c>
      <c r="B125" s="2" t="s">
        <v>1069</v>
      </c>
      <c r="C125" s="2" t="s">
        <v>3370</v>
      </c>
      <c r="D125" s="2" t="s">
        <v>1934</v>
      </c>
      <c r="E125" s="4" t="s">
        <v>98</v>
      </c>
      <c r="F125" s="8" t="s">
        <v>98</v>
      </c>
      <c r="G125" s="4" t="s">
        <v>98</v>
      </c>
      <c r="H125" s="8" t="s">
        <v>98</v>
      </c>
      <c r="I125" s="7" t="s">
        <v>98</v>
      </c>
      <c r="J125" s="7" t="s">
        <v>98</v>
      </c>
      <c r="K125" s="4"/>
      <c r="L125" s="8"/>
      <c r="M125" s="4"/>
      <c r="N125" s="8"/>
      <c r="O125" s="7"/>
      <c r="P125" s="7"/>
    </row>
    <row r="126">
      <c r="A126" s="2" t="s">
        <v>1345</v>
      </c>
      <c r="B126" s="2" t="s">
        <v>1069</v>
      </c>
      <c r="C126" s="2" t="s">
        <v>2700</v>
      </c>
      <c r="D126" s="2" t="s">
        <v>2700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1345</v>
      </c>
      <c r="B127" s="2" t="s">
        <v>1069</v>
      </c>
      <c r="C127" s="2" t="s">
        <v>3974</v>
      </c>
      <c r="D127" s="2" t="s">
        <v>3975</v>
      </c>
      <c r="E127" s="4" t="s">
        <v>98</v>
      </c>
      <c r="F127" s="8" t="s">
        <v>98</v>
      </c>
      <c r="G127" s="4" t="s">
        <v>98</v>
      </c>
      <c r="H127" s="8" t="s">
        <v>98</v>
      </c>
      <c r="I127" s="7" t="s">
        <v>98</v>
      </c>
      <c r="J127" s="7" t="s">
        <v>98</v>
      </c>
      <c r="K127" s="4"/>
      <c r="L127" s="8"/>
      <c r="M127" s="4"/>
      <c r="N127" s="8"/>
      <c r="O127" s="7"/>
      <c r="P127" s="7"/>
    </row>
    <row r="128">
      <c r="A128" s="2" t="s">
        <v>1345</v>
      </c>
      <c r="B128" s="2" t="s">
        <v>1069</v>
      </c>
      <c r="C128" s="2" t="s">
        <v>3974</v>
      </c>
      <c r="D128" s="2" t="s">
        <v>1934</v>
      </c>
      <c r="E128" s="4" t="s">
        <v>98</v>
      </c>
      <c r="F128" s="8" t="s">
        <v>98</v>
      </c>
      <c r="G128" s="4" t="s">
        <v>98</v>
      </c>
      <c r="H128" s="8" t="s">
        <v>98</v>
      </c>
      <c r="I128" s="7" t="s">
        <v>98</v>
      </c>
      <c r="J128" s="7" t="s">
        <v>98</v>
      </c>
      <c r="K128" s="4"/>
      <c r="L128" s="8"/>
      <c r="M128" s="4"/>
      <c r="N128" s="8"/>
      <c r="O128" s="7"/>
      <c r="P128" s="7"/>
    </row>
    <row r="129">
      <c r="A129" s="2" t="s">
        <v>1345</v>
      </c>
      <c r="B129" s="2" t="s">
        <v>1069</v>
      </c>
      <c r="C129" s="2" t="s">
        <v>2728</v>
      </c>
      <c r="D129" s="2" t="s">
        <v>2729</v>
      </c>
      <c r="E129" s="4" t="s">
        <v>98</v>
      </c>
      <c r="F129" s="8" t="s">
        <v>98</v>
      </c>
      <c r="G129" s="4">
        <v>3</v>
      </c>
      <c r="H129" s="8">
        <v>521.07</v>
      </c>
      <c r="I129" s="7" t="s">
        <v>98</v>
      </c>
      <c r="J129" s="7" t="s">
        <v>98</v>
      </c>
      <c r="K129" s="4"/>
      <c r="L129" s="8"/>
      <c r="M129" s="4"/>
      <c r="N129" s="8"/>
      <c r="O129" s="7"/>
      <c r="P129" s="7"/>
    </row>
    <row r="130">
      <c r="A130" s="2" t="s">
        <v>1345</v>
      </c>
      <c r="B130" s="2" t="s">
        <v>1069</v>
      </c>
      <c r="C130" s="2" t="s">
        <v>2728</v>
      </c>
      <c r="D130" s="2" t="s">
        <v>2799</v>
      </c>
      <c r="E130" s="4" t="s">
        <v>98</v>
      </c>
      <c r="F130" s="8" t="s">
        <v>98</v>
      </c>
      <c r="G130" s="4" t="s">
        <v>98</v>
      </c>
      <c r="H130" s="8" t="s">
        <v>98</v>
      </c>
      <c r="I130" s="7" t="s">
        <v>98</v>
      </c>
      <c r="J130" s="7" t="s">
        <v>98</v>
      </c>
      <c r="K130" s="4"/>
      <c r="L130" s="8"/>
      <c r="M130" s="4"/>
      <c r="N130" s="8"/>
      <c r="O130" s="7"/>
      <c r="P130" s="7"/>
    </row>
    <row r="131">
      <c r="A131" s="2" t="s">
        <v>1345</v>
      </c>
      <c r="B131" s="2" t="s">
        <v>1069</v>
      </c>
      <c r="C131" s="2" t="s">
        <v>2728</v>
      </c>
      <c r="D131" s="2" t="s">
        <v>2775</v>
      </c>
      <c r="E131" s="4" t="s">
        <v>98</v>
      </c>
      <c r="F131" s="8" t="s">
        <v>98</v>
      </c>
      <c r="G131" s="4" t="s">
        <v>98</v>
      </c>
      <c r="H131" s="8" t="s">
        <v>98</v>
      </c>
      <c r="I131" s="7" t="s">
        <v>98</v>
      </c>
      <c r="J131" s="7" t="s">
        <v>98</v>
      </c>
      <c r="K131" s="4"/>
      <c r="L131" s="8"/>
      <c r="M131" s="4">
        <v>3</v>
      </c>
      <c r="N131" s="8">
        <v>521.07</v>
      </c>
      <c r="O131" s="7"/>
      <c r="P131" s="7"/>
    </row>
    <row r="132">
      <c r="A132" s="2" t="s">
        <v>1345</v>
      </c>
      <c r="B132" s="2" t="s">
        <v>1069</v>
      </c>
      <c r="C132" s="2" t="s">
        <v>4052</v>
      </c>
      <c r="D132" s="2" t="s">
        <v>4052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1345</v>
      </c>
      <c r="B133" s="2" t="s">
        <v>1178</v>
      </c>
      <c r="C133" s="2" t="s">
        <v>1346</v>
      </c>
      <c r="D133" s="2" t="s">
        <v>1347</v>
      </c>
      <c r="E133" s="4">
        <v>3</v>
      </c>
      <c r="F133" s="8">
        <v>717.26</v>
      </c>
      <c r="G133" s="4">
        <v>1</v>
      </c>
      <c r="H133" s="8">
        <v>248.06</v>
      </c>
      <c r="I133" s="7">
        <v>2</v>
      </c>
      <c r="J133" s="7">
        <v>1.8915</v>
      </c>
      <c r="K133" s="4">
        <v>3</v>
      </c>
      <c r="L133" s="8">
        <v>717.26</v>
      </c>
      <c r="M133" s="4">
        <v>1</v>
      </c>
      <c r="N133" s="8">
        <v>248.06</v>
      </c>
      <c r="O133" s="7">
        <v>2</v>
      </c>
      <c r="P133" s="7">
        <v>1.8915</v>
      </c>
    </row>
    <row r="134">
      <c r="A134" s="2" t="s">
        <v>1345</v>
      </c>
      <c r="B134" s="2" t="s">
        <v>1178</v>
      </c>
      <c r="C134" s="2" t="s">
        <v>1346</v>
      </c>
      <c r="D134" s="2" t="s">
        <v>1346</v>
      </c>
      <c r="E134" s="4" t="s">
        <v>98</v>
      </c>
      <c r="F134" s="8" t="s">
        <v>98</v>
      </c>
      <c r="G134" s="4" t="s">
        <v>98</v>
      </c>
      <c r="H134" s="8" t="s">
        <v>98</v>
      </c>
      <c r="I134" s="7" t="s">
        <v>98</v>
      </c>
      <c r="J134" s="7" t="s">
        <v>98</v>
      </c>
      <c r="K134" s="4"/>
      <c r="L134" s="8"/>
      <c r="M134" s="4"/>
      <c r="N134" s="8"/>
      <c r="O134" s="7"/>
      <c r="P134" s="7"/>
    </row>
    <row r="135">
      <c r="A135" s="2" t="s">
        <v>1345</v>
      </c>
      <c r="B135" s="2" t="s">
        <v>1178</v>
      </c>
      <c r="C135" s="2" t="s">
        <v>1346</v>
      </c>
      <c r="D135" s="2" t="s">
        <v>1876</v>
      </c>
      <c r="E135" s="4" t="s">
        <v>98</v>
      </c>
      <c r="F135" s="8" t="s">
        <v>98</v>
      </c>
      <c r="G135" s="4" t="s">
        <v>98</v>
      </c>
      <c r="H135" s="8" t="s">
        <v>98</v>
      </c>
      <c r="I135" s="7" t="s">
        <v>98</v>
      </c>
      <c r="J135" s="7" t="s">
        <v>98</v>
      </c>
      <c r="K135" s="4"/>
      <c r="L135" s="8"/>
      <c r="M135" s="4"/>
      <c r="N135" s="8"/>
      <c r="O135" s="7"/>
      <c r="P135" s="7"/>
    </row>
    <row r="136">
      <c r="A136" s="2" t="s">
        <v>1345</v>
      </c>
      <c r="B136" s="2" t="s">
        <v>1178</v>
      </c>
      <c r="C136" s="2" t="s">
        <v>1346</v>
      </c>
      <c r="D136" s="2" t="s">
        <v>1893</v>
      </c>
      <c r="E136" s="4" t="s">
        <v>98</v>
      </c>
      <c r="F136" s="8" t="s">
        <v>98</v>
      </c>
      <c r="G136" s="4" t="s">
        <v>98</v>
      </c>
      <c r="H136" s="8" t="s">
        <v>98</v>
      </c>
      <c r="I136" s="7" t="s">
        <v>98</v>
      </c>
      <c r="J136" s="7" t="s">
        <v>98</v>
      </c>
      <c r="K136" s="4"/>
      <c r="L136" s="8"/>
      <c r="M136" s="4"/>
      <c r="N136" s="8"/>
      <c r="O136" s="7"/>
      <c r="P136" s="7"/>
    </row>
    <row r="137">
      <c r="A137" s="2" t="s">
        <v>1345</v>
      </c>
      <c r="B137" s="2" t="s">
        <v>1178</v>
      </c>
      <c r="C137" s="2" t="s">
        <v>1346</v>
      </c>
      <c r="D137" s="2" t="s">
        <v>1934</v>
      </c>
      <c r="E137" s="4" t="s">
        <v>98</v>
      </c>
      <c r="F137" s="8" t="s">
        <v>98</v>
      </c>
      <c r="G137" s="4" t="s">
        <v>98</v>
      </c>
      <c r="H137" s="8" t="s">
        <v>98</v>
      </c>
      <c r="I137" s="7" t="s">
        <v>98</v>
      </c>
      <c r="J137" s="7" t="s">
        <v>98</v>
      </c>
      <c r="K137" s="4"/>
      <c r="L137" s="8"/>
      <c r="M137" s="4"/>
      <c r="N137" s="8"/>
      <c r="O137" s="7"/>
      <c r="P137" s="7"/>
    </row>
    <row r="138">
      <c r="A138" s="2" t="s">
        <v>1345</v>
      </c>
      <c r="B138" s="2" t="s">
        <v>1178</v>
      </c>
      <c r="C138" s="2" t="s">
        <v>1946</v>
      </c>
      <c r="D138" s="2" t="s">
        <v>1947</v>
      </c>
      <c r="E138" s="4">
        <v>1</v>
      </c>
      <c r="F138" s="8">
        <v>245.55</v>
      </c>
      <c r="G138" s="4">
        <v>3</v>
      </c>
      <c r="H138" s="8">
        <v>848.16</v>
      </c>
      <c r="I138" s="7">
        <v>-0.6667</v>
      </c>
      <c r="J138" s="7">
        <v>-0.7105</v>
      </c>
      <c r="K138" s="4">
        <v>1</v>
      </c>
      <c r="L138" s="8">
        <v>245.55</v>
      </c>
      <c r="M138" s="4">
        <v>3</v>
      </c>
      <c r="N138" s="8">
        <v>848.16</v>
      </c>
      <c r="O138" s="7">
        <v>-0.6667</v>
      </c>
      <c r="P138" s="7">
        <v>-0.7105</v>
      </c>
    </row>
    <row r="139">
      <c r="A139" s="2" t="s">
        <v>1345</v>
      </c>
      <c r="B139" s="2" t="s">
        <v>1178</v>
      </c>
      <c r="C139" s="2" t="s">
        <v>3068</v>
      </c>
      <c r="D139" s="2" t="s">
        <v>3186</v>
      </c>
      <c r="E139" s="4" t="s">
        <v>98</v>
      </c>
      <c r="F139" s="8" t="s">
        <v>98</v>
      </c>
      <c r="G139" s="4" t="s">
        <v>98</v>
      </c>
      <c r="H139" s="8" t="s">
        <v>98</v>
      </c>
      <c r="I139" s="7" t="s">
        <v>98</v>
      </c>
      <c r="J139" s="7" t="s">
        <v>98</v>
      </c>
      <c r="K139" s="4"/>
      <c r="L139" s="8"/>
      <c r="M139" s="4"/>
      <c r="N139" s="8"/>
      <c r="O139" s="7"/>
      <c r="P139" s="7"/>
    </row>
    <row r="140">
      <c r="A140" s="2" t="s">
        <v>1345</v>
      </c>
      <c r="B140" s="2" t="s">
        <v>1178</v>
      </c>
      <c r="C140" s="2" t="s">
        <v>3068</v>
      </c>
      <c r="D140" s="2" t="s">
        <v>3069</v>
      </c>
      <c r="E140" s="4" t="s">
        <v>98</v>
      </c>
      <c r="F140" s="8" t="s">
        <v>98</v>
      </c>
      <c r="G140" s="4" t="s">
        <v>98</v>
      </c>
      <c r="H140" s="8" t="s">
        <v>98</v>
      </c>
      <c r="I140" s="7" t="s">
        <v>98</v>
      </c>
      <c r="J140" s="7" t="s">
        <v>98</v>
      </c>
      <c r="K140" s="4"/>
      <c r="L140" s="8"/>
      <c r="M140" s="4"/>
      <c r="N140" s="8"/>
      <c r="O140" s="7"/>
      <c r="P140" s="7"/>
    </row>
    <row r="141">
      <c r="A141" s="2" t="s">
        <v>1345</v>
      </c>
      <c r="B141" s="2" t="s">
        <v>1178</v>
      </c>
      <c r="C141" s="2" t="s">
        <v>2872</v>
      </c>
      <c r="D141" s="2" t="s">
        <v>2872</v>
      </c>
      <c r="E141" s="4" t="s">
        <v>98</v>
      </c>
      <c r="F141" s="8" t="s">
        <v>98</v>
      </c>
      <c r="G141" s="4" t="s">
        <v>98</v>
      </c>
      <c r="H141" s="8" t="s">
        <v>98</v>
      </c>
      <c r="I141" s="7" t="s">
        <v>98</v>
      </c>
      <c r="J141" s="7" t="s">
        <v>98</v>
      </c>
      <c r="K141" s="4"/>
      <c r="L141" s="8"/>
      <c r="M141" s="4"/>
      <c r="N141" s="8"/>
      <c r="O141" s="7"/>
      <c r="P141" s="7"/>
    </row>
    <row r="142">
      <c r="A142" s="2" t="s">
        <v>1345</v>
      </c>
      <c r="B142" s="2" t="s">
        <v>1178</v>
      </c>
      <c r="C142" s="2" t="s">
        <v>2872</v>
      </c>
      <c r="D142" s="2" t="s">
        <v>2873</v>
      </c>
      <c r="E142" s="4" t="s">
        <v>98</v>
      </c>
      <c r="F142" s="8" t="s">
        <v>98</v>
      </c>
      <c r="G142" s="4" t="s">
        <v>98</v>
      </c>
      <c r="H142" s="8" t="s">
        <v>98</v>
      </c>
      <c r="I142" s="7" t="s">
        <v>98</v>
      </c>
      <c r="J142" s="7" t="s">
        <v>98</v>
      </c>
      <c r="K142" s="4"/>
      <c r="L142" s="8"/>
      <c r="M142" s="4"/>
      <c r="N142" s="8"/>
      <c r="O142" s="7"/>
      <c r="P142" s="7"/>
    </row>
    <row r="143">
      <c r="A143" s="2" t="s">
        <v>1345</v>
      </c>
      <c r="B143" s="2" t="s">
        <v>1178</v>
      </c>
      <c r="C143" s="2" t="s">
        <v>2872</v>
      </c>
      <c r="D143" s="2" t="s">
        <v>1934</v>
      </c>
      <c r="E143" s="4" t="s">
        <v>98</v>
      </c>
      <c r="F143" s="8" t="s">
        <v>98</v>
      </c>
      <c r="G143" s="4" t="s">
        <v>98</v>
      </c>
      <c r="H143" s="8" t="s">
        <v>98</v>
      </c>
      <c r="I143" s="7" t="s">
        <v>98</v>
      </c>
      <c r="J143" s="7" t="s">
        <v>98</v>
      </c>
      <c r="K143" s="4"/>
      <c r="L143" s="8"/>
      <c r="M143" s="4"/>
      <c r="N143" s="8"/>
      <c r="O143" s="7"/>
      <c r="P143" s="7"/>
    </row>
    <row r="144">
      <c r="A144" s="2" t="s">
        <v>1345</v>
      </c>
      <c r="B144" s="2" t="s">
        <v>1178</v>
      </c>
      <c r="C144" s="2" t="s">
        <v>4134</v>
      </c>
      <c r="D144" s="2" t="s">
        <v>4134</v>
      </c>
      <c r="E144" s="4"/>
      <c r="F144" s="8"/>
      <c r="G144" s="4"/>
      <c r="H144" s="8"/>
      <c r="I144" s="7"/>
      <c r="J144" s="7"/>
      <c r="K144" s="4"/>
      <c r="L144" s="8"/>
      <c r="M144" s="4"/>
      <c r="N144" s="8"/>
      <c r="O144" s="7"/>
      <c r="P144" s="7"/>
    </row>
    <row r="145">
      <c r="A145" s="2" t="s">
        <v>1345</v>
      </c>
      <c r="B145" s="2" t="s">
        <v>1178</v>
      </c>
      <c r="C145" s="2" t="s">
        <v>2390</v>
      </c>
      <c r="D145" s="2" t="s">
        <v>2391</v>
      </c>
      <c r="E145" s="4"/>
      <c r="F145" s="8"/>
      <c r="G145" s="4"/>
      <c r="H145" s="8"/>
      <c r="I145" s="7"/>
      <c r="J145" s="7"/>
      <c r="K145" s="4"/>
      <c r="L145" s="8"/>
      <c r="M145" s="4"/>
      <c r="N145" s="8"/>
      <c r="O145" s="7"/>
      <c r="P145" s="7"/>
    </row>
    <row r="146">
      <c r="A146" s="2" t="s">
        <v>1345</v>
      </c>
      <c r="B146" s="2" t="s">
        <v>1178</v>
      </c>
      <c r="C146" s="2" t="s">
        <v>3370</v>
      </c>
      <c r="D146" s="2" t="s">
        <v>3370</v>
      </c>
      <c r="E146" s="4"/>
      <c r="F146" s="8"/>
      <c r="G146" s="4"/>
      <c r="H146" s="8"/>
      <c r="I146" s="7"/>
      <c r="J146" s="7"/>
      <c r="K146" s="4"/>
      <c r="L146" s="8"/>
      <c r="M146" s="4"/>
      <c r="N146" s="8"/>
      <c r="O146" s="7"/>
      <c r="P146" s="7"/>
    </row>
    <row r="147">
      <c r="A147" s="2" t="s">
        <v>1345</v>
      </c>
      <c r="B147" s="2" t="s">
        <v>1178</v>
      </c>
      <c r="C147" s="2" t="s">
        <v>3406</v>
      </c>
      <c r="D147" s="2" t="s">
        <v>3406</v>
      </c>
      <c r="E147" s="4"/>
      <c r="F147" s="8"/>
      <c r="G147" s="4"/>
      <c r="H147" s="8"/>
      <c r="I147" s="7"/>
      <c r="J147" s="7"/>
      <c r="K147" s="4"/>
      <c r="L147" s="8"/>
      <c r="M147" s="4"/>
      <c r="N147" s="8"/>
      <c r="O147" s="7"/>
      <c r="P147" s="7"/>
    </row>
    <row r="148">
      <c r="A148" s="2" t="s">
        <v>1345</v>
      </c>
      <c r="B148" s="2" t="s">
        <v>1178</v>
      </c>
      <c r="C148" s="2" t="s">
        <v>2205</v>
      </c>
      <c r="D148" s="2" t="s">
        <v>2205</v>
      </c>
      <c r="E148" s="4"/>
      <c r="F148" s="8"/>
      <c r="G148" s="4"/>
      <c r="H148" s="8"/>
      <c r="I148" s="7"/>
      <c r="J148" s="7"/>
      <c r="K148" s="4"/>
      <c r="L148" s="8"/>
      <c r="M148" s="4"/>
      <c r="N148" s="8"/>
      <c r="O148" s="7"/>
      <c r="P148" s="7"/>
    </row>
    <row r="149">
      <c r="A149" s="2" t="s">
        <v>1345</v>
      </c>
      <c r="B149" s="2" t="s">
        <v>1178</v>
      </c>
      <c r="C149" s="2" t="s">
        <v>2700</v>
      </c>
      <c r="D149" s="2" t="s">
        <v>2700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  <row r="150">
      <c r="A150" s="2" t="s">
        <v>1345</v>
      </c>
      <c r="B150" s="2" t="s">
        <v>1178</v>
      </c>
      <c r="C150" s="2" t="s">
        <v>2821</v>
      </c>
      <c r="D150" s="2" t="s">
        <v>2821</v>
      </c>
      <c r="E150" s="4"/>
      <c r="F150" s="8"/>
      <c r="G150" s="4"/>
      <c r="H150" s="8"/>
      <c r="I150" s="7"/>
      <c r="J150" s="7"/>
      <c r="K150" s="4"/>
      <c r="L150" s="8"/>
      <c r="M150" s="4"/>
      <c r="N150" s="8"/>
      <c r="O150" s="7"/>
      <c r="P150" s="7"/>
    </row>
    <row r="151">
      <c r="A151" s="2" t="s">
        <v>1345</v>
      </c>
      <c r="B151" s="2" t="s">
        <v>1178</v>
      </c>
      <c r="C151" s="2" t="s">
        <v>3434</v>
      </c>
      <c r="D151" s="2" t="s">
        <v>3435</v>
      </c>
      <c r="E151" s="4"/>
      <c r="F151" s="8"/>
      <c r="G151" s="4"/>
      <c r="H151" s="8"/>
      <c r="I151" s="7"/>
      <c r="J151" s="7"/>
      <c r="K151" s="4"/>
      <c r="L151" s="8"/>
      <c r="M151" s="4"/>
      <c r="N151" s="8"/>
      <c r="O151" s="7"/>
      <c r="P151" s="7"/>
    </row>
    <row r="152">
      <c r="A152" s="2" t="s">
        <v>1345</v>
      </c>
      <c r="B152" s="2" t="s">
        <v>1178</v>
      </c>
      <c r="C152" s="2" t="s">
        <v>4011</v>
      </c>
      <c r="D152" s="2" t="s">
        <v>4011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1345</v>
      </c>
      <c r="B153" s="2" t="s">
        <v>1178</v>
      </c>
      <c r="C153" s="2" t="s">
        <v>2728</v>
      </c>
      <c r="D153" s="2" t="s">
        <v>4398</v>
      </c>
      <c r="E153" s="4" t="s">
        <v>98</v>
      </c>
      <c r="F153" s="8" t="s">
        <v>98</v>
      </c>
      <c r="G153" s="4">
        <v>3</v>
      </c>
      <c r="H153" s="8">
        <v>312.8</v>
      </c>
      <c r="I153" s="7" t="s">
        <v>98</v>
      </c>
      <c r="J153" s="7" t="s">
        <v>98</v>
      </c>
      <c r="K153" s="4"/>
      <c r="L153" s="8"/>
      <c r="M153" s="4">
        <v>3</v>
      </c>
      <c r="N153" s="8">
        <v>312.8</v>
      </c>
      <c r="O153" s="7"/>
      <c r="P153" s="7"/>
    </row>
    <row r="154">
      <c r="A154" s="2" t="s">
        <v>1345</v>
      </c>
      <c r="B154" s="2" t="s">
        <v>1178</v>
      </c>
      <c r="C154" s="2" t="s">
        <v>2728</v>
      </c>
      <c r="D154" s="2" t="s">
        <v>2729</v>
      </c>
      <c r="E154" s="4" t="s">
        <v>98</v>
      </c>
      <c r="F154" s="8" t="s">
        <v>98</v>
      </c>
      <c r="G154" s="4" t="s">
        <v>98</v>
      </c>
      <c r="H154" s="8" t="s">
        <v>98</v>
      </c>
      <c r="I154" s="7" t="s">
        <v>98</v>
      </c>
      <c r="J154" s="7" t="s">
        <v>98</v>
      </c>
      <c r="K154" s="4"/>
      <c r="L154" s="8"/>
      <c r="M154" s="4"/>
      <c r="N154" s="8"/>
      <c r="O154" s="7"/>
      <c r="P154" s="7"/>
    </row>
    <row r="155">
      <c r="A155" s="2" t="s">
        <v>1345</v>
      </c>
      <c r="B155" s="2" t="s">
        <v>1178</v>
      </c>
      <c r="C155" s="2" t="s">
        <v>2728</v>
      </c>
      <c r="D155" s="2" t="s">
        <v>2799</v>
      </c>
      <c r="E155" s="4" t="s">
        <v>98</v>
      </c>
      <c r="F155" s="8" t="s">
        <v>98</v>
      </c>
      <c r="G155" s="4" t="s">
        <v>98</v>
      </c>
      <c r="H155" s="8" t="s">
        <v>98</v>
      </c>
      <c r="I155" s="7" t="s">
        <v>98</v>
      </c>
      <c r="J155" s="7" t="s">
        <v>98</v>
      </c>
      <c r="K155" s="4"/>
      <c r="L155" s="8"/>
      <c r="M155" s="4"/>
      <c r="N155" s="8"/>
      <c r="O155" s="7"/>
      <c r="P155" s="7"/>
    </row>
    <row r="156">
      <c r="A156" s="2" t="s">
        <v>1345</v>
      </c>
      <c r="B156" s="2" t="s">
        <v>1178</v>
      </c>
      <c r="C156" s="2" t="s">
        <v>2728</v>
      </c>
      <c r="D156" s="2" t="s">
        <v>2816</v>
      </c>
      <c r="E156" s="4" t="s">
        <v>98</v>
      </c>
      <c r="F156" s="8" t="s">
        <v>98</v>
      </c>
      <c r="G156" s="4" t="s">
        <v>98</v>
      </c>
      <c r="H156" s="8" t="s">
        <v>98</v>
      </c>
      <c r="I156" s="7" t="s">
        <v>98</v>
      </c>
      <c r="J156" s="7" t="s">
        <v>98</v>
      </c>
      <c r="K156" s="4"/>
      <c r="L156" s="8"/>
      <c r="M156" s="4"/>
      <c r="N156" s="8"/>
      <c r="O156" s="7"/>
      <c r="P156" s="7"/>
    </row>
    <row r="157">
      <c r="A157" s="2" t="s">
        <v>1345</v>
      </c>
      <c r="B157" s="2" t="s">
        <v>1178</v>
      </c>
      <c r="C157" s="2" t="s">
        <v>3213</v>
      </c>
      <c r="D157" s="2" t="s">
        <v>3213</v>
      </c>
      <c r="E157" s="4"/>
      <c r="F157" s="8"/>
      <c r="G157" s="4"/>
      <c r="H157" s="8"/>
      <c r="I157" s="7"/>
      <c r="J157" s="7"/>
      <c r="K157" s="4"/>
      <c r="L157" s="8"/>
      <c r="M157" s="4"/>
      <c r="N157" s="8"/>
      <c r="O157" s="7"/>
      <c r="P157" s="7"/>
    </row>
    <row r="158">
      <c r="A158" s="2" t="s">
        <v>1345</v>
      </c>
      <c r="B158" s="2" t="s">
        <v>4477</v>
      </c>
      <c r="C158" s="2" t="s">
        <v>2205</v>
      </c>
      <c r="D158" s="2" t="s">
        <v>2205</v>
      </c>
      <c r="E158" s="4">
        <v>2</v>
      </c>
      <c r="F158" s="8">
        <v>214.32</v>
      </c>
      <c r="G158" s="4"/>
      <c r="H158" s="8"/>
      <c r="I158" s="7"/>
      <c r="J158" s="7"/>
      <c r="K158" s="4">
        <v>2</v>
      </c>
      <c r="L158" s="8">
        <v>214.32</v>
      </c>
      <c r="M158" s="4"/>
      <c r="N158" s="8"/>
      <c r="O158" s="7"/>
      <c r="P158" s="7"/>
    </row>
    <row r="159">
      <c r="A159" s="2" t="s">
        <v>1345</v>
      </c>
      <c r="B159" s="2" t="s">
        <v>4477</v>
      </c>
      <c r="C159" s="2" t="s">
        <v>3068</v>
      </c>
      <c r="D159" s="2" t="s">
        <v>3186</v>
      </c>
      <c r="E159" s="4"/>
      <c r="F159" s="8"/>
      <c r="G159" s="4"/>
      <c r="H159" s="8"/>
      <c r="I159" s="7"/>
      <c r="J159" s="7"/>
      <c r="K159" s="4"/>
      <c r="L159" s="8"/>
      <c r="M159" s="4"/>
      <c r="N159" s="8"/>
      <c r="O159" s="7"/>
      <c r="P159" s="7"/>
    </row>
    <row r="160">
      <c r="A160" s="2" t="s">
        <v>1345</v>
      </c>
      <c r="B160" s="2" t="s">
        <v>4477</v>
      </c>
      <c r="C160" s="2" t="s">
        <v>1346</v>
      </c>
      <c r="D160" s="2" t="s">
        <v>1876</v>
      </c>
      <c r="E160" s="4"/>
      <c r="F160" s="8"/>
      <c r="G160" s="4"/>
      <c r="H160" s="8"/>
      <c r="I160" s="7"/>
      <c r="J160" s="7"/>
      <c r="K160" s="4"/>
      <c r="L160" s="8"/>
      <c r="M160" s="4"/>
      <c r="N160" s="8"/>
      <c r="O160" s="7"/>
      <c r="P160" s="7"/>
    </row>
    <row r="161">
      <c r="A161" s="2" t="s">
        <v>1345</v>
      </c>
      <c r="B161" s="2" t="s">
        <v>4477</v>
      </c>
      <c r="C161" s="2" t="s">
        <v>3370</v>
      </c>
      <c r="D161" s="2" t="s">
        <v>3370</v>
      </c>
      <c r="E161" s="4"/>
      <c r="F161" s="8"/>
      <c r="G161" s="4"/>
      <c r="H161" s="8"/>
      <c r="I161" s="7"/>
      <c r="J161" s="7"/>
      <c r="K161" s="4"/>
      <c r="L161" s="8"/>
      <c r="M161" s="4"/>
      <c r="N161" s="8"/>
      <c r="O161" s="7"/>
      <c r="P161" s="7"/>
    </row>
    <row r="162">
      <c r="A162" s="2" t="s">
        <v>1345</v>
      </c>
      <c r="B162" s="2" t="s">
        <v>4477</v>
      </c>
      <c r="C162" s="2" t="s">
        <v>3406</v>
      </c>
      <c r="D162" s="2" t="s">
        <v>3406</v>
      </c>
      <c r="E162" s="4"/>
      <c r="F162" s="8"/>
      <c r="G162" s="4"/>
      <c r="H162" s="8"/>
      <c r="I162" s="7"/>
      <c r="J162" s="7"/>
      <c r="K162" s="4"/>
      <c r="L162" s="8"/>
      <c r="M162" s="4"/>
      <c r="N162" s="8"/>
      <c r="O162" s="7"/>
      <c r="P162" s="7"/>
    </row>
    <row r="163">
      <c r="A163" s="2" t="s">
        <v>1345</v>
      </c>
      <c r="B163" s="2" t="s">
        <v>4477</v>
      </c>
      <c r="C163" s="2" t="s">
        <v>2728</v>
      </c>
      <c r="D163" s="2" t="s">
        <v>2816</v>
      </c>
      <c r="E163" s="4"/>
      <c r="F163" s="8"/>
      <c r="G163" s="4"/>
      <c r="H163" s="8"/>
      <c r="I163" s="7"/>
      <c r="J163" s="7"/>
      <c r="K163" s="4"/>
      <c r="L163" s="8"/>
      <c r="M163" s="4"/>
      <c r="N163" s="8"/>
      <c r="O163" s="7"/>
      <c r="P163" s="7"/>
    </row>
    <row r="164">
      <c r="A164" s="2" t="s">
        <v>1345</v>
      </c>
      <c r="B164" s="2" t="s">
        <v>4557</v>
      </c>
      <c r="C164" s="2" t="s">
        <v>2728</v>
      </c>
      <c r="D164" s="2" t="s">
        <v>2775</v>
      </c>
      <c r="E164" s="4"/>
      <c r="F164" s="8"/>
      <c r="G164" s="4"/>
      <c r="H164" s="8"/>
      <c r="I164" s="7"/>
      <c r="J164" s="7"/>
      <c r="K164" s="4"/>
      <c r="L164" s="8"/>
      <c r="M164" s="4"/>
      <c r="N164" s="8"/>
      <c r="O164" s="7"/>
      <c r="P164" s="7"/>
    </row>
    <row r="165">
      <c r="A165" s="2" t="s">
        <v>1345</v>
      </c>
      <c r="B165" s="2" t="s">
        <v>1934</v>
      </c>
      <c r="C165" s="2" t="s">
        <v>3068</v>
      </c>
      <c r="D165" s="2" t="s">
        <v>3186</v>
      </c>
      <c r="E165" s="4"/>
      <c r="F165" s="8"/>
      <c r="G165" s="4"/>
      <c r="H165" s="8"/>
      <c r="I165" s="7"/>
      <c r="J165" s="7"/>
      <c r="K165" s="4"/>
      <c r="L165" s="8"/>
      <c r="M165" s="4"/>
      <c r="N165" s="8"/>
      <c r="O165" s="7"/>
      <c r="P165" s="7"/>
    </row>
    <row r="166">
      <c r="A166" s="2" t="s">
        <v>1345</v>
      </c>
      <c r="B166" s="2" t="s">
        <v>1934</v>
      </c>
      <c r="C166" s="2" t="s">
        <v>1346</v>
      </c>
      <c r="D166" s="2" t="s">
        <v>1876</v>
      </c>
      <c r="E166" s="4"/>
      <c r="F166" s="8"/>
      <c r="G166" s="4"/>
      <c r="H166" s="8"/>
      <c r="I166" s="7"/>
      <c r="J166" s="7"/>
      <c r="K166" s="4"/>
      <c r="L166" s="8"/>
      <c r="M166" s="4"/>
      <c r="N166" s="8"/>
      <c r="O166" s="7"/>
      <c r="P166" s="7"/>
    </row>
    <row r="167">
      <c r="A167" s="2" t="s">
        <v>1345</v>
      </c>
      <c r="B167" s="2" t="s">
        <v>1934</v>
      </c>
      <c r="C167" s="2" t="s">
        <v>2390</v>
      </c>
      <c r="D167" s="2" t="s">
        <v>2391</v>
      </c>
      <c r="E167" s="4"/>
      <c r="F167" s="8"/>
      <c r="G167" s="4"/>
      <c r="H167" s="8"/>
      <c r="I167" s="7"/>
      <c r="J167" s="7"/>
      <c r="K167" s="4"/>
      <c r="L167" s="8"/>
      <c r="M167" s="4"/>
      <c r="N167" s="8"/>
      <c r="O167" s="7"/>
      <c r="P167" s="7"/>
    </row>
    <row r="168">
      <c r="A168" s="2" t="s">
        <v>1345</v>
      </c>
      <c r="B168" s="2" t="s">
        <v>1934</v>
      </c>
      <c r="C168" s="2" t="s">
        <v>2205</v>
      </c>
      <c r="D168" s="2" t="s">
        <v>2205</v>
      </c>
      <c r="E168" s="4"/>
      <c r="F168" s="8"/>
      <c r="G168" s="4"/>
      <c r="H168" s="8"/>
      <c r="I168" s="7"/>
      <c r="J168" s="7"/>
      <c r="K168" s="4"/>
      <c r="L168" s="8"/>
      <c r="M168" s="4"/>
      <c r="N168" s="8"/>
      <c r="O168" s="7"/>
      <c r="P168" s="7"/>
    </row>
    <row r="169">
      <c r="A169" s="2" t="s">
        <v>1345</v>
      </c>
      <c r="B169" s="2" t="s">
        <v>1934</v>
      </c>
      <c r="C169" s="2" t="s">
        <v>3213</v>
      </c>
      <c r="D169" s="2" t="s">
        <v>3213</v>
      </c>
      <c r="E169" s="4"/>
      <c r="F169" s="8"/>
      <c r="G169" s="4"/>
      <c r="H169" s="8"/>
      <c r="I169" s="7"/>
      <c r="J169" s="7"/>
      <c r="K169" s="4"/>
      <c r="L169" s="8"/>
      <c r="M169" s="4"/>
      <c r="N169" s="8"/>
      <c r="O169" s="7"/>
      <c r="P169" s="7"/>
    </row>
    <row r="170">
      <c r="A170" s="2" t="s">
        <v>4584</v>
      </c>
      <c r="B170" s="2" t="s">
        <v>4477</v>
      </c>
      <c r="C170" s="2" t="s">
        <v>4585</v>
      </c>
      <c r="D170" s="2" t="s">
        <v>4586</v>
      </c>
      <c r="E170" s="4">
        <v>3</v>
      </c>
      <c r="F170" s="8">
        <v>189.44</v>
      </c>
      <c r="G170" s="4">
        <v>1</v>
      </c>
      <c r="H170" s="8">
        <v>85.28</v>
      </c>
      <c r="I170" s="7">
        <v>2</v>
      </c>
      <c r="J170" s="7">
        <v>1.2214</v>
      </c>
      <c r="K170" s="4">
        <v>3</v>
      </c>
      <c r="L170" s="8">
        <v>189.44</v>
      </c>
      <c r="M170" s="4">
        <v>1</v>
      </c>
      <c r="N170" s="8">
        <v>85.28</v>
      </c>
      <c r="O170" s="7">
        <v>2</v>
      </c>
      <c r="P170" s="7">
        <v>1.2214</v>
      </c>
    </row>
    <row r="171">
      <c r="A171" s="2" t="s">
        <v>4584</v>
      </c>
      <c r="B171" s="2" t="s">
        <v>4477</v>
      </c>
      <c r="C171" s="2" t="s">
        <v>4686</v>
      </c>
      <c r="D171" s="2" t="s">
        <v>4687</v>
      </c>
      <c r="E171" s="4"/>
      <c r="F171" s="8"/>
      <c r="G171" s="4"/>
      <c r="H171" s="8"/>
      <c r="I171" s="7"/>
      <c r="J171" s="7"/>
      <c r="K171" s="4"/>
      <c r="L171" s="8"/>
      <c r="M171" s="4"/>
      <c r="N171" s="8"/>
      <c r="O171" s="7"/>
      <c r="P171" s="7"/>
    </row>
    <row r="172">
      <c r="A172" s="2" t="s">
        <v>4584</v>
      </c>
      <c r="B172" s="2" t="s">
        <v>4694</v>
      </c>
      <c r="C172" s="2" t="s">
        <v>4585</v>
      </c>
      <c r="D172" s="2" t="s">
        <v>4586</v>
      </c>
      <c r="E172" s="4">
        <v>2</v>
      </c>
      <c r="F172" s="8">
        <v>103.08</v>
      </c>
      <c r="G172" s="4"/>
      <c r="H172" s="8"/>
      <c r="I172" s="7"/>
      <c r="J172" s="7"/>
      <c r="K172" s="4">
        <v>2</v>
      </c>
      <c r="L172" s="8">
        <v>103.08</v>
      </c>
      <c r="M172" s="4"/>
      <c r="N172" s="8"/>
      <c r="O172" s="7"/>
      <c r="P172" s="7"/>
    </row>
    <row r="173">
      <c r="A173" s="2" t="s">
        <v>4584</v>
      </c>
      <c r="B173" s="2" t="s">
        <v>4694</v>
      </c>
      <c r="C173" s="2" t="s">
        <v>4686</v>
      </c>
      <c r="D173" s="2" t="s">
        <v>4687</v>
      </c>
      <c r="E173" s="4"/>
      <c r="F173" s="8"/>
      <c r="G173" s="4"/>
      <c r="H173" s="8"/>
      <c r="I173" s="7"/>
      <c r="J173" s="7"/>
      <c r="K173" s="4"/>
      <c r="L173" s="8"/>
      <c r="M173" s="4"/>
      <c r="N173" s="8"/>
      <c r="O173" s="7"/>
      <c r="P173" s="7"/>
    </row>
    <row r="174">
      <c r="A174" s="2" t="s">
        <v>4584</v>
      </c>
      <c r="B174" s="2" t="s">
        <v>4694</v>
      </c>
      <c r="C174" s="2" t="s">
        <v>4806</v>
      </c>
      <c r="D174" s="2" t="s">
        <v>4807</v>
      </c>
      <c r="E174" s="4"/>
      <c r="F174" s="8"/>
      <c r="G174" s="4"/>
      <c r="H174" s="8"/>
      <c r="I174" s="7"/>
      <c r="J174" s="7"/>
      <c r="K174" s="4"/>
      <c r="L174" s="8"/>
      <c r="M174" s="4"/>
      <c r="N174" s="8"/>
      <c r="O174" s="7"/>
      <c r="P174" s="7"/>
    </row>
    <row r="175">
      <c r="A175" s="2" t="s">
        <v>4584</v>
      </c>
      <c r="B175" s="2" t="s">
        <v>4694</v>
      </c>
      <c r="C175" s="2" t="s">
        <v>4832</v>
      </c>
      <c r="D175" s="2" t="s">
        <v>4833</v>
      </c>
      <c r="E175" s="4"/>
      <c r="F175" s="8"/>
      <c r="G175" s="4"/>
      <c r="H175" s="8"/>
      <c r="I175" s="7"/>
      <c r="J175" s="7"/>
      <c r="K175" s="4"/>
      <c r="L175" s="8"/>
      <c r="M175" s="4"/>
      <c r="N175" s="8"/>
      <c r="O175" s="7"/>
      <c r="P175" s="7"/>
    </row>
    <row r="176">
      <c r="A176" s="2" t="s">
        <v>4584</v>
      </c>
      <c r="B176" s="2" t="s">
        <v>4694</v>
      </c>
      <c r="C176" s="2" t="s">
        <v>4858</v>
      </c>
      <c r="D176" s="2" t="s">
        <v>4859</v>
      </c>
      <c r="E176" s="4"/>
      <c r="F176" s="8"/>
      <c r="G176" s="4"/>
      <c r="H176" s="8"/>
      <c r="I176" s="7"/>
      <c r="J176" s="7"/>
      <c r="K176" s="4"/>
      <c r="L176" s="8"/>
      <c r="M176" s="4"/>
      <c r="N176" s="8"/>
      <c r="O176" s="7"/>
      <c r="P176" s="7"/>
    </row>
    <row r="177">
      <c r="A177" s="2" t="s">
        <v>4584</v>
      </c>
      <c r="B177" s="2" t="s">
        <v>952</v>
      </c>
      <c r="C177" s="2" t="s">
        <v>4585</v>
      </c>
      <c r="D177" s="2" t="s">
        <v>4586</v>
      </c>
      <c r="E177" s="4">
        <v>2</v>
      </c>
      <c r="F177" s="8">
        <v>97.02</v>
      </c>
      <c r="G177" s="4"/>
      <c r="H177" s="8"/>
      <c r="I177" s="7"/>
      <c r="J177" s="7"/>
      <c r="K177" s="4">
        <v>2</v>
      </c>
      <c r="L177" s="8">
        <v>97.02</v>
      </c>
      <c r="M177" s="4"/>
      <c r="N177" s="8"/>
      <c r="O177" s="7"/>
      <c r="P177" s="7"/>
    </row>
    <row r="178">
      <c r="A178" s="2" t="s">
        <v>4584</v>
      </c>
      <c r="B178" s="2" t="s">
        <v>952</v>
      </c>
      <c r="C178" s="2" t="s">
        <v>4686</v>
      </c>
      <c r="D178" s="2" t="s">
        <v>4687</v>
      </c>
      <c r="E178" s="4"/>
      <c r="F178" s="8"/>
      <c r="G178" s="4"/>
      <c r="H178" s="8"/>
      <c r="I178" s="7"/>
      <c r="J178" s="7"/>
      <c r="K178" s="4"/>
      <c r="L178" s="8"/>
      <c r="M178" s="4"/>
      <c r="N178" s="8"/>
      <c r="O178" s="7"/>
      <c r="P178" s="7"/>
    </row>
    <row r="179">
      <c r="A179" s="2" t="s">
        <v>4584</v>
      </c>
      <c r="B179" s="2" t="s">
        <v>952</v>
      </c>
      <c r="C179" s="2" t="s">
        <v>4806</v>
      </c>
      <c r="D179" s="2" t="s">
        <v>4807</v>
      </c>
      <c r="E179" s="4"/>
      <c r="F179" s="8"/>
      <c r="G179" s="4">
        <v>1</v>
      </c>
      <c r="H179" s="8">
        <v>95.31</v>
      </c>
      <c r="I179" s="7"/>
      <c r="J179" s="7"/>
      <c r="K179" s="4"/>
      <c r="L179" s="8"/>
      <c r="M179" s="4">
        <v>1</v>
      </c>
      <c r="N179" s="8">
        <v>95.31</v>
      </c>
      <c r="O179" s="7"/>
      <c r="P179" s="7"/>
    </row>
    <row r="180">
      <c r="A180" s="2" t="s">
        <v>4584</v>
      </c>
      <c r="B180" s="2" t="s">
        <v>952</v>
      </c>
      <c r="C180" s="2" t="s">
        <v>5029</v>
      </c>
      <c r="D180" s="2" t="s">
        <v>5030</v>
      </c>
      <c r="E180" s="4"/>
      <c r="F180" s="8"/>
      <c r="G180" s="4"/>
      <c r="H180" s="8"/>
      <c r="I180" s="7"/>
      <c r="J180" s="7"/>
      <c r="K180" s="4"/>
      <c r="L180" s="8"/>
      <c r="M180" s="4"/>
      <c r="N180" s="8"/>
      <c r="O180" s="7"/>
      <c r="P180" s="7"/>
    </row>
    <row r="181">
      <c r="A181" s="2" t="s">
        <v>4584</v>
      </c>
      <c r="B181" s="2" t="s">
        <v>952</v>
      </c>
      <c r="C181" s="2" t="s">
        <v>4832</v>
      </c>
      <c r="D181" s="2" t="s">
        <v>4833</v>
      </c>
      <c r="E181" s="4"/>
      <c r="F181" s="8"/>
      <c r="G181" s="4"/>
      <c r="H181" s="8"/>
      <c r="I181" s="7"/>
      <c r="J181" s="7"/>
      <c r="K181" s="4"/>
      <c r="L181" s="8"/>
      <c r="M181" s="4"/>
      <c r="N181" s="8"/>
      <c r="O181" s="7"/>
      <c r="P181" s="7"/>
    </row>
    <row r="182">
      <c r="A182" s="2" t="s">
        <v>4584</v>
      </c>
      <c r="B182" s="2" t="s">
        <v>952</v>
      </c>
      <c r="C182" s="2" t="s">
        <v>4858</v>
      </c>
      <c r="D182" s="2" t="s">
        <v>4859</v>
      </c>
      <c r="E182" s="4"/>
      <c r="F182" s="8"/>
      <c r="G182" s="4"/>
      <c r="H182" s="8"/>
      <c r="I182" s="7"/>
      <c r="J182" s="7"/>
      <c r="K182" s="4"/>
      <c r="L182" s="8"/>
      <c r="M182" s="4"/>
      <c r="N182" s="8"/>
      <c r="O182" s="7"/>
      <c r="P182" s="7"/>
    </row>
    <row r="183">
      <c r="A183" s="2" t="s">
        <v>4584</v>
      </c>
      <c r="B183" s="2" t="s">
        <v>1178</v>
      </c>
      <c r="C183" s="2" t="s">
        <v>4806</v>
      </c>
      <c r="D183" s="2" t="s">
        <v>4807</v>
      </c>
      <c r="E183" s="4">
        <v>1</v>
      </c>
      <c r="F183" s="8">
        <v>95.26</v>
      </c>
      <c r="G183" s="4"/>
      <c r="H183" s="8"/>
      <c r="I183" s="7"/>
      <c r="J183" s="7"/>
      <c r="K183" s="4">
        <v>1</v>
      </c>
      <c r="L183" s="8">
        <v>95.26</v>
      </c>
      <c r="M183" s="4"/>
      <c r="N183" s="8"/>
      <c r="O183" s="7"/>
      <c r="P183" s="7"/>
    </row>
    <row r="184">
      <c r="A184" s="2" t="s">
        <v>4584</v>
      </c>
      <c r="B184" s="2" t="s">
        <v>1178</v>
      </c>
      <c r="C184" s="2" t="s">
        <v>4686</v>
      </c>
      <c r="D184" s="2" t="s">
        <v>4687</v>
      </c>
      <c r="E184" s="4"/>
      <c r="F184" s="8"/>
      <c r="G184" s="4"/>
      <c r="H184" s="8"/>
      <c r="I184" s="7"/>
      <c r="J184" s="7"/>
      <c r="K184" s="4"/>
      <c r="L184" s="8"/>
      <c r="M184" s="4"/>
      <c r="N184" s="8"/>
      <c r="O184" s="7"/>
      <c r="P184" s="7"/>
    </row>
    <row r="185">
      <c r="A185" s="2" t="s">
        <v>4584</v>
      </c>
      <c r="B185" s="2" t="s">
        <v>1178</v>
      </c>
      <c r="C185" s="2" t="s">
        <v>4585</v>
      </c>
      <c r="D185" s="2" t="s">
        <v>4586</v>
      </c>
      <c r="E185" s="4"/>
      <c r="F185" s="8"/>
      <c r="G185" s="4">
        <v>2</v>
      </c>
      <c r="H185" s="8">
        <v>136.54</v>
      </c>
      <c r="I185" s="7"/>
      <c r="J185" s="7"/>
      <c r="K185" s="4"/>
      <c r="L185" s="8"/>
      <c r="M185" s="4">
        <v>2</v>
      </c>
      <c r="N185" s="8">
        <v>136.54</v>
      </c>
      <c r="O185" s="7"/>
      <c r="P185" s="7"/>
    </row>
    <row r="186">
      <c r="A186" s="2" t="s">
        <v>4584</v>
      </c>
      <c r="B186" s="2" t="s">
        <v>1315</v>
      </c>
      <c r="C186" s="2" t="s">
        <v>4686</v>
      </c>
      <c r="D186" s="2" t="s">
        <v>4687</v>
      </c>
      <c r="E186" s="4"/>
      <c r="F186" s="8"/>
      <c r="G186" s="4"/>
      <c r="H186" s="8"/>
      <c r="I186" s="7"/>
      <c r="J186" s="7"/>
      <c r="K186" s="4"/>
      <c r="L186" s="8"/>
      <c r="M186" s="4"/>
      <c r="N186" s="8"/>
      <c r="O186" s="7"/>
      <c r="P186" s="7"/>
    </row>
    <row r="187">
      <c r="A187" s="2" t="s">
        <v>4584</v>
      </c>
      <c r="B187" s="2" t="s">
        <v>1315</v>
      </c>
      <c r="C187" s="2" t="s">
        <v>4806</v>
      </c>
      <c r="D187" s="2" t="s">
        <v>4807</v>
      </c>
      <c r="E187" s="4"/>
      <c r="F187" s="8"/>
      <c r="G187" s="4"/>
      <c r="H187" s="8"/>
      <c r="I187" s="7"/>
      <c r="J187" s="7"/>
      <c r="K187" s="4"/>
      <c r="L187" s="8"/>
      <c r="M187" s="4"/>
      <c r="N187" s="8"/>
      <c r="O187" s="7"/>
      <c r="P187" s="7"/>
    </row>
    <row r="188">
      <c r="A188" s="2" t="s">
        <v>4584</v>
      </c>
      <c r="B188" s="2" t="s">
        <v>1315</v>
      </c>
      <c r="C188" s="2" t="s">
        <v>4585</v>
      </c>
      <c r="D188" s="2" t="s">
        <v>4586</v>
      </c>
      <c r="E188" s="4"/>
      <c r="F188" s="8"/>
      <c r="G188" s="4"/>
      <c r="H188" s="8"/>
      <c r="I188" s="7"/>
      <c r="J188" s="7"/>
      <c r="K188" s="4"/>
      <c r="L188" s="8"/>
      <c r="M188" s="4"/>
      <c r="N188" s="8"/>
      <c r="O188" s="7"/>
      <c r="P18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3:E15"/>
    <mergeCell ref="F13:F15"/>
    <mergeCell ref="G13:G15"/>
    <mergeCell ref="H13:H15"/>
    <mergeCell ref="I13:I15"/>
    <mergeCell ref="J13:J15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6:E27"/>
    <mergeCell ref="F26:F27"/>
    <mergeCell ref="G26:G27"/>
    <mergeCell ref="H26:H27"/>
    <mergeCell ref="I26:I27"/>
    <mergeCell ref="J26:J27"/>
    <mergeCell ref="E29:E30"/>
    <mergeCell ref="F29:F30"/>
    <mergeCell ref="G29:G30"/>
    <mergeCell ref="H29:H30"/>
    <mergeCell ref="I29:I30"/>
    <mergeCell ref="J29:J30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41:E42"/>
    <mergeCell ref="F41:F42"/>
    <mergeCell ref="G41:G42"/>
    <mergeCell ref="H41:H42"/>
    <mergeCell ref="I41:I42"/>
    <mergeCell ref="J41:J42"/>
    <mergeCell ref="E43:E44"/>
    <mergeCell ref="F43:F44"/>
    <mergeCell ref="G43:G44"/>
    <mergeCell ref="H43:H44"/>
    <mergeCell ref="I43:I44"/>
    <mergeCell ref="J43:J44"/>
    <mergeCell ref="E46:E49"/>
    <mergeCell ref="F46:F49"/>
    <mergeCell ref="G46:G49"/>
    <mergeCell ref="H46:H49"/>
    <mergeCell ref="I46:I49"/>
    <mergeCell ref="J46:J49"/>
    <mergeCell ref="E50:E52"/>
    <mergeCell ref="F50:F52"/>
    <mergeCell ref="G50:G52"/>
    <mergeCell ref="H50:H52"/>
    <mergeCell ref="I50:I52"/>
    <mergeCell ref="J50:J52"/>
    <mergeCell ref="E53:E54"/>
    <mergeCell ref="F53:F54"/>
    <mergeCell ref="G53:G54"/>
    <mergeCell ref="H53:H54"/>
    <mergeCell ref="I53:I54"/>
    <mergeCell ref="J53:J54"/>
    <mergeCell ref="E55:E56"/>
    <mergeCell ref="F55:F56"/>
    <mergeCell ref="G55:G56"/>
    <mergeCell ref="H55:H56"/>
    <mergeCell ref="I55:I56"/>
    <mergeCell ref="J55:J56"/>
    <mergeCell ref="E58:E62"/>
    <mergeCell ref="F58:F62"/>
    <mergeCell ref="G58:G62"/>
    <mergeCell ref="H58:H62"/>
    <mergeCell ref="I58:I62"/>
    <mergeCell ref="J58:J62"/>
    <mergeCell ref="E64:E66"/>
    <mergeCell ref="F64:F66"/>
    <mergeCell ref="G64:G66"/>
    <mergeCell ref="H64:H66"/>
    <mergeCell ref="I64:I66"/>
    <mergeCell ref="J64:J66"/>
    <mergeCell ref="E67:E68"/>
    <mergeCell ref="F67:F68"/>
    <mergeCell ref="G67:G68"/>
    <mergeCell ref="H67:H68"/>
    <mergeCell ref="I67:I68"/>
    <mergeCell ref="J67:J68"/>
    <mergeCell ref="E69:E70"/>
    <mergeCell ref="F69:F70"/>
    <mergeCell ref="G69:G70"/>
    <mergeCell ref="H69:H70"/>
    <mergeCell ref="I69:I70"/>
    <mergeCell ref="J69:J70"/>
    <mergeCell ref="E71:E72"/>
    <mergeCell ref="F71:F72"/>
    <mergeCell ref="G71:G72"/>
    <mergeCell ref="H71:H72"/>
    <mergeCell ref="I71:I72"/>
    <mergeCell ref="J71:J72"/>
    <mergeCell ref="E80:E82"/>
    <mergeCell ref="F80:F82"/>
    <mergeCell ref="G80:G82"/>
    <mergeCell ref="H80:H82"/>
    <mergeCell ref="I80:I82"/>
    <mergeCell ref="J80:J82"/>
    <mergeCell ref="E83:E86"/>
    <mergeCell ref="F83:F86"/>
    <mergeCell ref="G83:G86"/>
    <mergeCell ref="H83:H86"/>
    <mergeCell ref="I83:I86"/>
    <mergeCell ref="J83:J86"/>
    <mergeCell ref="E87:E90"/>
    <mergeCell ref="F87:F90"/>
    <mergeCell ref="G87:G90"/>
    <mergeCell ref="H87:H90"/>
    <mergeCell ref="I87:I90"/>
    <mergeCell ref="J87:J90"/>
    <mergeCell ref="E91:E92"/>
    <mergeCell ref="F91:F92"/>
    <mergeCell ref="G91:G92"/>
    <mergeCell ref="H91:H92"/>
    <mergeCell ref="I91:I92"/>
    <mergeCell ref="J91:J92"/>
    <mergeCell ref="E93:E94"/>
    <mergeCell ref="F93:F94"/>
    <mergeCell ref="G93:G94"/>
    <mergeCell ref="H93:H94"/>
    <mergeCell ref="I93:I94"/>
    <mergeCell ref="J93:J94"/>
    <mergeCell ref="E95:E97"/>
    <mergeCell ref="F95:F97"/>
    <mergeCell ref="G95:G97"/>
    <mergeCell ref="H95:H97"/>
    <mergeCell ref="I95:I97"/>
    <mergeCell ref="J95:J97"/>
    <mergeCell ref="E101:E102"/>
    <mergeCell ref="F101:F102"/>
    <mergeCell ref="G101:G102"/>
    <mergeCell ref="H101:H102"/>
    <mergeCell ref="I101:I102"/>
    <mergeCell ref="J101:J102"/>
    <mergeCell ref="E106:E107"/>
    <mergeCell ref="F106:F107"/>
    <mergeCell ref="G106:G107"/>
    <mergeCell ref="H106:H107"/>
    <mergeCell ref="I106:I107"/>
    <mergeCell ref="J106:J107"/>
    <mergeCell ref="E112:E113"/>
    <mergeCell ref="F112:F113"/>
    <mergeCell ref="G112:G113"/>
    <mergeCell ref="H112:H113"/>
    <mergeCell ref="I112:I113"/>
    <mergeCell ref="J112:J113"/>
    <mergeCell ref="E114:E115"/>
    <mergeCell ref="F114:F115"/>
    <mergeCell ref="G114:G115"/>
    <mergeCell ref="H114:H115"/>
    <mergeCell ref="I114:I115"/>
    <mergeCell ref="J114:J115"/>
    <mergeCell ref="E117:E118"/>
    <mergeCell ref="F117:F118"/>
    <mergeCell ref="G117:G118"/>
    <mergeCell ref="H117:H118"/>
    <mergeCell ref="I117:I118"/>
    <mergeCell ref="J117:J118"/>
    <mergeCell ref="E122:E123"/>
    <mergeCell ref="F122:F123"/>
    <mergeCell ref="G122:G123"/>
    <mergeCell ref="H122:H123"/>
    <mergeCell ref="I122:I123"/>
    <mergeCell ref="J122:J123"/>
    <mergeCell ref="E124:E125"/>
    <mergeCell ref="F124:F125"/>
    <mergeCell ref="G124:G125"/>
    <mergeCell ref="H124:H125"/>
    <mergeCell ref="I124:I125"/>
    <mergeCell ref="J124:J125"/>
    <mergeCell ref="E127:E128"/>
    <mergeCell ref="F127:F128"/>
    <mergeCell ref="G127:G128"/>
    <mergeCell ref="H127:H128"/>
    <mergeCell ref="I127:I128"/>
    <mergeCell ref="J127:J128"/>
    <mergeCell ref="E129:E131"/>
    <mergeCell ref="F129:F131"/>
    <mergeCell ref="G129:G131"/>
    <mergeCell ref="H129:H131"/>
    <mergeCell ref="I129:I131"/>
    <mergeCell ref="J129:J131"/>
    <mergeCell ref="E133:E137"/>
    <mergeCell ref="F133:F137"/>
    <mergeCell ref="G133:G137"/>
    <mergeCell ref="H133:H137"/>
    <mergeCell ref="I133:I137"/>
    <mergeCell ref="J133:J137"/>
    <mergeCell ref="E139:E140"/>
    <mergeCell ref="F139:F140"/>
    <mergeCell ref="G139:G140"/>
    <mergeCell ref="H139:H140"/>
    <mergeCell ref="I139:I140"/>
    <mergeCell ref="J139:J140"/>
    <mergeCell ref="E141:E143"/>
    <mergeCell ref="F141:F143"/>
    <mergeCell ref="G141:G143"/>
    <mergeCell ref="H141:H143"/>
    <mergeCell ref="I141:I143"/>
    <mergeCell ref="J141:J143"/>
    <mergeCell ref="E153:E156"/>
    <mergeCell ref="F153:F156"/>
    <mergeCell ref="G153:G156"/>
    <mergeCell ref="H153:H156"/>
    <mergeCell ref="I153:I156"/>
    <mergeCell ref="J153:J15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7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5145</v>
      </c>
      <c r="D2" s="0" t="s">
        <v>5146</v>
      </c>
      <c r="E2" s="0" t="s">
        <v>5147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5148</v>
      </c>
      <c r="I4" s="1" t="s">
        <v>5149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5150</v>
      </c>
      <c r="O4" s="1" t="s">
        <v>5151</v>
      </c>
    </row>
    <row r="5">
      <c r="A5" s="1" t="s">
        <v>52</v>
      </c>
      <c r="B5" s="1" t="s">
        <v>54</v>
      </c>
      <c r="C5" s="1" t="s">
        <v>55</v>
      </c>
      <c r="D5" s="1" t="s">
        <v>5152</v>
      </c>
      <c r="E5" s="1" t="s">
        <v>5153</v>
      </c>
      <c r="F5" s="1" t="s">
        <v>5152</v>
      </c>
      <c r="G5" s="1" t="s">
        <v>5153</v>
      </c>
      <c r="H5" s="1" t="s">
        <v>5148</v>
      </c>
      <c r="I5" s="1" t="s">
        <v>5149</v>
      </c>
      <c r="J5" s="1" t="s">
        <v>5154</v>
      </c>
      <c r="K5" s="1" t="s">
        <v>5155</v>
      </c>
      <c r="L5" s="1" t="s">
        <v>5154</v>
      </c>
      <c r="M5" s="1" t="s">
        <v>5155</v>
      </c>
      <c r="N5" s="1" t="s">
        <v>5150</v>
      </c>
      <c r="O5" s="1" t="s">
        <v>5151</v>
      </c>
    </row>
    <row r="6">
      <c r="A6" s="2" t="s">
        <v>87</v>
      </c>
      <c r="B6" s="2" t="s">
        <v>89</v>
      </c>
      <c r="C6" s="2" t="s">
        <v>90</v>
      </c>
      <c r="D6" s="4">
        <v>7</v>
      </c>
      <c r="E6" s="8">
        <v>303.92</v>
      </c>
      <c r="F6" s="4">
        <v>1</v>
      </c>
      <c r="G6" s="8">
        <v>120.96</v>
      </c>
      <c r="H6" s="7">
        <v>6</v>
      </c>
      <c r="I6" s="7">
        <v>1.5126</v>
      </c>
      <c r="J6" s="4">
        <v>4</v>
      </c>
      <c r="K6" s="8">
        <v>164.28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89</v>
      </c>
      <c r="D7" s="4" t="s">
        <v>98</v>
      </c>
      <c r="E7" s="8" t="s">
        <v>98</v>
      </c>
      <c r="F7" s="4" t="s">
        <v>98</v>
      </c>
      <c r="G7" s="8" t="s">
        <v>98</v>
      </c>
      <c r="H7" s="7" t="s">
        <v>98</v>
      </c>
      <c r="I7" s="7" t="s">
        <v>98</v>
      </c>
      <c r="J7" s="4">
        <v>3</v>
      </c>
      <c r="K7" s="8">
        <v>139.64</v>
      </c>
      <c r="L7" s="4">
        <v>1</v>
      </c>
      <c r="M7" s="8">
        <v>120.96</v>
      </c>
      <c r="N7" s="7">
        <v>2</v>
      </c>
      <c r="O7" s="7">
        <v>0.1544</v>
      </c>
    </row>
    <row r="8">
      <c r="A8" s="2" t="s">
        <v>87</v>
      </c>
      <c r="B8" s="2" t="s">
        <v>89</v>
      </c>
      <c r="C8" s="2" t="s">
        <v>910</v>
      </c>
      <c r="D8" s="4" t="s">
        <v>98</v>
      </c>
      <c r="E8" s="8" t="s">
        <v>98</v>
      </c>
      <c r="F8" s="4" t="s">
        <v>98</v>
      </c>
      <c r="G8" s="8" t="s">
        <v>98</v>
      </c>
      <c r="H8" s="7" t="s">
        <v>98</v>
      </c>
      <c r="I8" s="7" t="s">
        <v>98</v>
      </c>
      <c r="J8" s="4"/>
      <c r="K8" s="8"/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326</v>
      </c>
      <c r="D9" s="4" t="s">
        <v>98</v>
      </c>
      <c r="E9" s="8" t="s">
        <v>98</v>
      </c>
      <c r="F9" s="4" t="s">
        <v>98</v>
      </c>
      <c r="G9" s="8" t="s">
        <v>98</v>
      </c>
      <c r="H9" s="7" t="s">
        <v>98</v>
      </c>
      <c r="I9" s="7" t="s">
        <v>98</v>
      </c>
      <c r="J9" s="4"/>
      <c r="K9" s="8"/>
      <c r="L9" s="4"/>
      <c r="M9" s="8"/>
      <c r="N9" s="7"/>
      <c r="O9" s="7"/>
    </row>
    <row r="10">
      <c r="A10" s="2" t="s">
        <v>87</v>
      </c>
      <c r="B10" s="2" t="s">
        <v>392</v>
      </c>
      <c r="C10" s="2" t="s">
        <v>393</v>
      </c>
      <c r="D10" s="4">
        <v>2</v>
      </c>
      <c r="E10" s="8">
        <v>150.19</v>
      </c>
      <c r="F10" s="4" t="s">
        <v>98</v>
      </c>
      <c r="G10" s="8" t="s">
        <v>98</v>
      </c>
      <c r="H10" s="7" t="s">
        <v>98</v>
      </c>
      <c r="I10" s="7" t="s">
        <v>98</v>
      </c>
      <c r="J10" s="4">
        <v>1</v>
      </c>
      <c r="K10" s="8">
        <v>84.78</v>
      </c>
      <c r="L10" s="4"/>
      <c r="M10" s="8"/>
      <c r="N10" s="7"/>
      <c r="O10" s="7"/>
    </row>
    <row r="11">
      <c r="A11" s="2" t="s">
        <v>87</v>
      </c>
      <c r="B11" s="2" t="s">
        <v>392</v>
      </c>
      <c r="C11" s="2" t="s">
        <v>417</v>
      </c>
      <c r="D11" s="4" t="s">
        <v>98</v>
      </c>
      <c r="E11" s="8" t="s">
        <v>98</v>
      </c>
      <c r="F11" s="4" t="s">
        <v>98</v>
      </c>
      <c r="G11" s="8" t="s">
        <v>98</v>
      </c>
      <c r="H11" s="7" t="s">
        <v>98</v>
      </c>
      <c r="I11" s="7" t="s">
        <v>98</v>
      </c>
      <c r="J11" s="4">
        <v>1</v>
      </c>
      <c r="K11" s="8">
        <v>65.41</v>
      </c>
      <c r="L11" s="4"/>
      <c r="M11" s="8"/>
      <c r="N11" s="7"/>
      <c r="O11" s="7"/>
    </row>
    <row r="12">
      <c r="A12" s="2" t="s">
        <v>87</v>
      </c>
      <c r="B12" s="2" t="s">
        <v>326</v>
      </c>
      <c r="C12" s="2" t="s">
        <v>326</v>
      </c>
      <c r="D12" s="4">
        <v>3</v>
      </c>
      <c r="E12" s="8">
        <v>108.8</v>
      </c>
      <c r="F12" s="4">
        <v>2</v>
      </c>
      <c r="G12" s="8">
        <v>54.08</v>
      </c>
      <c r="H12" s="7">
        <v>0.5</v>
      </c>
      <c r="I12" s="7">
        <v>1.0118</v>
      </c>
      <c r="J12" s="4">
        <v>2</v>
      </c>
      <c r="K12" s="8">
        <v>84.24</v>
      </c>
      <c r="L12" s="4">
        <v>2</v>
      </c>
      <c r="M12" s="8">
        <v>54.08</v>
      </c>
      <c r="N12" s="7"/>
      <c r="O12" s="7">
        <v>0.5577</v>
      </c>
    </row>
    <row r="13">
      <c r="A13" s="2" t="s">
        <v>87</v>
      </c>
      <c r="B13" s="2" t="s">
        <v>326</v>
      </c>
      <c r="C13" s="2" t="s">
        <v>90</v>
      </c>
      <c r="D13" s="4" t="s">
        <v>98</v>
      </c>
      <c r="E13" s="8" t="s">
        <v>98</v>
      </c>
      <c r="F13" s="4" t="s">
        <v>98</v>
      </c>
      <c r="G13" s="8" t="s">
        <v>98</v>
      </c>
      <c r="H13" s="7" t="s">
        <v>98</v>
      </c>
      <c r="I13" s="7" t="s">
        <v>98</v>
      </c>
      <c r="J13" s="4">
        <v>1</v>
      </c>
      <c r="K13" s="8">
        <v>24.56</v>
      </c>
      <c r="L13" s="4"/>
      <c r="M13" s="8"/>
      <c r="N13" s="7"/>
      <c r="O13" s="7"/>
    </row>
    <row r="14">
      <c r="A14" s="2" t="s">
        <v>87</v>
      </c>
      <c r="B14" s="2" t="s">
        <v>525</v>
      </c>
      <c r="C14" s="2" t="s">
        <v>326</v>
      </c>
      <c r="D14" s="4">
        <v>3</v>
      </c>
      <c r="E14" s="8">
        <v>67.17</v>
      </c>
      <c r="F14" s="4">
        <v>4</v>
      </c>
      <c r="G14" s="8">
        <v>181.55</v>
      </c>
      <c r="H14" s="7">
        <v>-0.25</v>
      </c>
      <c r="I14" s="7">
        <v>-0.63</v>
      </c>
      <c r="J14" s="4">
        <v>1</v>
      </c>
      <c r="K14" s="8">
        <v>52.49</v>
      </c>
      <c r="L14" s="4">
        <v>1</v>
      </c>
      <c r="M14" s="8">
        <v>31.77</v>
      </c>
      <c r="N14" s="7"/>
      <c r="O14" s="7">
        <v>0.6522</v>
      </c>
    </row>
    <row r="15">
      <c r="A15" s="2" t="s">
        <v>87</v>
      </c>
      <c r="B15" s="2" t="s">
        <v>525</v>
      </c>
      <c r="C15" s="2" t="s">
        <v>525</v>
      </c>
      <c r="D15" s="4" t="s">
        <v>98</v>
      </c>
      <c r="E15" s="8" t="s">
        <v>98</v>
      </c>
      <c r="F15" s="4" t="s">
        <v>98</v>
      </c>
      <c r="G15" s="8" t="s">
        <v>98</v>
      </c>
      <c r="H15" s="7" t="s">
        <v>98</v>
      </c>
      <c r="I15" s="7" t="s">
        <v>98</v>
      </c>
      <c r="J15" s="4">
        <v>2</v>
      </c>
      <c r="K15" s="8">
        <v>14.68</v>
      </c>
      <c r="L15" s="4">
        <v>2</v>
      </c>
      <c r="M15" s="8">
        <v>104.9</v>
      </c>
      <c r="N15" s="7"/>
      <c r="O15" s="7">
        <v>-0.8601</v>
      </c>
    </row>
    <row r="16">
      <c r="A16" s="2" t="s">
        <v>87</v>
      </c>
      <c r="B16" s="2" t="s">
        <v>525</v>
      </c>
      <c r="C16" s="2" t="s">
        <v>90</v>
      </c>
      <c r="D16" s="4" t="s">
        <v>98</v>
      </c>
      <c r="E16" s="8" t="s">
        <v>98</v>
      </c>
      <c r="F16" s="4" t="s">
        <v>98</v>
      </c>
      <c r="G16" s="8" t="s">
        <v>98</v>
      </c>
      <c r="H16" s="7" t="s">
        <v>98</v>
      </c>
      <c r="I16" s="7" t="s">
        <v>98</v>
      </c>
      <c r="J16" s="4"/>
      <c r="K16" s="8"/>
      <c r="L16" s="4">
        <v>1</v>
      </c>
      <c r="M16" s="8">
        <v>44.88</v>
      </c>
      <c r="N16" s="7"/>
      <c r="O16" s="7"/>
    </row>
    <row r="17">
      <c r="A17" s="2" t="s">
        <v>87</v>
      </c>
      <c r="B17" s="2" t="s">
        <v>1070</v>
      </c>
      <c r="C17" s="2" t="s">
        <v>1071</v>
      </c>
      <c r="D17" s="4">
        <v>1</v>
      </c>
      <c r="E17" s="8">
        <v>35.69</v>
      </c>
      <c r="F17" s="4"/>
      <c r="G17" s="8"/>
      <c r="H17" s="7"/>
      <c r="I17" s="7"/>
      <c r="J17" s="4">
        <v>1</v>
      </c>
      <c r="K17" s="8">
        <v>35.69</v>
      </c>
      <c r="L17" s="4"/>
      <c r="M17" s="8"/>
      <c r="N17" s="7"/>
      <c r="O17" s="7"/>
    </row>
    <row r="18">
      <c r="A18" s="2" t="s">
        <v>87</v>
      </c>
      <c r="B18" s="2" t="s">
        <v>910</v>
      </c>
      <c r="C18" s="2" t="s">
        <v>910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87</v>
      </c>
      <c r="B19" s="2" t="s">
        <v>924</v>
      </c>
      <c r="C19" s="2" t="s">
        <v>925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87</v>
      </c>
      <c r="B20" s="2" t="s">
        <v>943</v>
      </c>
      <c r="C20" s="2" t="s">
        <v>944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1345</v>
      </c>
      <c r="B21" s="2" t="s">
        <v>1346</v>
      </c>
      <c r="C21" s="2" t="s">
        <v>1347</v>
      </c>
      <c r="D21" s="4">
        <v>46</v>
      </c>
      <c r="E21" s="8">
        <v>8931.41</v>
      </c>
      <c r="F21" s="4">
        <v>91</v>
      </c>
      <c r="G21" s="8">
        <v>17246.22</v>
      </c>
      <c r="H21" s="7">
        <v>-0.4945</v>
      </c>
      <c r="I21" s="7">
        <v>-0.4821</v>
      </c>
      <c r="J21" s="4">
        <v>46</v>
      </c>
      <c r="K21" s="8">
        <v>8931.41</v>
      </c>
      <c r="L21" s="4">
        <v>91</v>
      </c>
      <c r="M21" s="8">
        <v>17246.22</v>
      </c>
      <c r="N21" s="7">
        <v>-0.4945</v>
      </c>
      <c r="O21" s="7">
        <v>-0.4821</v>
      </c>
    </row>
    <row r="22">
      <c r="A22" s="2" t="s">
        <v>1345</v>
      </c>
      <c r="B22" s="2" t="s">
        <v>1346</v>
      </c>
      <c r="C22" s="2" t="s">
        <v>1346</v>
      </c>
      <c r="D22" s="4" t="s">
        <v>98</v>
      </c>
      <c r="E22" s="8" t="s">
        <v>98</v>
      </c>
      <c r="F22" s="4" t="s">
        <v>98</v>
      </c>
      <c r="G22" s="8" t="s">
        <v>98</v>
      </c>
      <c r="H22" s="7" t="s">
        <v>98</v>
      </c>
      <c r="I22" s="7" t="s">
        <v>98</v>
      </c>
      <c r="J22" s="4"/>
      <c r="K22" s="8"/>
      <c r="L22" s="4"/>
      <c r="M22" s="8"/>
      <c r="N22" s="7"/>
      <c r="O22" s="7"/>
    </row>
    <row r="23">
      <c r="A23" s="2" t="s">
        <v>1345</v>
      </c>
      <c r="B23" s="2" t="s">
        <v>1346</v>
      </c>
      <c r="C23" s="2" t="s">
        <v>1876</v>
      </c>
      <c r="D23" s="4" t="s">
        <v>98</v>
      </c>
      <c r="E23" s="8" t="s">
        <v>98</v>
      </c>
      <c r="F23" s="4" t="s">
        <v>98</v>
      </c>
      <c r="G23" s="8" t="s">
        <v>98</v>
      </c>
      <c r="H23" s="7" t="s">
        <v>98</v>
      </c>
      <c r="I23" s="7" t="s">
        <v>98</v>
      </c>
      <c r="J23" s="4"/>
      <c r="K23" s="8"/>
      <c r="L23" s="4"/>
      <c r="M23" s="8"/>
      <c r="N23" s="7"/>
      <c r="O23" s="7"/>
    </row>
    <row r="24">
      <c r="A24" s="2" t="s">
        <v>1345</v>
      </c>
      <c r="B24" s="2" t="s">
        <v>1346</v>
      </c>
      <c r="C24" s="2" t="s">
        <v>1893</v>
      </c>
      <c r="D24" s="4" t="s">
        <v>98</v>
      </c>
      <c r="E24" s="8" t="s">
        <v>98</v>
      </c>
      <c r="F24" s="4" t="s">
        <v>98</v>
      </c>
      <c r="G24" s="8" t="s">
        <v>98</v>
      </c>
      <c r="H24" s="7" t="s">
        <v>98</v>
      </c>
      <c r="I24" s="7" t="s">
        <v>98</v>
      </c>
      <c r="J24" s="4"/>
      <c r="K24" s="8"/>
      <c r="L24" s="4"/>
      <c r="M24" s="8"/>
      <c r="N24" s="7"/>
      <c r="O24" s="7"/>
    </row>
    <row r="25">
      <c r="A25" s="2" t="s">
        <v>1345</v>
      </c>
      <c r="B25" s="2" t="s">
        <v>1346</v>
      </c>
      <c r="C25" s="2" t="s">
        <v>1934</v>
      </c>
      <c r="D25" s="4" t="s">
        <v>98</v>
      </c>
      <c r="E25" s="8" t="s">
        <v>98</v>
      </c>
      <c r="F25" s="4" t="s">
        <v>98</v>
      </c>
      <c r="G25" s="8" t="s">
        <v>98</v>
      </c>
      <c r="H25" s="7" t="s">
        <v>98</v>
      </c>
      <c r="I25" s="7" t="s">
        <v>98</v>
      </c>
      <c r="J25" s="4"/>
      <c r="K25" s="8"/>
      <c r="L25" s="4"/>
      <c r="M25" s="8"/>
      <c r="N25" s="7"/>
      <c r="O25" s="7"/>
    </row>
    <row r="26">
      <c r="A26" s="2" t="s">
        <v>1345</v>
      </c>
      <c r="B26" s="2" t="s">
        <v>1946</v>
      </c>
      <c r="C26" s="2" t="s">
        <v>1947</v>
      </c>
      <c r="D26" s="4">
        <v>14</v>
      </c>
      <c r="E26" s="8">
        <v>3091.75</v>
      </c>
      <c r="F26" s="4">
        <v>14</v>
      </c>
      <c r="G26" s="8">
        <v>3422.69</v>
      </c>
      <c r="H26" s="7" t="s">
        <v>98</v>
      </c>
      <c r="I26" s="7">
        <v>-0.0967</v>
      </c>
      <c r="J26" s="4">
        <v>7</v>
      </c>
      <c r="K26" s="8">
        <v>1489.05</v>
      </c>
      <c r="L26" s="4">
        <v>11</v>
      </c>
      <c r="M26" s="8">
        <v>2694.24</v>
      </c>
      <c r="N26" s="7">
        <v>-0.3636</v>
      </c>
      <c r="O26" s="7">
        <v>-0.4473</v>
      </c>
    </row>
    <row r="27">
      <c r="A27" s="2" t="s">
        <v>1345</v>
      </c>
      <c r="B27" s="2" t="s">
        <v>1946</v>
      </c>
      <c r="C27" s="2" t="s">
        <v>2089</v>
      </c>
      <c r="D27" s="4" t="s">
        <v>98</v>
      </c>
      <c r="E27" s="8" t="s">
        <v>98</v>
      </c>
      <c r="F27" s="4" t="s">
        <v>98</v>
      </c>
      <c r="G27" s="8" t="s">
        <v>98</v>
      </c>
      <c r="H27" s="7" t="s">
        <v>98</v>
      </c>
      <c r="I27" s="7" t="s">
        <v>98</v>
      </c>
      <c r="J27" s="4">
        <v>5</v>
      </c>
      <c r="K27" s="8">
        <v>1121.35</v>
      </c>
      <c r="L27" s="4"/>
      <c r="M27" s="8"/>
      <c r="N27" s="7"/>
      <c r="O27" s="7"/>
    </row>
    <row r="28">
      <c r="A28" s="2" t="s">
        <v>1345</v>
      </c>
      <c r="B28" s="2" t="s">
        <v>1946</v>
      </c>
      <c r="C28" s="2" t="s">
        <v>2142</v>
      </c>
      <c r="D28" s="4" t="s">
        <v>98</v>
      </c>
      <c r="E28" s="8" t="s">
        <v>98</v>
      </c>
      <c r="F28" s="4" t="s">
        <v>98</v>
      </c>
      <c r="G28" s="8" t="s">
        <v>98</v>
      </c>
      <c r="H28" s="7" t="s">
        <v>98</v>
      </c>
      <c r="I28" s="7" t="s">
        <v>98</v>
      </c>
      <c r="J28" s="4">
        <v>2</v>
      </c>
      <c r="K28" s="8">
        <v>481.35</v>
      </c>
      <c r="L28" s="4">
        <v>3</v>
      </c>
      <c r="M28" s="8">
        <v>728.45</v>
      </c>
      <c r="N28" s="7">
        <v>-0.3333</v>
      </c>
      <c r="O28" s="7">
        <v>-0.3392</v>
      </c>
    </row>
    <row r="29">
      <c r="A29" s="2" t="s">
        <v>1345</v>
      </c>
      <c r="B29" s="2" t="s">
        <v>2205</v>
      </c>
      <c r="C29" s="2" t="s">
        <v>1876</v>
      </c>
      <c r="D29" s="4">
        <v>13</v>
      </c>
      <c r="E29" s="8">
        <v>2619.8</v>
      </c>
      <c r="F29" s="4">
        <v>22</v>
      </c>
      <c r="G29" s="8">
        <v>4966.36</v>
      </c>
      <c r="H29" s="7">
        <v>-0.4091</v>
      </c>
      <c r="I29" s="7">
        <v>-0.4725</v>
      </c>
      <c r="J29" s="4">
        <v>8</v>
      </c>
      <c r="K29" s="8">
        <v>1757.48</v>
      </c>
      <c r="L29" s="4">
        <v>12</v>
      </c>
      <c r="M29" s="8">
        <v>2853.46</v>
      </c>
      <c r="N29" s="7">
        <v>-0.3333</v>
      </c>
      <c r="O29" s="7">
        <v>-0.3841</v>
      </c>
    </row>
    <row r="30">
      <c r="A30" s="2" t="s">
        <v>1345</v>
      </c>
      <c r="B30" s="2" t="s">
        <v>2205</v>
      </c>
      <c r="C30" s="2" t="s">
        <v>2205</v>
      </c>
      <c r="D30" s="4" t="s">
        <v>98</v>
      </c>
      <c r="E30" s="8" t="s">
        <v>98</v>
      </c>
      <c r="F30" s="4" t="s">
        <v>98</v>
      </c>
      <c r="G30" s="8" t="s">
        <v>98</v>
      </c>
      <c r="H30" s="7" t="s">
        <v>98</v>
      </c>
      <c r="I30" s="7" t="s">
        <v>98</v>
      </c>
      <c r="J30" s="4">
        <v>5</v>
      </c>
      <c r="K30" s="8">
        <v>862.32</v>
      </c>
      <c r="L30" s="4">
        <v>10</v>
      </c>
      <c r="M30" s="8">
        <v>2112.9</v>
      </c>
      <c r="N30" s="7">
        <v>-0.5</v>
      </c>
      <c r="O30" s="7">
        <v>-0.5919</v>
      </c>
    </row>
    <row r="31">
      <c r="A31" s="2" t="s">
        <v>1345</v>
      </c>
      <c r="B31" s="2" t="s">
        <v>2390</v>
      </c>
      <c r="C31" s="2" t="s">
        <v>2391</v>
      </c>
      <c r="D31" s="4">
        <v>17</v>
      </c>
      <c r="E31" s="8">
        <v>2145.57</v>
      </c>
      <c r="F31" s="4">
        <v>25</v>
      </c>
      <c r="G31" s="8">
        <v>2762.33</v>
      </c>
      <c r="H31" s="7">
        <v>-0.32</v>
      </c>
      <c r="I31" s="7">
        <v>-0.2233</v>
      </c>
      <c r="J31" s="4">
        <v>17</v>
      </c>
      <c r="K31" s="8">
        <v>2145.57</v>
      </c>
      <c r="L31" s="4">
        <v>12</v>
      </c>
      <c r="M31" s="8">
        <v>1338.57</v>
      </c>
      <c r="N31" s="7">
        <v>0.4167</v>
      </c>
      <c r="O31" s="7">
        <v>0.6029</v>
      </c>
    </row>
    <row r="32">
      <c r="A32" s="2" t="s">
        <v>1345</v>
      </c>
      <c r="B32" s="2" t="s">
        <v>2390</v>
      </c>
      <c r="C32" s="2" t="s">
        <v>2390</v>
      </c>
      <c r="D32" s="4" t="s">
        <v>98</v>
      </c>
      <c r="E32" s="8" t="s">
        <v>98</v>
      </c>
      <c r="F32" s="4" t="s">
        <v>98</v>
      </c>
      <c r="G32" s="8" t="s">
        <v>98</v>
      </c>
      <c r="H32" s="7" t="s">
        <v>98</v>
      </c>
      <c r="I32" s="7" t="s">
        <v>98</v>
      </c>
      <c r="J32" s="4"/>
      <c r="K32" s="8"/>
      <c r="L32" s="4">
        <v>13</v>
      </c>
      <c r="M32" s="8">
        <v>1423.76</v>
      </c>
      <c r="N32" s="7"/>
      <c r="O32" s="7"/>
    </row>
    <row r="33">
      <c r="A33" s="2" t="s">
        <v>1345</v>
      </c>
      <c r="B33" s="2" t="s">
        <v>2390</v>
      </c>
      <c r="C33" s="2" t="s">
        <v>3698</v>
      </c>
      <c r="D33" s="4" t="s">
        <v>98</v>
      </c>
      <c r="E33" s="8" t="s">
        <v>98</v>
      </c>
      <c r="F33" s="4" t="s">
        <v>98</v>
      </c>
      <c r="G33" s="8" t="s">
        <v>98</v>
      </c>
      <c r="H33" s="7" t="s">
        <v>98</v>
      </c>
      <c r="I33" s="7" t="s">
        <v>98</v>
      </c>
      <c r="J33" s="4"/>
      <c r="K33" s="8"/>
      <c r="L33" s="4"/>
      <c r="M33" s="8"/>
      <c r="N33" s="7"/>
      <c r="O33" s="7"/>
    </row>
    <row r="34">
      <c r="A34" s="2" t="s">
        <v>1345</v>
      </c>
      <c r="B34" s="2" t="s">
        <v>2390</v>
      </c>
      <c r="C34" s="2" t="s">
        <v>3705</v>
      </c>
      <c r="D34" s="4" t="s">
        <v>98</v>
      </c>
      <c r="E34" s="8" t="s">
        <v>98</v>
      </c>
      <c r="F34" s="4" t="s">
        <v>98</v>
      </c>
      <c r="G34" s="8" t="s">
        <v>98</v>
      </c>
      <c r="H34" s="7" t="s">
        <v>98</v>
      </c>
      <c r="I34" s="7" t="s">
        <v>98</v>
      </c>
      <c r="J34" s="4"/>
      <c r="K34" s="8"/>
      <c r="L34" s="4"/>
      <c r="M34" s="8"/>
      <c r="N34" s="7"/>
      <c r="O34" s="7"/>
    </row>
    <row r="35">
      <c r="A35" s="2" t="s">
        <v>1345</v>
      </c>
      <c r="B35" s="2" t="s">
        <v>2728</v>
      </c>
      <c r="C35" s="2" t="s">
        <v>2729</v>
      </c>
      <c r="D35" s="4">
        <v>13</v>
      </c>
      <c r="E35" s="8">
        <v>1896.94</v>
      </c>
      <c r="F35" s="4">
        <v>28</v>
      </c>
      <c r="G35" s="8">
        <v>3689.02</v>
      </c>
      <c r="H35" s="7">
        <v>-0.5357</v>
      </c>
      <c r="I35" s="7">
        <v>-0.4858</v>
      </c>
      <c r="J35" s="4">
        <v>8</v>
      </c>
      <c r="K35" s="8">
        <v>1380.4</v>
      </c>
      <c r="L35" s="4">
        <v>10</v>
      </c>
      <c r="M35" s="8">
        <v>1771.78</v>
      </c>
      <c r="N35" s="7">
        <v>-0.2</v>
      </c>
      <c r="O35" s="7">
        <v>-0.2209</v>
      </c>
    </row>
    <row r="36">
      <c r="A36" s="2" t="s">
        <v>1345</v>
      </c>
      <c r="B36" s="2" t="s">
        <v>2728</v>
      </c>
      <c r="C36" s="2" t="s">
        <v>2775</v>
      </c>
      <c r="D36" s="4" t="s">
        <v>98</v>
      </c>
      <c r="E36" s="8" t="s">
        <v>98</v>
      </c>
      <c r="F36" s="4" t="s">
        <v>98</v>
      </c>
      <c r="G36" s="8" t="s">
        <v>98</v>
      </c>
      <c r="H36" s="7" t="s">
        <v>98</v>
      </c>
      <c r="I36" s="7" t="s">
        <v>98</v>
      </c>
      <c r="J36" s="4">
        <v>3</v>
      </c>
      <c r="K36" s="8">
        <v>289.18</v>
      </c>
      <c r="L36" s="4">
        <v>12</v>
      </c>
      <c r="M36" s="8">
        <v>1265.27</v>
      </c>
      <c r="N36" s="7">
        <v>-0.75</v>
      </c>
      <c r="O36" s="7">
        <v>-0.7714</v>
      </c>
    </row>
    <row r="37">
      <c r="A37" s="2" t="s">
        <v>1345</v>
      </c>
      <c r="B37" s="2" t="s">
        <v>2728</v>
      </c>
      <c r="C37" s="2" t="s">
        <v>2789</v>
      </c>
      <c r="D37" s="4" t="s">
        <v>98</v>
      </c>
      <c r="E37" s="8" t="s">
        <v>98</v>
      </c>
      <c r="F37" s="4" t="s">
        <v>98</v>
      </c>
      <c r="G37" s="8" t="s">
        <v>98</v>
      </c>
      <c r="H37" s="7" t="s">
        <v>98</v>
      </c>
      <c r="I37" s="7" t="s">
        <v>98</v>
      </c>
      <c r="J37" s="4">
        <v>2</v>
      </c>
      <c r="K37" s="8">
        <v>227.36</v>
      </c>
      <c r="L37" s="4">
        <v>1</v>
      </c>
      <c r="M37" s="8">
        <v>109.17</v>
      </c>
      <c r="N37" s="7">
        <v>1</v>
      </c>
      <c r="O37" s="7">
        <v>1.0826</v>
      </c>
    </row>
    <row r="38">
      <c r="A38" s="2" t="s">
        <v>1345</v>
      </c>
      <c r="B38" s="2" t="s">
        <v>2728</v>
      </c>
      <c r="C38" s="2" t="s">
        <v>4398</v>
      </c>
      <c r="D38" s="4" t="s">
        <v>98</v>
      </c>
      <c r="E38" s="8" t="s">
        <v>98</v>
      </c>
      <c r="F38" s="4" t="s">
        <v>98</v>
      </c>
      <c r="G38" s="8" t="s">
        <v>98</v>
      </c>
      <c r="H38" s="7" t="s">
        <v>98</v>
      </c>
      <c r="I38" s="7" t="s">
        <v>98</v>
      </c>
      <c r="J38" s="4"/>
      <c r="K38" s="8"/>
      <c r="L38" s="4">
        <v>3</v>
      </c>
      <c r="M38" s="8">
        <v>312.8</v>
      </c>
      <c r="N38" s="7"/>
      <c r="O38" s="7"/>
    </row>
    <row r="39">
      <c r="A39" s="2" t="s">
        <v>1345</v>
      </c>
      <c r="B39" s="2" t="s">
        <v>2728</v>
      </c>
      <c r="C39" s="2" t="s">
        <v>2799</v>
      </c>
      <c r="D39" s="4" t="s">
        <v>98</v>
      </c>
      <c r="E39" s="8" t="s">
        <v>98</v>
      </c>
      <c r="F39" s="4" t="s">
        <v>98</v>
      </c>
      <c r="G39" s="8" t="s">
        <v>98</v>
      </c>
      <c r="H39" s="7" t="s">
        <v>98</v>
      </c>
      <c r="I39" s="7" t="s">
        <v>98</v>
      </c>
      <c r="J39" s="4"/>
      <c r="K39" s="8"/>
      <c r="L39" s="4">
        <v>2</v>
      </c>
      <c r="M39" s="8">
        <v>230</v>
      </c>
      <c r="N39" s="7"/>
      <c r="O39" s="7"/>
    </row>
    <row r="40">
      <c r="A40" s="2" t="s">
        <v>1345</v>
      </c>
      <c r="B40" s="2" t="s">
        <v>2728</v>
      </c>
      <c r="C40" s="2" t="s">
        <v>2816</v>
      </c>
      <c r="D40" s="4" t="s">
        <v>98</v>
      </c>
      <c r="E40" s="8" t="s">
        <v>98</v>
      </c>
      <c r="F40" s="4" t="s">
        <v>98</v>
      </c>
      <c r="G40" s="8" t="s">
        <v>98</v>
      </c>
      <c r="H40" s="7" t="s">
        <v>98</v>
      </c>
      <c r="I40" s="7" t="s">
        <v>98</v>
      </c>
      <c r="J40" s="4"/>
      <c r="K40" s="8"/>
      <c r="L40" s="4"/>
      <c r="M40" s="8"/>
      <c r="N40" s="7"/>
      <c r="O40" s="7"/>
    </row>
    <row r="41">
      <c r="A41" s="2" t="s">
        <v>1345</v>
      </c>
      <c r="B41" s="2" t="s">
        <v>2700</v>
      </c>
      <c r="C41" s="2" t="s">
        <v>2700</v>
      </c>
      <c r="D41" s="4">
        <v>5</v>
      </c>
      <c r="E41" s="8">
        <v>1486.95</v>
      </c>
      <c r="F41" s="4">
        <v>4</v>
      </c>
      <c r="G41" s="8">
        <v>1154</v>
      </c>
      <c r="H41" s="7">
        <v>0.25</v>
      </c>
      <c r="I41" s="7">
        <v>0.2885</v>
      </c>
      <c r="J41" s="4">
        <v>5</v>
      </c>
      <c r="K41" s="8">
        <v>1486.95</v>
      </c>
      <c r="L41" s="4">
        <v>4</v>
      </c>
      <c r="M41" s="8">
        <v>1154</v>
      </c>
      <c r="N41" s="7">
        <v>0.25</v>
      </c>
      <c r="O41" s="7">
        <v>0.2885</v>
      </c>
    </row>
    <row r="42">
      <c r="A42" s="2" t="s">
        <v>1345</v>
      </c>
      <c r="B42" s="2" t="s">
        <v>2821</v>
      </c>
      <c r="C42" s="2" t="s">
        <v>2821</v>
      </c>
      <c r="D42" s="4">
        <v>8</v>
      </c>
      <c r="E42" s="8">
        <v>1012.98</v>
      </c>
      <c r="F42" s="4">
        <v>12</v>
      </c>
      <c r="G42" s="8">
        <v>1861.93</v>
      </c>
      <c r="H42" s="7">
        <v>-0.3333</v>
      </c>
      <c r="I42" s="7">
        <v>-0.456</v>
      </c>
      <c r="J42" s="4">
        <v>8</v>
      </c>
      <c r="K42" s="8">
        <v>1012.98</v>
      </c>
      <c r="L42" s="4">
        <v>12</v>
      </c>
      <c r="M42" s="8">
        <v>1861.93</v>
      </c>
      <c r="N42" s="7">
        <v>-0.3333</v>
      </c>
      <c r="O42" s="7">
        <v>-0.456</v>
      </c>
    </row>
    <row r="43">
      <c r="A43" s="2" t="s">
        <v>1345</v>
      </c>
      <c r="B43" s="2" t="s">
        <v>3068</v>
      </c>
      <c r="C43" s="2" t="s">
        <v>3069</v>
      </c>
      <c r="D43" s="4">
        <v>7</v>
      </c>
      <c r="E43" s="8">
        <v>817.33</v>
      </c>
      <c r="F43" s="4">
        <v>46</v>
      </c>
      <c r="G43" s="8">
        <v>5430.88</v>
      </c>
      <c r="H43" s="7">
        <v>-0.8478</v>
      </c>
      <c r="I43" s="7">
        <v>-0.8495</v>
      </c>
      <c r="J43" s="4">
        <v>6</v>
      </c>
      <c r="K43" s="8">
        <v>686.35</v>
      </c>
      <c r="L43" s="4">
        <v>46</v>
      </c>
      <c r="M43" s="8">
        <v>5430.88</v>
      </c>
      <c r="N43" s="7">
        <v>-0.8696</v>
      </c>
      <c r="O43" s="7">
        <v>-0.8736</v>
      </c>
    </row>
    <row r="44">
      <c r="A44" s="2" t="s">
        <v>1345</v>
      </c>
      <c r="B44" s="2" t="s">
        <v>3068</v>
      </c>
      <c r="C44" s="2" t="s">
        <v>3186</v>
      </c>
      <c r="D44" s="4" t="s">
        <v>98</v>
      </c>
      <c r="E44" s="8" t="s">
        <v>98</v>
      </c>
      <c r="F44" s="4" t="s">
        <v>98</v>
      </c>
      <c r="G44" s="8" t="s">
        <v>98</v>
      </c>
      <c r="H44" s="7" t="s">
        <v>98</v>
      </c>
      <c r="I44" s="7" t="s">
        <v>98</v>
      </c>
      <c r="J44" s="4">
        <v>1</v>
      </c>
      <c r="K44" s="8">
        <v>130.98</v>
      </c>
      <c r="L44" s="4"/>
      <c r="M44" s="8"/>
      <c r="N44" s="7"/>
      <c r="O44" s="7"/>
    </row>
    <row r="45">
      <c r="A45" s="2" t="s">
        <v>1345</v>
      </c>
      <c r="B45" s="2" t="s">
        <v>2872</v>
      </c>
      <c r="C45" s="2" t="s">
        <v>2873</v>
      </c>
      <c r="D45" s="4">
        <v>3</v>
      </c>
      <c r="E45" s="8">
        <v>763.05</v>
      </c>
      <c r="F45" s="4" t="s">
        <v>98</v>
      </c>
      <c r="G45" s="8" t="s">
        <v>98</v>
      </c>
      <c r="H45" s="7" t="s">
        <v>98</v>
      </c>
      <c r="I45" s="7" t="s">
        <v>98</v>
      </c>
      <c r="J45" s="4">
        <v>2</v>
      </c>
      <c r="K45" s="8">
        <v>527.39</v>
      </c>
      <c r="L45" s="4"/>
      <c r="M45" s="8"/>
      <c r="N45" s="7"/>
      <c r="O45" s="7"/>
    </row>
    <row r="46">
      <c r="A46" s="2" t="s">
        <v>1345</v>
      </c>
      <c r="B46" s="2" t="s">
        <v>2872</v>
      </c>
      <c r="C46" s="2" t="s">
        <v>1934</v>
      </c>
      <c r="D46" s="4" t="s">
        <v>98</v>
      </c>
      <c r="E46" s="8" t="s">
        <v>98</v>
      </c>
      <c r="F46" s="4" t="s">
        <v>98</v>
      </c>
      <c r="G46" s="8" t="s">
        <v>98</v>
      </c>
      <c r="H46" s="7" t="s">
        <v>98</v>
      </c>
      <c r="I46" s="7" t="s">
        <v>98</v>
      </c>
      <c r="J46" s="4">
        <v>1</v>
      </c>
      <c r="K46" s="8">
        <v>235.66</v>
      </c>
      <c r="L46" s="4"/>
      <c r="M46" s="8"/>
      <c r="N46" s="7"/>
      <c r="O46" s="7"/>
    </row>
    <row r="47">
      <c r="A47" s="2" t="s">
        <v>1345</v>
      </c>
      <c r="B47" s="2" t="s">
        <v>2872</v>
      </c>
      <c r="C47" s="2" t="s">
        <v>2872</v>
      </c>
      <c r="D47" s="4" t="s">
        <v>98</v>
      </c>
      <c r="E47" s="8" t="s">
        <v>98</v>
      </c>
      <c r="F47" s="4" t="s">
        <v>98</v>
      </c>
      <c r="G47" s="8" t="s">
        <v>98</v>
      </c>
      <c r="H47" s="7" t="s">
        <v>98</v>
      </c>
      <c r="I47" s="7" t="s">
        <v>98</v>
      </c>
      <c r="J47" s="4"/>
      <c r="K47" s="8"/>
      <c r="L47" s="4"/>
      <c r="M47" s="8"/>
      <c r="N47" s="7"/>
      <c r="O47" s="7"/>
    </row>
    <row r="48">
      <c r="A48" s="2" t="s">
        <v>1345</v>
      </c>
      <c r="B48" s="2" t="s">
        <v>2789</v>
      </c>
      <c r="C48" s="2" t="s">
        <v>2775</v>
      </c>
      <c r="D48" s="4">
        <v>9</v>
      </c>
      <c r="E48" s="8">
        <v>754.03</v>
      </c>
      <c r="F48" s="4">
        <v>4</v>
      </c>
      <c r="G48" s="8">
        <v>350.28</v>
      </c>
      <c r="H48" s="7">
        <v>1.25</v>
      </c>
      <c r="I48" s="7">
        <v>1.1526</v>
      </c>
      <c r="J48" s="4">
        <v>9</v>
      </c>
      <c r="K48" s="8">
        <v>754.03</v>
      </c>
      <c r="L48" s="4">
        <v>4</v>
      </c>
      <c r="M48" s="8">
        <v>350.28</v>
      </c>
      <c r="N48" s="7">
        <v>1.25</v>
      </c>
      <c r="O48" s="7">
        <v>1.1526</v>
      </c>
    </row>
    <row r="49">
      <c r="A49" s="2" t="s">
        <v>1345</v>
      </c>
      <c r="B49" s="2" t="s">
        <v>2789</v>
      </c>
      <c r="C49" s="2" t="s">
        <v>2789</v>
      </c>
      <c r="D49" s="4" t="s">
        <v>98</v>
      </c>
      <c r="E49" s="8" t="s">
        <v>98</v>
      </c>
      <c r="F49" s="4" t="s">
        <v>98</v>
      </c>
      <c r="G49" s="8" t="s">
        <v>98</v>
      </c>
      <c r="H49" s="7" t="s">
        <v>98</v>
      </c>
      <c r="I49" s="7" t="s">
        <v>98</v>
      </c>
      <c r="J49" s="4"/>
      <c r="K49" s="8"/>
      <c r="L49" s="4"/>
      <c r="M49" s="8"/>
      <c r="N49" s="7"/>
      <c r="O49" s="7"/>
    </row>
    <row r="50">
      <c r="A50" s="2" t="s">
        <v>1345</v>
      </c>
      <c r="B50" s="2" t="s">
        <v>2789</v>
      </c>
      <c r="C50" s="2" t="s">
        <v>3841</v>
      </c>
      <c r="D50" s="4" t="s">
        <v>98</v>
      </c>
      <c r="E50" s="8" t="s">
        <v>98</v>
      </c>
      <c r="F50" s="4" t="s">
        <v>98</v>
      </c>
      <c r="G50" s="8" t="s">
        <v>98</v>
      </c>
      <c r="H50" s="7" t="s">
        <v>98</v>
      </c>
      <c r="I50" s="7" t="s">
        <v>98</v>
      </c>
      <c r="J50" s="4"/>
      <c r="K50" s="8"/>
      <c r="L50" s="4"/>
      <c r="M50" s="8"/>
      <c r="N50" s="7"/>
      <c r="O50" s="7"/>
    </row>
    <row r="51">
      <c r="A51" s="2" t="s">
        <v>1345</v>
      </c>
      <c r="B51" s="2" t="s">
        <v>3213</v>
      </c>
      <c r="C51" s="2" t="s">
        <v>3213</v>
      </c>
      <c r="D51" s="4">
        <v>2</v>
      </c>
      <c r="E51" s="8">
        <v>273.01</v>
      </c>
      <c r="F51" s="4">
        <v>12</v>
      </c>
      <c r="G51" s="8">
        <v>1643.36</v>
      </c>
      <c r="H51" s="7">
        <v>-0.8333</v>
      </c>
      <c r="I51" s="7">
        <v>-0.8339</v>
      </c>
      <c r="J51" s="4">
        <v>2</v>
      </c>
      <c r="K51" s="8">
        <v>273.01</v>
      </c>
      <c r="L51" s="4">
        <v>12</v>
      </c>
      <c r="M51" s="8">
        <v>1643.36</v>
      </c>
      <c r="N51" s="7">
        <v>-0.8333</v>
      </c>
      <c r="O51" s="7">
        <v>-0.8339</v>
      </c>
    </row>
    <row r="52">
      <c r="A52" s="2" t="s">
        <v>1345</v>
      </c>
      <c r="B52" s="2" t="s">
        <v>3213</v>
      </c>
      <c r="C52" s="2" t="s">
        <v>2729</v>
      </c>
      <c r="D52" s="4" t="s">
        <v>98</v>
      </c>
      <c r="E52" s="8" t="s">
        <v>98</v>
      </c>
      <c r="F52" s="4" t="s">
        <v>98</v>
      </c>
      <c r="G52" s="8" t="s">
        <v>98</v>
      </c>
      <c r="H52" s="7" t="s">
        <v>98</v>
      </c>
      <c r="I52" s="7" t="s">
        <v>98</v>
      </c>
      <c r="J52" s="4"/>
      <c r="K52" s="8"/>
      <c r="L52" s="4"/>
      <c r="M52" s="8"/>
      <c r="N52" s="7"/>
      <c r="O52" s="7"/>
    </row>
    <row r="53">
      <c r="A53" s="2" t="s">
        <v>1345</v>
      </c>
      <c r="B53" s="2" t="s">
        <v>4011</v>
      </c>
      <c r="C53" s="2" t="s">
        <v>4011</v>
      </c>
      <c r="D53" s="4">
        <v>2</v>
      </c>
      <c r="E53" s="8">
        <v>200.5</v>
      </c>
      <c r="F53" s="4">
        <v>1</v>
      </c>
      <c r="G53" s="8">
        <v>125.32</v>
      </c>
      <c r="H53" s="7">
        <v>1</v>
      </c>
      <c r="I53" s="7">
        <v>0.5999</v>
      </c>
      <c r="J53" s="4">
        <v>2</v>
      </c>
      <c r="K53" s="8">
        <v>200.5</v>
      </c>
      <c r="L53" s="4">
        <v>1</v>
      </c>
      <c r="M53" s="8">
        <v>125.32</v>
      </c>
      <c r="N53" s="7">
        <v>1</v>
      </c>
      <c r="O53" s="7">
        <v>0.5999</v>
      </c>
    </row>
    <row r="54">
      <c r="A54" s="2" t="s">
        <v>1345</v>
      </c>
      <c r="B54" s="2" t="s">
        <v>3348</v>
      </c>
      <c r="C54" s="2" t="s">
        <v>3349</v>
      </c>
      <c r="D54" s="4">
        <v>1</v>
      </c>
      <c r="E54" s="8">
        <v>182.28</v>
      </c>
      <c r="F54" s="4"/>
      <c r="G54" s="8"/>
      <c r="H54" s="7"/>
      <c r="I54" s="7"/>
      <c r="J54" s="4">
        <v>1</v>
      </c>
      <c r="K54" s="8">
        <v>182.28</v>
      </c>
      <c r="L54" s="4"/>
      <c r="M54" s="8"/>
      <c r="N54" s="7"/>
      <c r="O54" s="7"/>
    </row>
    <row r="55">
      <c r="A55" s="2" t="s">
        <v>1345</v>
      </c>
      <c r="B55" s="2" t="s">
        <v>4134</v>
      </c>
      <c r="C55" s="2" t="s">
        <v>4134</v>
      </c>
      <c r="D55" s="4"/>
      <c r="E55" s="8"/>
      <c r="F55" s="4">
        <v>2</v>
      </c>
      <c r="G55" s="8">
        <v>306.28</v>
      </c>
      <c r="H55" s="7"/>
      <c r="I55" s="7"/>
      <c r="J55" s="4"/>
      <c r="K55" s="8"/>
      <c r="L55" s="4">
        <v>2</v>
      </c>
      <c r="M55" s="8">
        <v>306.28</v>
      </c>
      <c r="N55" s="7"/>
      <c r="O55" s="7"/>
    </row>
    <row r="56">
      <c r="A56" s="2" t="s">
        <v>1345</v>
      </c>
      <c r="B56" s="2" t="s">
        <v>3370</v>
      </c>
      <c r="C56" s="2" t="s">
        <v>3370</v>
      </c>
      <c r="D56" s="4" t="s">
        <v>98</v>
      </c>
      <c r="E56" s="8" t="s">
        <v>98</v>
      </c>
      <c r="F56" s="4" t="s">
        <v>98</v>
      </c>
      <c r="G56" s="8" t="s">
        <v>98</v>
      </c>
      <c r="H56" s="7" t="s">
        <v>98</v>
      </c>
      <c r="I56" s="7" t="s">
        <v>98</v>
      </c>
      <c r="J56" s="4"/>
      <c r="K56" s="8"/>
      <c r="L56" s="4"/>
      <c r="M56" s="8"/>
      <c r="N56" s="7"/>
      <c r="O56" s="7"/>
    </row>
    <row r="57">
      <c r="A57" s="2" t="s">
        <v>1345</v>
      </c>
      <c r="B57" s="2" t="s">
        <v>3370</v>
      </c>
      <c r="C57" s="2" t="s">
        <v>1934</v>
      </c>
      <c r="D57" s="4" t="s">
        <v>98</v>
      </c>
      <c r="E57" s="8" t="s">
        <v>98</v>
      </c>
      <c r="F57" s="4" t="s">
        <v>98</v>
      </c>
      <c r="G57" s="8" t="s">
        <v>98</v>
      </c>
      <c r="H57" s="7" t="s">
        <v>98</v>
      </c>
      <c r="I57" s="7" t="s">
        <v>98</v>
      </c>
      <c r="J57" s="4"/>
      <c r="K57" s="8"/>
      <c r="L57" s="4"/>
      <c r="M57" s="8"/>
      <c r="N57" s="7"/>
      <c r="O57" s="7"/>
    </row>
    <row r="58">
      <c r="A58" s="2" t="s">
        <v>1345</v>
      </c>
      <c r="B58" s="2" t="s">
        <v>3377</v>
      </c>
      <c r="C58" s="2" t="s">
        <v>3377</v>
      </c>
      <c r="D58" s="4"/>
      <c r="E58" s="8"/>
      <c r="F58" s="4"/>
      <c r="G58" s="8"/>
      <c r="H58" s="7"/>
      <c r="I58" s="7"/>
      <c r="J58" s="4"/>
      <c r="K58" s="8"/>
      <c r="L58" s="4"/>
      <c r="M58" s="8"/>
      <c r="N58" s="7"/>
      <c r="O58" s="7"/>
    </row>
    <row r="59">
      <c r="A59" s="2" t="s">
        <v>1345</v>
      </c>
      <c r="B59" s="2" t="s">
        <v>3398</v>
      </c>
      <c r="C59" s="2" t="s">
        <v>3398</v>
      </c>
      <c r="D59" s="4"/>
      <c r="E59" s="8"/>
      <c r="F59" s="4"/>
      <c r="G59" s="8"/>
      <c r="H59" s="7"/>
      <c r="I59" s="7"/>
      <c r="J59" s="4"/>
      <c r="K59" s="8"/>
      <c r="L59" s="4"/>
      <c r="M59" s="8"/>
      <c r="N59" s="7"/>
      <c r="O59" s="7"/>
    </row>
    <row r="60">
      <c r="A60" s="2" t="s">
        <v>1345</v>
      </c>
      <c r="B60" s="2" t="s">
        <v>3406</v>
      </c>
      <c r="C60" s="2" t="s">
        <v>3406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1345</v>
      </c>
      <c r="B61" s="2" t="s">
        <v>3873</v>
      </c>
      <c r="C61" s="2" t="s">
        <v>3873</v>
      </c>
      <c r="D61" s="4"/>
      <c r="E61" s="8"/>
      <c r="F61" s="4"/>
      <c r="G61" s="8"/>
      <c r="H61" s="7"/>
      <c r="I61" s="7"/>
      <c r="J61" s="4"/>
      <c r="K61" s="8"/>
      <c r="L61" s="4"/>
      <c r="M61" s="8"/>
      <c r="N61" s="7"/>
      <c r="O61" s="7"/>
    </row>
    <row r="62">
      <c r="A62" s="2" t="s">
        <v>1345</v>
      </c>
      <c r="B62" s="2" t="s">
        <v>3974</v>
      </c>
      <c r="C62" s="2" t="s">
        <v>3975</v>
      </c>
      <c r="D62" s="4" t="s">
        <v>98</v>
      </c>
      <c r="E62" s="8" t="s">
        <v>98</v>
      </c>
      <c r="F62" s="4" t="s">
        <v>98</v>
      </c>
      <c r="G62" s="8" t="s">
        <v>98</v>
      </c>
      <c r="H62" s="7" t="s">
        <v>98</v>
      </c>
      <c r="I62" s="7" t="s">
        <v>98</v>
      </c>
      <c r="J62" s="4"/>
      <c r="K62" s="8"/>
      <c r="L62" s="4"/>
      <c r="M62" s="8"/>
      <c r="N62" s="7"/>
      <c r="O62" s="7"/>
    </row>
    <row r="63">
      <c r="A63" s="2" t="s">
        <v>1345</v>
      </c>
      <c r="B63" s="2" t="s">
        <v>3974</v>
      </c>
      <c r="C63" s="2" t="s">
        <v>1934</v>
      </c>
      <c r="D63" s="4" t="s">
        <v>98</v>
      </c>
      <c r="E63" s="8" t="s">
        <v>98</v>
      </c>
      <c r="F63" s="4" t="s">
        <v>98</v>
      </c>
      <c r="G63" s="8" t="s">
        <v>98</v>
      </c>
      <c r="H63" s="7" t="s">
        <v>98</v>
      </c>
      <c r="I63" s="7" t="s">
        <v>98</v>
      </c>
      <c r="J63" s="4"/>
      <c r="K63" s="8"/>
      <c r="L63" s="4"/>
      <c r="M63" s="8"/>
      <c r="N63" s="7"/>
      <c r="O63" s="7"/>
    </row>
    <row r="64">
      <c r="A64" s="2" t="s">
        <v>1345</v>
      </c>
      <c r="B64" s="2" t="s">
        <v>3434</v>
      </c>
      <c r="C64" s="2" t="s">
        <v>3434</v>
      </c>
      <c r="D64" s="4" t="s">
        <v>98</v>
      </c>
      <c r="E64" s="8" t="s">
        <v>98</v>
      </c>
      <c r="F64" s="4">
        <v>2</v>
      </c>
      <c r="G64" s="8">
        <v>468.6</v>
      </c>
      <c r="H64" s="7" t="s">
        <v>98</v>
      </c>
      <c r="I64" s="7" t="s">
        <v>98</v>
      </c>
      <c r="J64" s="4"/>
      <c r="K64" s="8"/>
      <c r="L64" s="4"/>
      <c r="M64" s="8"/>
      <c r="N64" s="7"/>
      <c r="O64" s="7"/>
    </row>
    <row r="65">
      <c r="A65" s="2" t="s">
        <v>1345</v>
      </c>
      <c r="B65" s="2" t="s">
        <v>3434</v>
      </c>
      <c r="C65" s="2" t="s">
        <v>3435</v>
      </c>
      <c r="D65" s="4" t="s">
        <v>98</v>
      </c>
      <c r="E65" s="8" t="s">
        <v>98</v>
      </c>
      <c r="F65" s="4" t="s">
        <v>98</v>
      </c>
      <c r="G65" s="8" t="s">
        <v>98</v>
      </c>
      <c r="H65" s="7" t="s">
        <v>98</v>
      </c>
      <c r="I65" s="7" t="s">
        <v>98</v>
      </c>
      <c r="J65" s="4"/>
      <c r="K65" s="8"/>
      <c r="L65" s="4">
        <v>2</v>
      </c>
      <c r="M65" s="8">
        <v>468.6</v>
      </c>
      <c r="N65" s="7"/>
      <c r="O65" s="7"/>
    </row>
    <row r="66">
      <c r="A66" s="2" t="s">
        <v>1345</v>
      </c>
      <c r="B66" s="2" t="s">
        <v>3459</v>
      </c>
      <c r="C66" s="2" t="s">
        <v>3459</v>
      </c>
      <c r="D66" s="4"/>
      <c r="E66" s="8"/>
      <c r="F66" s="4">
        <v>1</v>
      </c>
      <c r="G66" s="8">
        <v>176.85</v>
      </c>
      <c r="H66" s="7"/>
      <c r="I66" s="7"/>
      <c r="J66" s="4"/>
      <c r="K66" s="8"/>
      <c r="L66" s="4">
        <v>1</v>
      </c>
      <c r="M66" s="8">
        <v>176.85</v>
      </c>
      <c r="N66" s="7"/>
      <c r="O66" s="7"/>
    </row>
    <row r="67">
      <c r="A67" s="2" t="s">
        <v>1345</v>
      </c>
      <c r="B67" s="2" t="s">
        <v>4052</v>
      </c>
      <c r="C67" s="2" t="s">
        <v>1346</v>
      </c>
      <c r="D67" s="4" t="s">
        <v>98</v>
      </c>
      <c r="E67" s="8" t="s">
        <v>98</v>
      </c>
      <c r="F67" s="4" t="s">
        <v>98</v>
      </c>
      <c r="G67" s="8" t="s">
        <v>98</v>
      </c>
      <c r="H67" s="7" t="s">
        <v>98</v>
      </c>
      <c r="I67" s="7" t="s">
        <v>98</v>
      </c>
      <c r="J67" s="4"/>
      <c r="K67" s="8"/>
      <c r="L67" s="4"/>
      <c r="M67" s="8"/>
      <c r="N67" s="7"/>
      <c r="O67" s="7"/>
    </row>
    <row r="68">
      <c r="A68" s="2" t="s">
        <v>1345</v>
      </c>
      <c r="B68" s="2" t="s">
        <v>4052</v>
      </c>
      <c r="C68" s="2" t="s">
        <v>3213</v>
      </c>
      <c r="D68" s="4" t="s">
        <v>98</v>
      </c>
      <c r="E68" s="8" t="s">
        <v>98</v>
      </c>
      <c r="F68" s="4" t="s">
        <v>98</v>
      </c>
      <c r="G68" s="8" t="s">
        <v>98</v>
      </c>
      <c r="H68" s="7" t="s">
        <v>98</v>
      </c>
      <c r="I68" s="7" t="s">
        <v>98</v>
      </c>
      <c r="J68" s="4"/>
      <c r="K68" s="8"/>
      <c r="L68" s="4"/>
      <c r="M68" s="8"/>
      <c r="N68" s="7"/>
      <c r="O68" s="7"/>
    </row>
    <row r="69">
      <c r="A69" s="2" t="s">
        <v>1345</v>
      </c>
      <c r="B69" s="2" t="s">
        <v>4052</v>
      </c>
      <c r="C69" s="2" t="s">
        <v>4052</v>
      </c>
      <c r="D69" s="4" t="s">
        <v>98</v>
      </c>
      <c r="E69" s="8" t="s">
        <v>98</v>
      </c>
      <c r="F69" s="4" t="s">
        <v>98</v>
      </c>
      <c r="G69" s="8" t="s">
        <v>98</v>
      </c>
      <c r="H69" s="7" t="s">
        <v>98</v>
      </c>
      <c r="I69" s="7" t="s">
        <v>98</v>
      </c>
      <c r="J69" s="4"/>
      <c r="K69" s="8"/>
      <c r="L69" s="4"/>
      <c r="M69" s="8"/>
      <c r="N69" s="7"/>
      <c r="O69" s="7"/>
    </row>
    <row r="70">
      <c r="A70" s="2" t="s">
        <v>4584</v>
      </c>
      <c r="B70" s="2" t="s">
        <v>4585</v>
      </c>
      <c r="C70" s="2" t="s">
        <v>4586</v>
      </c>
      <c r="D70" s="4">
        <v>7</v>
      </c>
      <c r="E70" s="8">
        <v>389.54</v>
      </c>
      <c r="F70" s="4">
        <v>3</v>
      </c>
      <c r="G70" s="8">
        <v>221.82</v>
      </c>
      <c r="H70" s="7">
        <v>1.3333</v>
      </c>
      <c r="I70" s="7">
        <v>0.7561</v>
      </c>
      <c r="J70" s="4">
        <v>7</v>
      </c>
      <c r="K70" s="8">
        <v>389.54</v>
      </c>
      <c r="L70" s="4">
        <v>3</v>
      </c>
      <c r="M70" s="8">
        <v>221.82</v>
      </c>
      <c r="N70" s="7">
        <v>1.3333</v>
      </c>
      <c r="O70" s="7">
        <v>0.7561</v>
      </c>
    </row>
    <row r="71">
      <c r="A71" s="2" t="s">
        <v>4584</v>
      </c>
      <c r="B71" s="2" t="s">
        <v>4806</v>
      </c>
      <c r="C71" s="2" t="s">
        <v>4807</v>
      </c>
      <c r="D71" s="4">
        <v>1</v>
      </c>
      <c r="E71" s="8">
        <v>95.26</v>
      </c>
      <c r="F71" s="4">
        <v>1</v>
      </c>
      <c r="G71" s="8">
        <v>95.31</v>
      </c>
      <c r="H71" s="7"/>
      <c r="I71" s="7">
        <v>-0.0005</v>
      </c>
      <c r="J71" s="4">
        <v>1</v>
      </c>
      <c r="K71" s="8">
        <v>95.26</v>
      </c>
      <c r="L71" s="4">
        <v>1</v>
      </c>
      <c r="M71" s="8">
        <v>95.31</v>
      </c>
      <c r="N71" s="7"/>
      <c r="O71" s="7">
        <v>-0.0005</v>
      </c>
    </row>
    <row r="72">
      <c r="A72" s="2" t="s">
        <v>4584</v>
      </c>
      <c r="B72" s="2" t="s">
        <v>4686</v>
      </c>
      <c r="C72" s="2" t="s">
        <v>4687</v>
      </c>
      <c r="D72" s="4"/>
      <c r="E72" s="8"/>
      <c r="F72" s="4"/>
      <c r="G72" s="8"/>
      <c r="H72" s="7"/>
      <c r="I72" s="7"/>
      <c r="J72" s="4"/>
      <c r="K72" s="8"/>
      <c r="L72" s="4"/>
      <c r="M72" s="8"/>
      <c r="N72" s="7"/>
      <c r="O72" s="7"/>
    </row>
    <row r="73">
      <c r="A73" s="2" t="s">
        <v>4584</v>
      </c>
      <c r="B73" s="2" t="s">
        <v>5029</v>
      </c>
      <c r="C73" s="2" t="s">
        <v>5030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  <row r="74">
      <c r="A74" s="2" t="s">
        <v>4584</v>
      </c>
      <c r="B74" s="2" t="s">
        <v>4832</v>
      </c>
      <c r="C74" s="2" t="s">
        <v>4833</v>
      </c>
      <c r="D74" s="4"/>
      <c r="E74" s="8"/>
      <c r="F74" s="4"/>
      <c r="G74" s="8"/>
      <c r="H74" s="7"/>
      <c r="I74" s="7"/>
      <c r="J74" s="4"/>
      <c r="K74" s="8"/>
      <c r="L74" s="4"/>
      <c r="M74" s="8"/>
      <c r="N74" s="7"/>
      <c r="O74" s="7"/>
    </row>
    <row r="75">
      <c r="A75" s="2" t="s">
        <v>4584</v>
      </c>
      <c r="B75" s="2" t="s">
        <v>4858</v>
      </c>
      <c r="C75" s="2" t="s">
        <v>4859</v>
      </c>
      <c r="D75" s="4"/>
      <c r="E75" s="8"/>
      <c r="F75" s="4"/>
      <c r="G75" s="8"/>
      <c r="H75" s="7"/>
      <c r="I75" s="7"/>
      <c r="J75" s="4"/>
      <c r="K75" s="8"/>
      <c r="L75" s="4"/>
      <c r="M75" s="8"/>
      <c r="N75" s="7"/>
      <c r="O7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1"/>
    <mergeCell ref="E10:E11"/>
    <mergeCell ref="F10:F11"/>
    <mergeCell ref="G10:G11"/>
    <mergeCell ref="H10:H11"/>
    <mergeCell ref="I10:I11"/>
    <mergeCell ref="D12:D13"/>
    <mergeCell ref="E12:E13"/>
    <mergeCell ref="F12:F13"/>
    <mergeCell ref="G12:G13"/>
    <mergeCell ref="H12:H13"/>
    <mergeCell ref="I12:I13"/>
    <mergeCell ref="D14:D16"/>
    <mergeCell ref="E14:E16"/>
    <mergeCell ref="F14:F16"/>
    <mergeCell ref="G14:G16"/>
    <mergeCell ref="H14:H16"/>
    <mergeCell ref="I14:I16"/>
    <mergeCell ref="D21:D25"/>
    <mergeCell ref="E21:E25"/>
    <mergeCell ref="F21:F25"/>
    <mergeCell ref="G21:G25"/>
    <mergeCell ref="H21:H25"/>
    <mergeCell ref="I21:I25"/>
    <mergeCell ref="D26:D28"/>
    <mergeCell ref="E26:E28"/>
    <mergeCell ref="F26:F28"/>
    <mergeCell ref="G26:G28"/>
    <mergeCell ref="H26:H28"/>
    <mergeCell ref="I26:I28"/>
    <mergeCell ref="D29:D30"/>
    <mergeCell ref="E29:E30"/>
    <mergeCell ref="F29:F30"/>
    <mergeCell ref="G29:G30"/>
    <mergeCell ref="H29:H30"/>
    <mergeCell ref="I29:I30"/>
    <mergeCell ref="D31:D34"/>
    <mergeCell ref="E31:E34"/>
    <mergeCell ref="F31:F34"/>
    <mergeCell ref="G31:G34"/>
    <mergeCell ref="H31:H34"/>
    <mergeCell ref="I31:I34"/>
    <mergeCell ref="D35:D40"/>
    <mergeCell ref="E35:E40"/>
    <mergeCell ref="F35:F40"/>
    <mergeCell ref="G35:G40"/>
    <mergeCell ref="H35:H40"/>
    <mergeCell ref="I35:I40"/>
    <mergeCell ref="D43:D44"/>
    <mergeCell ref="E43:E44"/>
    <mergeCell ref="F43:F44"/>
    <mergeCell ref="G43:G44"/>
    <mergeCell ref="H43:H44"/>
    <mergeCell ref="I43:I44"/>
    <mergeCell ref="D45:D47"/>
    <mergeCell ref="E45:E47"/>
    <mergeCell ref="F45:F47"/>
    <mergeCell ref="G45:G47"/>
    <mergeCell ref="H45:H47"/>
    <mergeCell ref="I45:I47"/>
    <mergeCell ref="D48:D50"/>
    <mergeCell ref="E48:E50"/>
    <mergeCell ref="F48:F50"/>
    <mergeCell ref="G48:G50"/>
    <mergeCell ref="H48:H50"/>
    <mergeCell ref="I48:I50"/>
    <mergeCell ref="D51:D52"/>
    <mergeCell ref="E51:E52"/>
    <mergeCell ref="F51:F52"/>
    <mergeCell ref="G51:G52"/>
    <mergeCell ref="H51:H52"/>
    <mergeCell ref="I51:I52"/>
    <mergeCell ref="D56:D57"/>
    <mergeCell ref="E56:E57"/>
    <mergeCell ref="F56:F57"/>
    <mergeCell ref="G56:G57"/>
    <mergeCell ref="H56:H57"/>
    <mergeCell ref="I56:I57"/>
    <mergeCell ref="D62:D63"/>
    <mergeCell ref="E62:E63"/>
    <mergeCell ref="F62:F63"/>
    <mergeCell ref="G62:G63"/>
    <mergeCell ref="H62:H63"/>
    <mergeCell ref="I62:I63"/>
    <mergeCell ref="D64:D65"/>
    <mergeCell ref="E64:E65"/>
    <mergeCell ref="F64:F65"/>
    <mergeCell ref="G64:G65"/>
    <mergeCell ref="H64:H65"/>
    <mergeCell ref="I64:I65"/>
    <mergeCell ref="D67:D69"/>
    <mergeCell ref="E67:E69"/>
    <mergeCell ref="F67:F69"/>
    <mergeCell ref="G67:G69"/>
    <mergeCell ref="H67:H69"/>
    <mergeCell ref="I67:I69"/>
  </mergeCells>
  <headerFooter/>
</worksheet>
</file>